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tables/table8.xml" ContentType="application/vnd.openxmlformats-officedocument.spreadsheetml.tab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9.xml" ContentType="application/vnd.openxmlformats-officedocument.spreadsheetml.tab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B96891BD-4874-44E6-B33D-3E9BB835E78A}" xr6:coauthVersionLast="37" xr6:coauthVersionMax="37" xr10:uidLastSave="{00000000-0000-0000-0000-000000000000}"/>
  <bookViews>
    <workbookView xWindow="240" yWindow="465" windowWidth="14805" windowHeight="7080" tabRatio="867" firstSheet="2" activeTab="9" xr2:uid="{00000000-000D-0000-FFFF-FFFF00000000}"/>
  </bookViews>
  <sheets>
    <sheet name="ميزان المراجعة قبل الأقفال 2017" sheetId="20" r:id="rId1"/>
    <sheet name="ميزان المراجعة بعد الأقفال2017 " sheetId="38" r:id="rId2"/>
    <sheet name="قائمة الدخل 2017" sheetId="13" r:id="rId3"/>
    <sheet name="الزكاة الشرعية 2017" sheetId="36" r:id="rId4"/>
    <sheet name="الميزانية 2017" sheetId="12" r:id="rId5"/>
    <sheet name="جمجوم" sheetId="32" r:id="rId6"/>
    <sheet name="الإيضاحات 2017 expenses" sheetId="30" r:id="rId7"/>
    <sheet name="كشف حساب القطاع التجاري" sheetId="27" r:id="rId8"/>
    <sheet name="حساب الراجحي مؤسسة 625عام 2017 " sheetId="26" r:id="rId9"/>
    <sheet name="أصول 2017" sheetId="21" r:id="rId10"/>
    <sheet name="إيرادات مستحقة وأرصدة مدينة أخر" sheetId="34" r:id="rId11"/>
    <sheet name="الإيرادات المستحقة  2017" sheetId="29" r:id="rId12"/>
    <sheet name="الإيرادات المقدمة 2017" sheetId="25" r:id="rId13"/>
    <sheet name="تسوية البنك 2017" sheetId="9" r:id="rId14"/>
    <sheet name="الموردون 2017" sheetId="23" r:id="rId15"/>
    <sheet name="أطراف ذات علاقة 2017" sheetId="24" r:id="rId16"/>
    <sheet name="الذمم  2017 " sheetId="22" r:id="rId17"/>
    <sheet name="سجلات الرسين" sheetId="31" r:id="rId18"/>
    <sheet name="النقد و ما في حكمه" sheetId="33" r:id="rId19"/>
    <sheet name="التدفقات" sheetId="15" r:id="rId20"/>
    <sheet name="جقوق الملكية" sheetId="16" r:id="rId21"/>
    <sheet name="الإيضاحات 2017" sheetId="28" r:id="rId22"/>
    <sheet name="ميزان المراجعة" sheetId="4" r:id="rId23"/>
    <sheet name="الزكاة الشرعية" sheetId="14" r:id="rId24"/>
    <sheet name="Sheet5" sheetId="35" r:id="rId25"/>
    <sheet name="الإيضاحات" sheetId="17" r:id="rId26"/>
    <sheet name="الأصول الثابتة" sheetId="5" r:id="rId27"/>
    <sheet name="الدائنون التجاريون 2016" sheetId="1" r:id="rId28"/>
    <sheet name="الذمم  2016" sheetId="2" r:id="rId29"/>
  </sheets>
  <externalReferences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28" hidden="1">'الذمم  2016'!$C$2:$C$16</definedName>
    <definedName name="_xlnm._FilterDatabase" localSheetId="16" hidden="1">'الذمم  2017 '!$E$2:$G$74</definedName>
    <definedName name="_xlnm._FilterDatabase" localSheetId="22" hidden="1">'ميزان المراجعة'!$A$4:$H$37</definedName>
    <definedName name="_xlnm._FilterDatabase" localSheetId="1" hidden="1">'ميزان المراجعة بعد الأقفال2017 '!$A$5:$S$39</definedName>
    <definedName name="_xlnm._FilterDatabase" localSheetId="0" hidden="1">'ميزان المراجعة قبل الأقفال 2017'!$A$5:$S$39</definedName>
    <definedName name="NAME" localSheetId="15">#REF!</definedName>
    <definedName name="NAME" localSheetId="11">#REF!</definedName>
    <definedName name="NAME" localSheetId="12">#REF!</definedName>
    <definedName name="NAME" localSheetId="21">#REF!</definedName>
    <definedName name="NAME" localSheetId="6">#REF!</definedName>
    <definedName name="NAME" localSheetId="16">#REF!</definedName>
    <definedName name="NAME" localSheetId="14">#REF!</definedName>
    <definedName name="NAME" localSheetId="8">#REF!</definedName>
    <definedName name="NAME" localSheetId="7">#REF!</definedName>
    <definedName name="NAME" localSheetId="1">#REF!</definedName>
    <definedName name="NAME">#REF!</definedName>
    <definedName name="_xlnm.Print_Area" localSheetId="9">'أصول 2017'!$A$1:$AM$279</definedName>
    <definedName name="_xlnm.Print_Area" localSheetId="21">'الإيضاحات 2017'!$A$1:$K$219</definedName>
    <definedName name="_xlnm.Print_Area" localSheetId="6">'الإيضاحات 2017 expenses'!$A$1:$K$83</definedName>
    <definedName name="_xlnm.Print_Area" localSheetId="19">التدفقات!$A$1:$G$32</definedName>
    <definedName name="_xlnm.Print_Area" localSheetId="16">'الذمم  2017 '!$A$1:$G$76</definedName>
    <definedName name="_xlnm.Print_Area" localSheetId="23">'الزكاة الشرعية'!$A$1:$H$23</definedName>
    <definedName name="_xlnm.Print_Area" localSheetId="4">'الميزانية 2017'!$A$1:$I$38</definedName>
    <definedName name="_xlnm.Print_Area" localSheetId="13">'تسوية البنك 2017'!$A$1:$D$27</definedName>
    <definedName name="_xlnm.Print_Area" localSheetId="20">'جقوق الملكية'!$A$1:$G$32</definedName>
    <definedName name="_xlnm.Print_Area" localSheetId="8">'حساب الراجحي مؤسسة 625عام 2017 '!$A$1:$L$589</definedName>
    <definedName name="_xlnm.Print_Area" localSheetId="2">'قائمة الدخل 2017'!$A$1:$J$27</definedName>
    <definedName name="_xlnm.Print_Area" localSheetId="22">'ميزان المراجعة'!$A$1:$J$38</definedName>
    <definedName name="_xlnm.Print_Area" localSheetId="1">'ميزان المراجعة بعد الأقفال2017 '!$A$1:$J$40</definedName>
    <definedName name="_xlnm.Print_Area" localSheetId="0">'ميزان المراجعة قبل الأقفال 2017'!$A$1:$J$40</definedName>
    <definedName name="_xlnm.Print_Titles" localSheetId="9">'أصول 2017'!$5:$5</definedName>
    <definedName name="_xlnm.Print_Titles" localSheetId="16">'الذمم  2017 '!$1:$2</definedName>
    <definedName name="_xlnm.Print_Titles" localSheetId="8">'حساب الراجحي مؤسسة 625عام 2017 '!$7:$7</definedName>
    <definedName name="أثاث_و_مفروشات" localSheetId="1">#REF!</definedName>
    <definedName name="أثاث_و_مفروشات">#REF!</definedName>
    <definedName name="الإحداثيات" localSheetId="1">'[1]بيان العملاء'!#REF!</definedName>
    <definedName name="الإحداثيات">'[1]بيان العملاء'!#REF!</definedName>
    <definedName name="الإدارة" localSheetId="9">[2]معلومات!$E$5:$E$17</definedName>
    <definedName name="الإدارة" localSheetId="5">#REF!</definedName>
    <definedName name="الإدارة" localSheetId="8">[2]معلومات!$E$5:$E$17</definedName>
    <definedName name="الإدارة" localSheetId="7">[2]معلومات!$E$5:$E$17</definedName>
    <definedName name="الإدارة">[3]Sheet3!$E$5:$E$15</definedName>
    <definedName name="البنك" localSheetId="9">'[4]تفاصيل الحسابات '!#REF!</definedName>
    <definedName name="البنك" localSheetId="15">'[5]تفاصيل الحسابات '!#REF!</definedName>
    <definedName name="البنك" localSheetId="26">#REF!</definedName>
    <definedName name="البنك" localSheetId="11">'[5]تفاصيل الحسابات '!#REF!</definedName>
    <definedName name="البنك" localSheetId="12">'[5]تفاصيل الحسابات '!#REF!</definedName>
    <definedName name="البنك" localSheetId="21">'[5]تفاصيل الحسابات '!#REF!</definedName>
    <definedName name="البنك" localSheetId="6">'[5]تفاصيل الحسابات '!#REF!</definedName>
    <definedName name="البنك" localSheetId="19">'[5]تفاصيل الحسابات '!#REF!</definedName>
    <definedName name="البنك" localSheetId="16">'[5]تفاصيل الحسابات '!#REF!</definedName>
    <definedName name="البنك" localSheetId="23">'[5]تفاصيل الحسابات '!#REF!</definedName>
    <definedName name="البنك" localSheetId="14">'[5]تفاصيل الحسابات '!#REF!</definedName>
    <definedName name="البنك" localSheetId="20">'[5]تفاصيل الحسابات '!#REF!</definedName>
    <definedName name="البنك" localSheetId="5">'[5]تفاصيل الحسابات '!#REF!</definedName>
    <definedName name="البنك" localSheetId="8">'[4]تفاصيل الحسابات '!#REF!</definedName>
    <definedName name="البنك" localSheetId="2">'[5]تفاصيل الحسابات '!#REF!</definedName>
    <definedName name="البنك" localSheetId="7">'[4]تفاصيل الحسابات '!#REF!</definedName>
    <definedName name="البنك" localSheetId="1">'[5]تفاصيل الحسابات '!#REF!</definedName>
    <definedName name="البنك" localSheetId="0">'[5]تفاصيل الحسابات '!#REF!</definedName>
    <definedName name="البنك">'[5]تفاصيل الحسابات '!#REF!</definedName>
    <definedName name="الحسابات" localSheetId="1">#REF!</definedName>
    <definedName name="الحسابات">#REF!</definedName>
    <definedName name="الدفعة_المستحقة">[1]تحصيل!$Q$5:$Q$962</definedName>
    <definedName name="الرياض" localSheetId="1">#REF!</definedName>
    <definedName name="الرياض">#REF!</definedName>
    <definedName name="المستخدم" localSheetId="9">[2]معلومات!$F$5:$F$17</definedName>
    <definedName name="المستخدم" localSheetId="5">#REF!</definedName>
    <definedName name="المستخدم" localSheetId="8">[2]معلومات!$F$5:$F$17</definedName>
    <definedName name="المستخدم" localSheetId="7">[2]معلومات!$F$5:$F$17</definedName>
    <definedName name="المستخدم">[3]Sheet3!$F$5:$F$15</definedName>
    <definedName name="المشروع" localSheetId="9">[2]معلومات!$C$5:$C$17</definedName>
    <definedName name="المشروع" localSheetId="5">#REF!</definedName>
    <definedName name="المشروع" localSheetId="8">[2]معلومات!$C$5:$C$17</definedName>
    <definedName name="المشروع" localSheetId="7">[2]معلومات!$C$5:$C$17</definedName>
    <definedName name="المشروع">[3]Sheet3!$C$5:$C$15</definedName>
    <definedName name="حالة_الاصل" localSheetId="1">#REF!</definedName>
    <definedName name="حالة_الاصل">#REF!</definedName>
    <definedName name="في_التشغيل" localSheetId="1">#REF!</definedName>
    <definedName name="في_التشغيل">#REF!</definedName>
    <definedName name="مجموعة_الاصول" localSheetId="9">[2]معلومات!$B$5:$B$17</definedName>
    <definedName name="مجموعة_الاصول" localSheetId="5">#REF!</definedName>
    <definedName name="مجموعة_الاصول" localSheetId="8">[2]معلومات!$B$5:$B$17</definedName>
    <definedName name="مجموعة_الاصول" localSheetId="7">[2]معلومات!$B$5:$B$17</definedName>
    <definedName name="مجموعة_الاصول">[3]Sheet3!$B$5:$B$15</definedName>
    <definedName name="محمد_مهدي" localSheetId="1">#REF!</definedName>
    <definedName name="محمد_مهدي">#REF!</definedName>
    <definedName name="نوع_المعدة" localSheetId="9">[2]!Table4[نوع المعدة]</definedName>
    <definedName name="نوع_المعدة">[2]!Table4[نوع المعدة]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20" l="1"/>
  <c r="H25" i="20"/>
  <c r="H26" i="20"/>
  <c r="G5" i="30"/>
  <c r="H25" i="38"/>
  <c r="F32" i="38"/>
  <c r="I32" i="38" s="1"/>
  <c r="E37" i="38"/>
  <c r="D37" i="38"/>
  <c r="I36" i="38"/>
  <c r="H36" i="38"/>
  <c r="I35" i="38"/>
  <c r="H35" i="38"/>
  <c r="F34" i="38"/>
  <c r="H34" i="38" s="1"/>
  <c r="F33" i="38"/>
  <c r="I33" i="38" s="1"/>
  <c r="H32" i="38"/>
  <c r="I31" i="38"/>
  <c r="H31" i="38"/>
  <c r="I30" i="38"/>
  <c r="H30" i="38"/>
  <c r="I29" i="38"/>
  <c r="H29" i="38"/>
  <c r="I28" i="38"/>
  <c r="H28" i="38"/>
  <c r="I27" i="38"/>
  <c r="H27" i="38"/>
  <c r="I26" i="38"/>
  <c r="H26" i="38"/>
  <c r="I25" i="38"/>
  <c r="I24" i="38"/>
  <c r="H24" i="38"/>
  <c r="F24" i="38"/>
  <c r="I23" i="38"/>
  <c r="H23" i="38"/>
  <c r="I22" i="38"/>
  <c r="F22" i="38"/>
  <c r="H22" i="38" s="1"/>
  <c r="S21" i="38"/>
  <c r="I21" i="38"/>
  <c r="H21" i="38"/>
  <c r="I20" i="38"/>
  <c r="H20" i="38"/>
  <c r="I19" i="38"/>
  <c r="H19" i="38"/>
  <c r="I18" i="38"/>
  <c r="H18" i="38"/>
  <c r="I17" i="38"/>
  <c r="H17" i="38"/>
  <c r="I16" i="38"/>
  <c r="H16" i="38"/>
  <c r="I15" i="38"/>
  <c r="H15" i="38"/>
  <c r="I14" i="38"/>
  <c r="H14" i="38"/>
  <c r="I13" i="38"/>
  <c r="H13" i="38"/>
  <c r="F12" i="38"/>
  <c r="H12" i="38" s="1"/>
  <c r="I11" i="38"/>
  <c r="H11" i="38"/>
  <c r="I10" i="38"/>
  <c r="H10" i="38"/>
  <c r="F9" i="38"/>
  <c r="I9" i="38" s="1"/>
  <c r="I8" i="38"/>
  <c r="H8" i="38"/>
  <c r="I7" i="38"/>
  <c r="H7" i="38"/>
  <c r="I6" i="38"/>
  <c r="G6" i="38"/>
  <c r="G37" i="38" s="1"/>
  <c r="F6" i="38"/>
  <c r="H6" i="38" s="1"/>
  <c r="G15" i="34"/>
  <c r="E21" i="12"/>
  <c r="G8" i="36"/>
  <c r="F8" i="13"/>
  <c r="F33" i="20"/>
  <c r="H34" i="20"/>
  <c r="H35" i="20"/>
  <c r="E38" i="38" l="1"/>
  <c r="H9" i="38"/>
  <c r="I12" i="38"/>
  <c r="H33" i="38"/>
  <c r="I34" i="38"/>
  <c r="F37" i="38"/>
  <c r="G38" i="38" s="1"/>
  <c r="A26" i="9"/>
  <c r="I37" i="38" l="1"/>
  <c r="H37" i="38"/>
  <c r="F37" i="12"/>
  <c r="G17" i="23"/>
  <c r="I23" i="20"/>
  <c r="F12" i="20"/>
  <c r="F24" i="20"/>
  <c r="G9" i="23"/>
  <c r="G10" i="23"/>
  <c r="G11" i="23"/>
  <c r="G12" i="23"/>
  <c r="G13" i="23"/>
  <c r="G14" i="23"/>
  <c r="G15" i="23"/>
  <c r="I15" i="34"/>
  <c r="K15" i="34"/>
  <c r="G29" i="34"/>
  <c r="G10" i="34" s="1"/>
  <c r="I38" i="38" l="1"/>
  <c r="F22" i="20"/>
  <c r="M13" i="22"/>
  <c r="E20" i="12" s="1"/>
  <c r="G6" i="20"/>
  <c r="F6" i="20"/>
  <c r="A5" i="22" l="1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4" i="22"/>
  <c r="E33" i="12" l="1"/>
  <c r="E23" i="36"/>
  <c r="I23" i="36" s="1"/>
  <c r="G10" i="36"/>
  <c r="G7" i="36"/>
  <c r="K15" i="36"/>
  <c r="I15" i="36"/>
  <c r="G15" i="36"/>
  <c r="K10" i="36"/>
  <c r="I10" i="36"/>
  <c r="I8" i="36"/>
  <c r="I7" i="36"/>
  <c r="A16" i="23"/>
  <c r="A17" i="23"/>
  <c r="K10" i="35"/>
  <c r="G10" i="35"/>
  <c r="I7" i="35"/>
  <c r="I10" i="35" s="1"/>
  <c r="K9" i="33"/>
  <c r="I9" i="33"/>
  <c r="H27" i="32"/>
  <c r="C27" i="32"/>
  <c r="E27" i="32" s="1"/>
  <c r="F27" i="32" s="1"/>
  <c r="H26" i="32"/>
  <c r="C26" i="32"/>
  <c r="E26" i="32" s="1"/>
  <c r="F26" i="32" s="1"/>
  <c r="H25" i="32"/>
  <c r="C25" i="32"/>
  <c r="E25" i="32" s="1"/>
  <c r="F25" i="32" s="1"/>
  <c r="H24" i="32"/>
  <c r="C24" i="32"/>
  <c r="E24" i="32" s="1"/>
  <c r="F24" i="32" s="1"/>
  <c r="H23" i="32"/>
  <c r="C23" i="32"/>
  <c r="E23" i="32" s="1"/>
  <c r="F23" i="32" s="1"/>
  <c r="H22" i="32"/>
  <c r="C22" i="32"/>
  <c r="E22" i="32" s="1"/>
  <c r="F22" i="32" s="1"/>
  <c r="H21" i="32"/>
  <c r="C21" i="32"/>
  <c r="E21" i="32" s="1"/>
  <c r="F21" i="32" s="1"/>
  <c r="H20" i="32"/>
  <c r="C20" i="32"/>
  <c r="E20" i="32" s="1"/>
  <c r="F20" i="32" s="1"/>
  <c r="H19" i="32"/>
  <c r="C19" i="32"/>
  <c r="E19" i="32" s="1"/>
  <c r="F19" i="32" s="1"/>
  <c r="H18" i="32"/>
  <c r="C18" i="32"/>
  <c r="E18" i="32" s="1"/>
  <c r="F18" i="32" s="1"/>
  <c r="H17" i="32"/>
  <c r="C17" i="32"/>
  <c r="E17" i="32" s="1"/>
  <c r="F17" i="32" s="1"/>
  <c r="H16" i="32"/>
  <c r="C16" i="32"/>
  <c r="E16" i="32" s="1"/>
  <c r="F16" i="32" s="1"/>
  <c r="H15" i="32"/>
  <c r="C15" i="32"/>
  <c r="E15" i="32" s="1"/>
  <c r="F15" i="32" s="1"/>
  <c r="H14" i="32"/>
  <c r="C14" i="32"/>
  <c r="E14" i="32" s="1"/>
  <c r="F14" i="32" s="1"/>
  <c r="H13" i="32"/>
  <c r="C13" i="32"/>
  <c r="E13" i="32" s="1"/>
  <c r="F13" i="32" s="1"/>
  <c r="H12" i="32"/>
  <c r="C12" i="32"/>
  <c r="E12" i="32" s="1"/>
  <c r="F12" i="32" s="1"/>
  <c r="H11" i="32"/>
  <c r="G11" i="32"/>
  <c r="C11" i="32"/>
  <c r="E11" i="32" s="1"/>
  <c r="F11" i="32" s="1"/>
  <c r="H10" i="32"/>
  <c r="C10" i="32"/>
  <c r="E10" i="32" s="1"/>
  <c r="F10" i="32" s="1"/>
  <c r="L6" i="32"/>
  <c r="D6" i="32"/>
  <c r="F6" i="32" s="1"/>
  <c r="G9" i="36" l="1"/>
  <c r="I25" i="32"/>
  <c r="J25" i="32" s="1"/>
  <c r="I21" i="32"/>
  <c r="J21" i="32" s="1"/>
  <c r="I17" i="32"/>
  <c r="J17" i="32" s="1"/>
  <c r="I13" i="32"/>
  <c r="J13" i="32" s="1"/>
  <c r="I23" i="32"/>
  <c r="J23" i="32" s="1"/>
  <c r="I19" i="32"/>
  <c r="J19" i="32" s="1"/>
  <c r="I15" i="32"/>
  <c r="J15" i="32" s="1"/>
  <c r="I11" i="32"/>
  <c r="J11" i="32" s="1"/>
  <c r="I10" i="32"/>
  <c r="J10" i="32" s="1"/>
  <c r="I24" i="32"/>
  <c r="J24" i="32" s="1"/>
  <c r="I20" i="32"/>
  <c r="J20" i="32" s="1"/>
  <c r="I16" i="32"/>
  <c r="J16" i="32" s="1"/>
  <c r="I26" i="32"/>
  <c r="J26" i="32" s="1"/>
  <c r="I22" i="32"/>
  <c r="J22" i="32" s="1"/>
  <c r="I18" i="32"/>
  <c r="J18" i="32" s="1"/>
  <c r="I14" i="32"/>
  <c r="J14" i="32" s="1"/>
  <c r="H6" i="32"/>
  <c r="J6" i="32" s="1"/>
  <c r="I27" i="32"/>
  <c r="J27" i="32" s="1"/>
  <c r="I12" i="32"/>
  <c r="J12" i="32" s="1"/>
  <c r="K27" i="32" l="1"/>
  <c r="K23" i="32"/>
  <c r="K19" i="32"/>
  <c r="K15" i="32"/>
  <c r="K11" i="32"/>
  <c r="K10" i="32"/>
  <c r="K14" i="32"/>
  <c r="K24" i="32"/>
  <c r="K20" i="32"/>
  <c r="K16" i="32"/>
  <c r="K12" i="32"/>
  <c r="K25" i="32"/>
  <c r="K21" i="32"/>
  <c r="K17" i="32"/>
  <c r="K13" i="32"/>
  <c r="K26" i="32"/>
  <c r="K22" i="32"/>
  <c r="K18" i="32"/>
  <c r="H3" i="31" l="1"/>
  <c r="J15" i="31"/>
  <c r="K15" i="31" s="1"/>
  <c r="A7" i="31"/>
  <c r="A8" i="31"/>
  <c r="A9" i="31"/>
  <c r="A10" i="31"/>
  <c r="A11" i="31"/>
  <c r="A12" i="31"/>
  <c r="A13" i="31"/>
  <c r="A14" i="31"/>
  <c r="A15" i="31"/>
  <c r="A6" i="31"/>
  <c r="J7" i="31"/>
  <c r="M7" i="31" s="1"/>
  <c r="J8" i="31"/>
  <c r="M8" i="31" s="1"/>
  <c r="J9" i="31"/>
  <c r="M9" i="31" s="1"/>
  <c r="J10" i="31"/>
  <c r="M10" i="31" s="1"/>
  <c r="J11" i="31"/>
  <c r="M11" i="31" s="1"/>
  <c r="J12" i="31"/>
  <c r="M12" i="31" s="1"/>
  <c r="J13" i="31"/>
  <c r="M13" i="31" s="1"/>
  <c r="J14" i="31"/>
  <c r="M14" i="31" s="1"/>
  <c r="J6" i="31"/>
  <c r="M6" i="31" s="1"/>
  <c r="K6" i="31" l="1"/>
  <c r="K13" i="31"/>
  <c r="K12" i="31"/>
  <c r="M15" i="31"/>
  <c r="K9" i="31"/>
  <c r="K8" i="31"/>
  <c r="K11" i="31"/>
  <c r="K7" i="31"/>
  <c r="K14" i="31"/>
  <c r="K10" i="31"/>
  <c r="G71" i="30"/>
  <c r="I5" i="30"/>
  <c r="I6" i="30"/>
  <c r="I7" i="30"/>
  <c r="I8" i="30"/>
  <c r="I9" i="30"/>
  <c r="I10" i="30"/>
  <c r="I14" i="30"/>
  <c r="I19" i="30"/>
  <c r="I22" i="30"/>
  <c r="I23" i="30"/>
  <c r="I24" i="30"/>
  <c r="I25" i="30"/>
  <c r="I28" i="30"/>
  <c r="I34" i="30"/>
  <c r="I42" i="30"/>
  <c r="K83" i="30"/>
  <c r="I80" i="30"/>
  <c r="I63" i="30"/>
  <c r="G63" i="30"/>
  <c r="I61" i="30"/>
  <c r="I55" i="30"/>
  <c r="I53" i="30"/>
  <c r="G51" i="30"/>
  <c r="I50" i="30"/>
  <c r="G50" i="30"/>
  <c r="K43" i="30"/>
  <c r="G42" i="30"/>
  <c r="G36" i="30"/>
  <c r="G28" i="30"/>
  <c r="G27" i="30"/>
  <c r="G22" i="30"/>
  <c r="G21" i="30"/>
  <c r="G19" i="30"/>
  <c r="G16" i="30"/>
  <c r="G15" i="30"/>
  <c r="G14" i="30"/>
  <c r="G11" i="30"/>
  <c r="G9" i="30"/>
  <c r="G7" i="30"/>
  <c r="G6" i="30"/>
  <c r="G146" i="28"/>
  <c r="N190" i="28"/>
  <c r="N187" i="28"/>
  <c r="G128" i="28"/>
  <c r="G125" i="28"/>
  <c r="G135" i="28"/>
  <c r="G133" i="28"/>
  <c r="G134" i="28"/>
  <c r="G147" i="28"/>
  <c r="G130" i="28"/>
  <c r="G124" i="28"/>
  <c r="G126" i="28"/>
  <c r="G141" i="28"/>
  <c r="G138" i="28"/>
  <c r="G155" i="28"/>
  <c r="G161" i="28"/>
  <c r="G140" i="28"/>
  <c r="K219" i="28"/>
  <c r="G200" i="28"/>
  <c r="G223" i="28"/>
  <c r="G188" i="28"/>
  <c r="G208" i="28"/>
  <c r="G187" i="28"/>
  <c r="N192" i="28" l="1"/>
  <c r="I43" i="30"/>
  <c r="I83" i="30"/>
  <c r="G43" i="30"/>
  <c r="G83" i="30"/>
  <c r="G11" i="29"/>
  <c r="G10" i="29"/>
  <c r="G9" i="29"/>
  <c r="F13" i="29"/>
  <c r="E13" i="29"/>
  <c r="D13" i="29"/>
  <c r="G86" i="30" l="1"/>
  <c r="G13" i="29"/>
  <c r="G58" i="28" l="1"/>
  <c r="G23" i="28"/>
  <c r="I23" i="28"/>
  <c r="K23" i="28"/>
  <c r="G92" i="28"/>
  <c r="G96" i="28" s="1"/>
  <c r="G83" i="28"/>
  <c r="G66" i="28"/>
  <c r="G61" i="28"/>
  <c r="G59" i="28"/>
  <c r="G49" i="28"/>
  <c r="I216" i="28"/>
  <c r="I208" i="28"/>
  <c r="I200" i="28"/>
  <c r="I198" i="28"/>
  <c r="I192" i="28"/>
  <c r="I190" i="28"/>
  <c r="I187" i="28"/>
  <c r="K162" i="28"/>
  <c r="I161" i="28"/>
  <c r="I156" i="28"/>
  <c r="I153" i="28"/>
  <c r="I147" i="28"/>
  <c r="I146" i="28"/>
  <c r="I144" i="28"/>
  <c r="I143" i="28"/>
  <c r="I142" i="28"/>
  <c r="I141" i="28"/>
  <c r="I138" i="28"/>
  <c r="I133" i="28"/>
  <c r="I130" i="28"/>
  <c r="I129" i="28"/>
  <c r="I128" i="28"/>
  <c r="I127" i="28"/>
  <c r="I126" i="28"/>
  <c r="I125" i="28"/>
  <c r="I124" i="28"/>
  <c r="E96" i="28"/>
  <c r="K94" i="28"/>
  <c r="K93" i="28"/>
  <c r="I92" i="28"/>
  <c r="I96" i="28" s="1"/>
  <c r="H92" i="28"/>
  <c r="H96" i="28" s="1"/>
  <c r="K83" i="28"/>
  <c r="I83" i="28"/>
  <c r="K66" i="28"/>
  <c r="I66" i="28"/>
  <c r="K61" i="28"/>
  <c r="I61" i="28"/>
  <c r="I59" i="28"/>
  <c r="I58" i="28"/>
  <c r="K49" i="28"/>
  <c r="I46" i="28"/>
  <c r="I49" i="28" s="1"/>
  <c r="K9" i="28"/>
  <c r="I9" i="28"/>
  <c r="G59" i="17"/>
  <c r="G58" i="17"/>
  <c r="G21" i="14"/>
  <c r="G20" i="14"/>
  <c r="E8" i="14"/>
  <c r="E21" i="14"/>
  <c r="E6" i="14"/>
  <c r="I162" i="28" l="1"/>
  <c r="G162" i="28"/>
  <c r="G219" i="28"/>
  <c r="G225" i="28" s="1"/>
  <c r="K92" i="28"/>
  <c r="K96" i="28" s="1"/>
  <c r="I219" i="28"/>
  <c r="F10" i="13"/>
  <c r="F34" i="20" l="1"/>
  <c r="G39" i="22"/>
  <c r="F12" i="13"/>
  <c r="F9" i="13"/>
  <c r="G10" i="12"/>
  <c r="G13" i="12"/>
  <c r="F14" i="13" l="1"/>
  <c r="F16" i="13" s="1"/>
  <c r="E37" i="20"/>
  <c r="D37" i="20"/>
  <c r="E27" i="12"/>
  <c r="E14" i="12"/>
  <c r="I29" i="20" l="1"/>
  <c r="G13" i="25"/>
  <c r="G12" i="25"/>
  <c r="F9" i="20" l="1"/>
  <c r="I44" i="27"/>
  <c r="H44" i="27"/>
  <c r="J6" i="27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A588" i="26"/>
  <c r="A587" i="26"/>
  <c r="A586" i="26"/>
  <c r="A585" i="26"/>
  <c r="A584" i="26"/>
  <c r="A583" i="26"/>
  <c r="A582" i="26"/>
  <c r="A581" i="26"/>
  <c r="A580" i="26"/>
  <c r="A579" i="26"/>
  <c r="A578" i="26"/>
  <c r="A577" i="26"/>
  <c r="A576" i="26"/>
  <c r="A575" i="26"/>
  <c r="A574" i="26"/>
  <c r="A573" i="26"/>
  <c r="A572" i="26"/>
  <c r="A571" i="26"/>
  <c r="A570" i="26"/>
  <c r="A569" i="26"/>
  <c r="A568" i="26"/>
  <c r="A567" i="26"/>
  <c r="A566" i="26"/>
  <c r="A565" i="26"/>
  <c r="A564" i="26"/>
  <c r="A563" i="26"/>
  <c r="A562" i="26"/>
  <c r="A561" i="26"/>
  <c r="A560" i="26"/>
  <c r="A559" i="26"/>
  <c r="A558" i="26"/>
  <c r="A557" i="26"/>
  <c r="A556" i="26"/>
  <c r="A555" i="26"/>
  <c r="A554" i="26"/>
  <c r="A553" i="26"/>
  <c r="A552" i="26"/>
  <c r="A551" i="26"/>
  <c r="A550" i="26"/>
  <c r="A549" i="26"/>
  <c r="A548" i="26"/>
  <c r="A547" i="26"/>
  <c r="A546" i="26"/>
  <c r="A545" i="26"/>
  <c r="A544" i="26"/>
  <c r="A543" i="26"/>
  <c r="A542" i="26"/>
  <c r="A541" i="26"/>
  <c r="A540" i="26"/>
  <c r="A539" i="26"/>
  <c r="A538" i="26"/>
  <c r="A537" i="26"/>
  <c r="A536" i="26"/>
  <c r="A535" i="26"/>
  <c r="A534" i="26"/>
  <c r="A533" i="26"/>
  <c r="A532" i="26"/>
  <c r="A531" i="26"/>
  <c r="A530" i="26"/>
  <c r="A529" i="26"/>
  <c r="A528" i="26"/>
  <c r="A527" i="26"/>
  <c r="A526" i="26"/>
  <c r="A525" i="26"/>
  <c r="A524" i="26"/>
  <c r="A523" i="26"/>
  <c r="A522" i="26"/>
  <c r="A521" i="26"/>
  <c r="A520" i="26"/>
  <c r="A519" i="26"/>
  <c r="A518" i="26"/>
  <c r="A517" i="26"/>
  <c r="A516" i="26"/>
  <c r="A515" i="26"/>
  <c r="A514" i="26"/>
  <c r="A513" i="26"/>
  <c r="A512" i="26"/>
  <c r="A511" i="26"/>
  <c r="A510" i="26"/>
  <c r="A509" i="26"/>
  <c r="A508" i="26"/>
  <c r="A507" i="26"/>
  <c r="A506" i="26"/>
  <c r="A505" i="26"/>
  <c r="A504" i="26"/>
  <c r="A503" i="26"/>
  <c r="A502" i="26"/>
  <c r="A501" i="26"/>
  <c r="A500" i="26"/>
  <c r="A499" i="26"/>
  <c r="A498" i="26"/>
  <c r="A497" i="26"/>
  <c r="A496" i="26"/>
  <c r="A495" i="26"/>
  <c r="A494" i="26"/>
  <c r="A493" i="26"/>
  <c r="A492" i="26"/>
  <c r="A491" i="26"/>
  <c r="A490" i="26"/>
  <c r="A489" i="26"/>
  <c r="A488" i="26"/>
  <c r="A487" i="26"/>
  <c r="A486" i="26"/>
  <c r="A485" i="26"/>
  <c r="A484" i="26"/>
  <c r="A483" i="26"/>
  <c r="A482" i="26"/>
  <c r="A481" i="26"/>
  <c r="A480" i="26"/>
  <c r="A479" i="26"/>
  <c r="A478" i="26"/>
  <c r="A477" i="26"/>
  <c r="A476" i="26"/>
  <c r="A475" i="26"/>
  <c r="A474" i="26"/>
  <c r="A473" i="26"/>
  <c r="A472" i="26"/>
  <c r="A471" i="26"/>
  <c r="A470" i="26"/>
  <c r="A469" i="26"/>
  <c r="A468" i="26"/>
  <c r="A467" i="26"/>
  <c r="A466" i="26"/>
  <c r="A465" i="26"/>
  <c r="A464" i="26"/>
  <c r="A463" i="26"/>
  <c r="A462" i="26"/>
  <c r="A461" i="26"/>
  <c r="A460" i="26"/>
  <c r="A459" i="26"/>
  <c r="A458" i="26"/>
  <c r="A457" i="26"/>
  <c r="A456" i="26"/>
  <c r="A455" i="26"/>
  <c r="A454" i="26"/>
  <c r="A453" i="26"/>
  <c r="A452" i="26"/>
  <c r="A451" i="26"/>
  <c r="A450" i="26"/>
  <c r="A449" i="26"/>
  <c r="A448" i="26"/>
  <c r="A447" i="26"/>
  <c r="A446" i="26"/>
  <c r="A445" i="26"/>
  <c r="A444" i="26"/>
  <c r="A443" i="26"/>
  <c r="A442" i="26"/>
  <c r="A441" i="26"/>
  <c r="A440" i="26"/>
  <c r="A439" i="26"/>
  <c r="A438" i="26"/>
  <c r="A437" i="26"/>
  <c r="A436" i="26"/>
  <c r="A435" i="26"/>
  <c r="A434" i="26"/>
  <c r="A433" i="26"/>
  <c r="A432" i="26"/>
  <c r="A431" i="26"/>
  <c r="A430" i="26"/>
  <c r="A429" i="26"/>
  <c r="A428" i="26"/>
  <c r="A427" i="26"/>
  <c r="A426" i="26"/>
  <c r="A425" i="26"/>
  <c r="A424" i="26"/>
  <c r="A423" i="26"/>
  <c r="A422" i="26"/>
  <c r="A421" i="26"/>
  <c r="A420" i="26"/>
  <c r="A419" i="26"/>
  <c r="A418" i="26"/>
  <c r="A417" i="26"/>
  <c r="A416" i="26"/>
  <c r="A415" i="26"/>
  <c r="A414" i="26"/>
  <c r="A413" i="26"/>
  <c r="A412" i="26"/>
  <c r="A411" i="26"/>
  <c r="A410" i="26"/>
  <c r="A409" i="26"/>
  <c r="A408" i="26"/>
  <c r="A407" i="26"/>
  <c r="A406" i="26"/>
  <c r="A405" i="26"/>
  <c r="A404" i="26"/>
  <c r="A403" i="26"/>
  <c r="A402" i="26"/>
  <c r="A401" i="26"/>
  <c r="A400" i="26"/>
  <c r="A399" i="26"/>
  <c r="A398" i="26"/>
  <c r="A397" i="26"/>
  <c r="A396" i="26"/>
  <c r="A395" i="26"/>
  <c r="A394" i="26"/>
  <c r="A393" i="26"/>
  <c r="A392" i="26"/>
  <c r="A391" i="26"/>
  <c r="A390" i="26"/>
  <c r="A389" i="26"/>
  <c r="A388" i="26"/>
  <c r="A387" i="26"/>
  <c r="A386" i="26"/>
  <c r="A385" i="26"/>
  <c r="A384" i="26"/>
  <c r="A383" i="26"/>
  <c r="A382" i="26"/>
  <c r="A381" i="26"/>
  <c r="A380" i="26"/>
  <c r="A379" i="26"/>
  <c r="A378" i="26"/>
  <c r="A377" i="26"/>
  <c r="A376" i="26"/>
  <c r="A375" i="26"/>
  <c r="A374" i="26"/>
  <c r="A373" i="26"/>
  <c r="A372" i="26"/>
  <c r="A371" i="26"/>
  <c r="A370" i="26"/>
  <c r="A369" i="26"/>
  <c r="A368" i="26"/>
  <c r="A367" i="26"/>
  <c r="A366" i="26"/>
  <c r="A365" i="26"/>
  <c r="A364" i="26"/>
  <c r="A363" i="26"/>
  <c r="A362" i="26"/>
  <c r="A361" i="26"/>
  <c r="A360" i="26"/>
  <c r="A359" i="26"/>
  <c r="A358" i="26"/>
  <c r="A357" i="26"/>
  <c r="A356" i="26"/>
  <c r="A355" i="26"/>
  <c r="A354" i="26"/>
  <c r="A353" i="26"/>
  <c r="A352" i="26"/>
  <c r="A351" i="26"/>
  <c r="A350" i="26"/>
  <c r="A349" i="26"/>
  <c r="A348" i="26"/>
  <c r="A347" i="26"/>
  <c r="A346" i="26"/>
  <c r="A345" i="26"/>
  <c r="A344" i="26"/>
  <c r="A343" i="26"/>
  <c r="A342" i="26"/>
  <c r="A341" i="26"/>
  <c r="A340" i="26"/>
  <c r="A339" i="26"/>
  <c r="A338" i="26"/>
  <c r="A337" i="26"/>
  <c r="A336" i="26"/>
  <c r="A335" i="26"/>
  <c r="A334" i="26"/>
  <c r="A333" i="26"/>
  <c r="A332" i="26"/>
  <c r="A331" i="26"/>
  <c r="A330" i="26"/>
  <c r="A329" i="26"/>
  <c r="A328" i="26"/>
  <c r="A327" i="26"/>
  <c r="A326" i="26"/>
  <c r="A325" i="26"/>
  <c r="A324" i="26"/>
  <c r="A323" i="26"/>
  <c r="A322" i="26"/>
  <c r="A321" i="26"/>
  <c r="A320" i="26"/>
  <c r="A319" i="26"/>
  <c r="A318" i="26"/>
  <c r="A317" i="26"/>
  <c r="A316" i="26"/>
  <c r="A315" i="26"/>
  <c r="A314" i="26"/>
  <c r="A313" i="26"/>
  <c r="A312" i="26"/>
  <c r="A311" i="26"/>
  <c r="A310" i="26"/>
  <c r="A309" i="26"/>
  <c r="A308" i="26"/>
  <c r="A307" i="26"/>
  <c r="A306" i="26"/>
  <c r="A305" i="26"/>
  <c r="A304" i="26"/>
  <c r="A303" i="26"/>
  <c r="A302" i="26"/>
  <c r="A301" i="26"/>
  <c r="A300" i="26"/>
  <c r="A299" i="26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L9" i="26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L84" i="26" s="1"/>
  <c r="L85" i="26" s="1"/>
  <c r="L86" i="26" s="1"/>
  <c r="L87" i="26" s="1"/>
  <c r="L88" i="26" s="1"/>
  <c r="L89" i="26" s="1"/>
  <c r="L90" i="26" s="1"/>
  <c r="L91" i="26" s="1"/>
  <c r="L92" i="26" s="1"/>
  <c r="L93" i="26" s="1"/>
  <c r="L94" i="26" s="1"/>
  <c r="L95" i="26" s="1"/>
  <c r="L96" i="26" s="1"/>
  <c r="L97" i="26" s="1"/>
  <c r="L98" i="26" s="1"/>
  <c r="L99" i="26" s="1"/>
  <c r="L100" i="26" s="1"/>
  <c r="L101" i="26" s="1"/>
  <c r="L102" i="26" s="1"/>
  <c r="L103" i="26" s="1"/>
  <c r="L104" i="26" s="1"/>
  <c r="L105" i="26" s="1"/>
  <c r="L106" i="26" s="1"/>
  <c r="L107" i="26" s="1"/>
  <c r="L108" i="26" s="1"/>
  <c r="L109" i="26" s="1"/>
  <c r="L110" i="26" s="1"/>
  <c r="L111" i="26" s="1"/>
  <c r="L112" i="26" s="1"/>
  <c r="L113" i="26" s="1"/>
  <c r="L114" i="26" s="1"/>
  <c r="L115" i="26" s="1"/>
  <c r="L116" i="26" s="1"/>
  <c r="L117" i="26" s="1"/>
  <c r="L118" i="26" s="1"/>
  <c r="L119" i="26" s="1"/>
  <c r="L120" i="26" s="1"/>
  <c r="L121" i="26" s="1"/>
  <c r="L122" i="26" s="1"/>
  <c r="L123" i="26" s="1"/>
  <c r="L124" i="26" s="1"/>
  <c r="L125" i="26" s="1"/>
  <c r="L126" i="26" s="1"/>
  <c r="L127" i="26" s="1"/>
  <c r="L128" i="26" s="1"/>
  <c r="L129" i="26" s="1"/>
  <c r="L130" i="26" s="1"/>
  <c r="L131" i="26" s="1"/>
  <c r="L132" i="26" s="1"/>
  <c r="L133" i="26" s="1"/>
  <c r="L134" i="26" s="1"/>
  <c r="L135" i="26" s="1"/>
  <c r="L136" i="26" s="1"/>
  <c r="L137" i="26" s="1"/>
  <c r="L138" i="26" s="1"/>
  <c r="L139" i="26" s="1"/>
  <c r="L140" i="26" s="1"/>
  <c r="L141" i="26" s="1"/>
  <c r="L142" i="26" s="1"/>
  <c r="L143" i="26" s="1"/>
  <c r="L144" i="26" s="1"/>
  <c r="L145" i="26" s="1"/>
  <c r="L146" i="26" s="1"/>
  <c r="L147" i="26" s="1"/>
  <c r="L148" i="26" s="1"/>
  <c r="L149" i="26" s="1"/>
  <c r="L150" i="26" s="1"/>
  <c r="L151" i="26" s="1"/>
  <c r="L152" i="26" s="1"/>
  <c r="L153" i="26" s="1"/>
  <c r="L154" i="26" s="1"/>
  <c r="L155" i="26" s="1"/>
  <c r="L156" i="26" s="1"/>
  <c r="L157" i="26" s="1"/>
  <c r="L158" i="26" s="1"/>
  <c r="L159" i="26" s="1"/>
  <c r="L160" i="26" s="1"/>
  <c r="L161" i="26" s="1"/>
  <c r="L162" i="26" s="1"/>
  <c r="L163" i="26" s="1"/>
  <c r="L164" i="26" s="1"/>
  <c r="L165" i="26" s="1"/>
  <c r="L166" i="26" s="1"/>
  <c r="L167" i="26" s="1"/>
  <c r="L168" i="26" s="1"/>
  <c r="L169" i="26" s="1"/>
  <c r="L170" i="26" s="1"/>
  <c r="L171" i="26" s="1"/>
  <c r="L172" i="26" s="1"/>
  <c r="L173" i="26" s="1"/>
  <c r="L174" i="26" s="1"/>
  <c r="L175" i="26" s="1"/>
  <c r="L176" i="26" s="1"/>
  <c r="L177" i="26" s="1"/>
  <c r="L178" i="26" s="1"/>
  <c r="L179" i="26" s="1"/>
  <c r="L180" i="26" s="1"/>
  <c r="L181" i="26" s="1"/>
  <c r="L182" i="26" s="1"/>
  <c r="L183" i="26" s="1"/>
  <c r="L184" i="26" s="1"/>
  <c r="L185" i="26" s="1"/>
  <c r="L186" i="26" s="1"/>
  <c r="L187" i="26" s="1"/>
  <c r="L188" i="26" s="1"/>
  <c r="L189" i="26" s="1"/>
  <c r="L190" i="26" s="1"/>
  <c r="L191" i="26" s="1"/>
  <c r="L192" i="26" s="1"/>
  <c r="L193" i="26" s="1"/>
  <c r="L194" i="26" s="1"/>
  <c r="L195" i="26" s="1"/>
  <c r="L196" i="26" s="1"/>
  <c r="L197" i="26" s="1"/>
  <c r="L198" i="26" s="1"/>
  <c r="L199" i="26" s="1"/>
  <c r="L200" i="26" s="1"/>
  <c r="L201" i="26" s="1"/>
  <c r="L202" i="26" s="1"/>
  <c r="L203" i="26" s="1"/>
  <c r="L204" i="26" s="1"/>
  <c r="L205" i="26" s="1"/>
  <c r="L206" i="26" s="1"/>
  <c r="L207" i="26" s="1"/>
  <c r="L208" i="26" s="1"/>
  <c r="L209" i="26" s="1"/>
  <c r="L210" i="26" s="1"/>
  <c r="L211" i="26" s="1"/>
  <c r="L212" i="26" s="1"/>
  <c r="L213" i="26" s="1"/>
  <c r="L214" i="26" s="1"/>
  <c r="L215" i="26" s="1"/>
  <c r="L216" i="26" s="1"/>
  <c r="L217" i="26" s="1"/>
  <c r="L218" i="26" s="1"/>
  <c r="L219" i="26" s="1"/>
  <c r="L220" i="26" s="1"/>
  <c r="L221" i="26" s="1"/>
  <c r="L222" i="26" s="1"/>
  <c r="L223" i="26" s="1"/>
  <c r="L224" i="26" s="1"/>
  <c r="L225" i="26" s="1"/>
  <c r="L226" i="26" s="1"/>
  <c r="L227" i="26" s="1"/>
  <c r="L228" i="26" s="1"/>
  <c r="L229" i="26" s="1"/>
  <c r="L230" i="26" s="1"/>
  <c r="L231" i="26" s="1"/>
  <c r="L232" i="26" s="1"/>
  <c r="L233" i="26" s="1"/>
  <c r="L234" i="26" s="1"/>
  <c r="L235" i="26" s="1"/>
  <c r="L236" i="26" s="1"/>
  <c r="L237" i="26" s="1"/>
  <c r="L238" i="26" s="1"/>
  <c r="L239" i="26" s="1"/>
  <c r="L240" i="26" s="1"/>
  <c r="L241" i="26" s="1"/>
  <c r="L242" i="26" s="1"/>
  <c r="L243" i="26" s="1"/>
  <c r="L244" i="26" s="1"/>
  <c r="L245" i="26" s="1"/>
  <c r="L246" i="26" s="1"/>
  <c r="L247" i="26" s="1"/>
  <c r="L248" i="26" s="1"/>
  <c r="L249" i="26" s="1"/>
  <c r="L250" i="26" s="1"/>
  <c r="L251" i="26" s="1"/>
  <c r="L252" i="26" s="1"/>
  <c r="L253" i="26" s="1"/>
  <c r="L254" i="26" s="1"/>
  <c r="L255" i="26" s="1"/>
  <c r="L256" i="26" s="1"/>
  <c r="L257" i="26" s="1"/>
  <c r="L258" i="26" s="1"/>
  <c r="L259" i="26" s="1"/>
  <c r="L260" i="26" s="1"/>
  <c r="L261" i="26" s="1"/>
  <c r="L262" i="26" s="1"/>
  <c r="L263" i="26" s="1"/>
  <c r="L264" i="26" s="1"/>
  <c r="L265" i="26" s="1"/>
  <c r="L266" i="26" s="1"/>
  <c r="L267" i="26" s="1"/>
  <c r="L268" i="26" s="1"/>
  <c r="L269" i="26" s="1"/>
  <c r="L270" i="26" s="1"/>
  <c r="L271" i="26" s="1"/>
  <c r="L272" i="26" s="1"/>
  <c r="L273" i="26" s="1"/>
  <c r="L274" i="26" s="1"/>
  <c r="L275" i="26" s="1"/>
  <c r="L276" i="26" s="1"/>
  <c r="L277" i="26" s="1"/>
  <c r="L278" i="26" s="1"/>
  <c r="L279" i="26" s="1"/>
  <c r="L280" i="26" s="1"/>
  <c r="L281" i="26" s="1"/>
  <c r="L282" i="26" s="1"/>
  <c r="L283" i="26" s="1"/>
  <c r="L284" i="26" s="1"/>
  <c r="L285" i="26" s="1"/>
  <c r="L286" i="26" s="1"/>
  <c r="L287" i="26" s="1"/>
  <c r="L288" i="26" s="1"/>
  <c r="L289" i="26" s="1"/>
  <c r="L290" i="26" s="1"/>
  <c r="L291" i="26" s="1"/>
  <c r="L292" i="26" s="1"/>
  <c r="L293" i="26" s="1"/>
  <c r="L294" i="26" s="1"/>
  <c r="L295" i="26" s="1"/>
  <c r="L296" i="26" s="1"/>
  <c r="L297" i="26" s="1"/>
  <c r="L298" i="26" s="1"/>
  <c r="L299" i="26" s="1"/>
  <c r="L300" i="26" s="1"/>
  <c r="L301" i="26" s="1"/>
  <c r="L302" i="26" s="1"/>
  <c r="L303" i="26" s="1"/>
  <c r="L304" i="26" s="1"/>
  <c r="L305" i="26" s="1"/>
  <c r="L306" i="26" s="1"/>
  <c r="L307" i="26" s="1"/>
  <c r="L308" i="26" s="1"/>
  <c r="L309" i="26" s="1"/>
  <c r="L310" i="26" s="1"/>
  <c r="L311" i="26" s="1"/>
  <c r="L312" i="26" s="1"/>
  <c r="L313" i="26" s="1"/>
  <c r="L314" i="26" s="1"/>
  <c r="L315" i="26" s="1"/>
  <c r="L316" i="26" s="1"/>
  <c r="L317" i="26" s="1"/>
  <c r="L318" i="26" s="1"/>
  <c r="L319" i="26" s="1"/>
  <c r="L320" i="26" s="1"/>
  <c r="L321" i="26" s="1"/>
  <c r="L322" i="26" s="1"/>
  <c r="L323" i="26" s="1"/>
  <c r="L324" i="26" s="1"/>
  <c r="L325" i="26" s="1"/>
  <c r="L326" i="26" s="1"/>
  <c r="L327" i="26" s="1"/>
  <c r="L328" i="26" s="1"/>
  <c r="L329" i="26" s="1"/>
  <c r="L330" i="26" s="1"/>
  <c r="L331" i="26" s="1"/>
  <c r="L332" i="26" s="1"/>
  <c r="L333" i="26" s="1"/>
  <c r="L334" i="26" s="1"/>
  <c r="L335" i="26" s="1"/>
  <c r="L336" i="26" s="1"/>
  <c r="L337" i="26" s="1"/>
  <c r="L338" i="26" s="1"/>
  <c r="L339" i="26" s="1"/>
  <c r="L340" i="26" s="1"/>
  <c r="L341" i="26" s="1"/>
  <c r="L342" i="26" s="1"/>
  <c r="L343" i="26" s="1"/>
  <c r="L344" i="26" s="1"/>
  <c r="L345" i="26" s="1"/>
  <c r="L346" i="26" s="1"/>
  <c r="L347" i="26" s="1"/>
  <c r="L348" i="26" s="1"/>
  <c r="L349" i="26" s="1"/>
  <c r="L350" i="26" s="1"/>
  <c r="L351" i="26" s="1"/>
  <c r="L352" i="26" s="1"/>
  <c r="L353" i="26" s="1"/>
  <c r="L354" i="26" s="1"/>
  <c r="L355" i="26" s="1"/>
  <c r="L356" i="26" s="1"/>
  <c r="L357" i="26" s="1"/>
  <c r="L358" i="26" s="1"/>
  <c r="L359" i="26" s="1"/>
  <c r="L360" i="26" s="1"/>
  <c r="L361" i="26" s="1"/>
  <c r="L362" i="26" s="1"/>
  <c r="L363" i="26" s="1"/>
  <c r="L364" i="26" s="1"/>
  <c r="L365" i="26" s="1"/>
  <c r="L366" i="26" s="1"/>
  <c r="L367" i="26" s="1"/>
  <c r="L368" i="26" s="1"/>
  <c r="L369" i="26" s="1"/>
  <c r="L370" i="26" s="1"/>
  <c r="L371" i="26" s="1"/>
  <c r="L372" i="26" s="1"/>
  <c r="L373" i="26" s="1"/>
  <c r="L374" i="26" s="1"/>
  <c r="L375" i="26" s="1"/>
  <c r="L376" i="26" s="1"/>
  <c r="L377" i="26" s="1"/>
  <c r="L378" i="26" s="1"/>
  <c r="L379" i="26" s="1"/>
  <c r="L380" i="26" s="1"/>
  <c r="L381" i="26" s="1"/>
  <c r="L382" i="26" s="1"/>
  <c r="L383" i="26" s="1"/>
  <c r="L384" i="26" s="1"/>
  <c r="L385" i="26" s="1"/>
  <c r="L386" i="26" s="1"/>
  <c r="L387" i="26" s="1"/>
  <c r="L388" i="26" s="1"/>
  <c r="L389" i="26" s="1"/>
  <c r="L390" i="26" s="1"/>
  <c r="L391" i="26" s="1"/>
  <c r="L392" i="26" s="1"/>
  <c r="L393" i="26" s="1"/>
  <c r="L394" i="26" s="1"/>
  <c r="L395" i="26" s="1"/>
  <c r="L396" i="26" s="1"/>
  <c r="L397" i="26" s="1"/>
  <c r="L398" i="26" s="1"/>
  <c r="L399" i="26" s="1"/>
  <c r="L400" i="26" s="1"/>
  <c r="L401" i="26" s="1"/>
  <c r="L402" i="26" s="1"/>
  <c r="L403" i="26" s="1"/>
  <c r="L404" i="26" s="1"/>
  <c r="L405" i="26" s="1"/>
  <c r="L406" i="26" s="1"/>
  <c r="L407" i="26" s="1"/>
  <c r="L408" i="26" s="1"/>
  <c r="L409" i="26" s="1"/>
  <c r="L410" i="26" s="1"/>
  <c r="L411" i="26" s="1"/>
  <c r="L412" i="26" s="1"/>
  <c r="L413" i="26" s="1"/>
  <c r="L414" i="26" s="1"/>
  <c r="L415" i="26" s="1"/>
  <c r="L416" i="26" s="1"/>
  <c r="L417" i="26" s="1"/>
  <c r="L418" i="26" s="1"/>
  <c r="L419" i="26" s="1"/>
  <c r="L420" i="26" s="1"/>
  <c r="L421" i="26" s="1"/>
  <c r="L422" i="26" s="1"/>
  <c r="L423" i="26" s="1"/>
  <c r="L424" i="26" s="1"/>
  <c r="L425" i="26" s="1"/>
  <c r="L426" i="26" s="1"/>
  <c r="L427" i="26" s="1"/>
  <c r="L428" i="26" s="1"/>
  <c r="L429" i="26" s="1"/>
  <c r="L430" i="26" s="1"/>
  <c r="L431" i="26" s="1"/>
  <c r="L432" i="26" s="1"/>
  <c r="L433" i="26" s="1"/>
  <c r="L434" i="26" s="1"/>
  <c r="L435" i="26" s="1"/>
  <c r="L436" i="26" s="1"/>
  <c r="L437" i="26" s="1"/>
  <c r="L438" i="26" s="1"/>
  <c r="L439" i="26" s="1"/>
  <c r="L440" i="26" s="1"/>
  <c r="L441" i="26" s="1"/>
  <c r="L442" i="26" s="1"/>
  <c r="L443" i="26" s="1"/>
  <c r="L444" i="26" s="1"/>
  <c r="L445" i="26" s="1"/>
  <c r="L446" i="26" s="1"/>
  <c r="L447" i="26" s="1"/>
  <c r="L448" i="26" s="1"/>
  <c r="L449" i="26" s="1"/>
  <c r="L450" i="26" s="1"/>
  <c r="L451" i="26" s="1"/>
  <c r="L452" i="26" s="1"/>
  <c r="L453" i="26" s="1"/>
  <c r="L454" i="26" s="1"/>
  <c r="L455" i="26" s="1"/>
  <c r="L456" i="26" s="1"/>
  <c r="L457" i="26" s="1"/>
  <c r="L458" i="26" s="1"/>
  <c r="L459" i="26" s="1"/>
  <c r="L460" i="26" s="1"/>
  <c r="L461" i="26" s="1"/>
  <c r="L462" i="26" s="1"/>
  <c r="L463" i="26" s="1"/>
  <c r="L464" i="26" s="1"/>
  <c r="L465" i="26" s="1"/>
  <c r="L466" i="26" s="1"/>
  <c r="L467" i="26" s="1"/>
  <c r="L468" i="26" s="1"/>
  <c r="L469" i="26" s="1"/>
  <c r="L470" i="26" s="1"/>
  <c r="L471" i="26" s="1"/>
  <c r="L472" i="26" s="1"/>
  <c r="L473" i="26" s="1"/>
  <c r="L474" i="26" s="1"/>
  <c r="L475" i="26" s="1"/>
  <c r="L476" i="26" s="1"/>
  <c r="L477" i="26" s="1"/>
  <c r="L478" i="26" s="1"/>
  <c r="L479" i="26" s="1"/>
  <c r="L480" i="26" s="1"/>
  <c r="L481" i="26" s="1"/>
  <c r="L482" i="26" s="1"/>
  <c r="L483" i="26" s="1"/>
  <c r="L484" i="26" s="1"/>
  <c r="L485" i="26" s="1"/>
  <c r="L486" i="26" s="1"/>
  <c r="L487" i="26" s="1"/>
  <c r="L488" i="26" s="1"/>
  <c r="L489" i="26" s="1"/>
  <c r="L490" i="26" s="1"/>
  <c r="L491" i="26" s="1"/>
  <c r="L492" i="26" s="1"/>
  <c r="L493" i="26" s="1"/>
  <c r="L494" i="26" s="1"/>
  <c r="L495" i="26" s="1"/>
  <c r="L496" i="26" s="1"/>
  <c r="L497" i="26" s="1"/>
  <c r="L498" i="26" s="1"/>
  <c r="L499" i="26" s="1"/>
  <c r="L500" i="26" s="1"/>
  <c r="L501" i="26" s="1"/>
  <c r="L502" i="26" s="1"/>
  <c r="L503" i="26" s="1"/>
  <c r="L504" i="26" s="1"/>
  <c r="L505" i="26" s="1"/>
  <c r="L506" i="26" s="1"/>
  <c r="L507" i="26" s="1"/>
  <c r="L508" i="26" s="1"/>
  <c r="L509" i="26" s="1"/>
  <c r="L510" i="26" s="1"/>
  <c r="L511" i="26" s="1"/>
  <c r="L512" i="26" s="1"/>
  <c r="L513" i="26" s="1"/>
  <c r="L514" i="26" s="1"/>
  <c r="L515" i="26" s="1"/>
  <c r="L516" i="26" s="1"/>
  <c r="L517" i="26" s="1"/>
  <c r="L518" i="26" s="1"/>
  <c r="L519" i="26" s="1"/>
  <c r="L520" i="26" s="1"/>
  <c r="L521" i="26" s="1"/>
  <c r="L522" i="26" s="1"/>
  <c r="L523" i="26" s="1"/>
  <c r="L524" i="26" s="1"/>
  <c r="L525" i="26" s="1"/>
  <c r="L526" i="26" s="1"/>
  <c r="L527" i="26" s="1"/>
  <c r="L528" i="26" s="1"/>
  <c r="L529" i="26" s="1"/>
  <c r="L530" i="26" s="1"/>
  <c r="L531" i="26" s="1"/>
  <c r="L532" i="26" s="1"/>
  <c r="L533" i="26" s="1"/>
  <c r="L534" i="26" s="1"/>
  <c r="L535" i="26" s="1"/>
  <c r="L536" i="26" s="1"/>
  <c r="L537" i="26" s="1"/>
  <c r="L538" i="26" s="1"/>
  <c r="L539" i="26" s="1"/>
  <c r="L540" i="26" s="1"/>
  <c r="L541" i="26" s="1"/>
  <c r="L542" i="26" s="1"/>
  <c r="L543" i="26" s="1"/>
  <c r="L544" i="26" s="1"/>
  <c r="L545" i="26" s="1"/>
  <c r="L546" i="26" s="1"/>
  <c r="L547" i="26" s="1"/>
  <c r="L548" i="26" s="1"/>
  <c r="L549" i="26" s="1"/>
  <c r="L550" i="26" s="1"/>
  <c r="L551" i="26" s="1"/>
  <c r="L552" i="26" s="1"/>
  <c r="L553" i="26" s="1"/>
  <c r="L554" i="26" s="1"/>
  <c r="L555" i="26" s="1"/>
  <c r="L556" i="26" s="1"/>
  <c r="L557" i="26" s="1"/>
  <c r="L558" i="26" s="1"/>
  <c r="L559" i="26" s="1"/>
  <c r="L560" i="26" s="1"/>
  <c r="L561" i="26" s="1"/>
  <c r="L562" i="26" s="1"/>
  <c r="L563" i="26" s="1"/>
  <c r="L564" i="26" s="1"/>
  <c r="L565" i="26" s="1"/>
  <c r="L566" i="26" s="1"/>
  <c r="L567" i="26" s="1"/>
  <c r="L568" i="26" s="1"/>
  <c r="L569" i="26" s="1"/>
  <c r="L570" i="26" s="1"/>
  <c r="L571" i="26" s="1"/>
  <c r="L572" i="26" s="1"/>
  <c r="L573" i="26" s="1"/>
  <c r="L574" i="26" s="1"/>
  <c r="L575" i="26" s="1"/>
  <c r="L576" i="26" s="1"/>
  <c r="L577" i="26" s="1"/>
  <c r="L578" i="26" s="1"/>
  <c r="L579" i="26" s="1"/>
  <c r="L580" i="26" s="1"/>
  <c r="L581" i="26" s="1"/>
  <c r="L582" i="26" s="1"/>
  <c r="L583" i="26" s="1"/>
  <c r="L584" i="26" s="1"/>
  <c r="L585" i="26" s="1"/>
  <c r="L586" i="26" s="1"/>
  <c r="L587" i="26" s="1"/>
  <c r="L588" i="26" s="1"/>
  <c r="A9" i="26"/>
  <c r="A8" i="26"/>
  <c r="J3" i="26"/>
  <c r="J5" i="26" s="1"/>
  <c r="I3" i="26"/>
  <c r="D3" i="26"/>
  <c r="D5" i="26" s="1"/>
  <c r="C3" i="26"/>
  <c r="C5" i="26" s="1"/>
  <c r="K2" i="26"/>
  <c r="E2" i="26"/>
  <c r="I45" i="27" l="1"/>
  <c r="E5" i="26"/>
  <c r="H45" i="27"/>
  <c r="E3" i="26"/>
  <c r="K3" i="26"/>
  <c r="I5" i="26"/>
  <c r="K5" i="26" s="1"/>
  <c r="F3" i="26" l="1"/>
  <c r="A15" i="23"/>
  <c r="A14" i="23"/>
  <c r="A13" i="23"/>
  <c r="A12" i="23"/>
  <c r="A11" i="23"/>
  <c r="A10" i="23"/>
  <c r="A9" i="23"/>
  <c r="A8" i="23"/>
  <c r="E19" i="23"/>
  <c r="F16" i="23"/>
  <c r="G16" i="23" s="1"/>
  <c r="F19" i="23" l="1"/>
  <c r="F37" i="20"/>
  <c r="F15" i="25" l="1"/>
  <c r="E15" i="25"/>
  <c r="D15" i="25"/>
  <c r="G11" i="25"/>
  <c r="G10" i="25"/>
  <c r="J10" i="25" s="1"/>
  <c r="G9" i="25"/>
  <c r="H28" i="20"/>
  <c r="I28" i="20"/>
  <c r="G13" i="24"/>
  <c r="F13" i="24"/>
  <c r="E13" i="24"/>
  <c r="H11" i="24"/>
  <c r="H10" i="24"/>
  <c r="H9" i="24"/>
  <c r="D19" i="23"/>
  <c r="G8" i="23"/>
  <c r="H8" i="20"/>
  <c r="I8" i="20"/>
  <c r="H12" i="20"/>
  <c r="I12" i="20"/>
  <c r="G13" i="22"/>
  <c r="G19" i="23" l="1"/>
  <c r="G15" i="25"/>
  <c r="H13" i="24"/>
  <c r="G20" i="24" s="1"/>
  <c r="G76" i="22"/>
  <c r="H14" i="5"/>
  <c r="I14" i="5"/>
  <c r="H11" i="5"/>
  <c r="E18" i="12" l="1"/>
  <c r="E22" i="12" s="1"/>
  <c r="E28" i="12" s="1"/>
  <c r="E34" i="12" s="1"/>
  <c r="D16" i="9"/>
  <c r="D20" i="5" l="1"/>
  <c r="E20" i="5"/>
  <c r="G20" i="5"/>
  <c r="H20" i="5"/>
  <c r="I20" i="5"/>
  <c r="C20" i="5"/>
  <c r="F16" i="5"/>
  <c r="J16" i="5"/>
  <c r="F17" i="5"/>
  <c r="J17" i="5"/>
  <c r="F18" i="5"/>
  <c r="J18" i="5"/>
  <c r="N2" i="21"/>
  <c r="AE2" i="21"/>
  <c r="A6" i="21"/>
  <c r="Q6" i="21"/>
  <c r="W6" i="21"/>
  <c r="Y6" i="21"/>
  <c r="Z6" i="21"/>
  <c r="A7" i="21"/>
  <c r="Q7" i="21"/>
  <c r="AF7" i="21" s="1"/>
  <c r="W7" i="21"/>
  <c r="AH7" i="21" s="1"/>
  <c r="Y7" i="21"/>
  <c r="Z7" i="21"/>
  <c r="A8" i="21"/>
  <c r="Q8" i="21"/>
  <c r="W8" i="21"/>
  <c r="Y8" i="21"/>
  <c r="Z8" i="21"/>
  <c r="A9" i="21"/>
  <c r="Q9" i="21"/>
  <c r="AF9" i="21" s="1"/>
  <c r="W9" i="21"/>
  <c r="AH9" i="21" s="1"/>
  <c r="Y9" i="21"/>
  <c r="Z9" i="21"/>
  <c r="A10" i="21"/>
  <c r="Q10" i="21"/>
  <c r="AF10" i="21" s="1"/>
  <c r="W10" i="21"/>
  <c r="Y10" i="21"/>
  <c r="Z10" i="21"/>
  <c r="A11" i="21"/>
  <c r="Q11" i="21"/>
  <c r="AF11" i="21" s="1"/>
  <c r="W11" i="21"/>
  <c r="AH11" i="21" s="1"/>
  <c r="Y11" i="21"/>
  <c r="Z11" i="21"/>
  <c r="A12" i="21"/>
  <c r="Q12" i="21"/>
  <c r="AF12" i="21" s="1"/>
  <c r="W12" i="21"/>
  <c r="Y12" i="21"/>
  <c r="Z12" i="21"/>
  <c r="A13" i="21"/>
  <c r="Q13" i="21"/>
  <c r="W13" i="21"/>
  <c r="Y13" i="21"/>
  <c r="Z13" i="21"/>
  <c r="A14" i="21"/>
  <c r="Q14" i="21"/>
  <c r="W14" i="21"/>
  <c r="Y14" i="21"/>
  <c r="Z14" i="21"/>
  <c r="A15" i="21"/>
  <c r="Q15" i="21"/>
  <c r="W15" i="21"/>
  <c r="Y15" i="21"/>
  <c r="Z15" i="21"/>
  <c r="A16" i="21"/>
  <c r="Q16" i="21"/>
  <c r="W16" i="21"/>
  <c r="Y16" i="21"/>
  <c r="Z16" i="21"/>
  <c r="AF16" i="21"/>
  <c r="A17" i="21"/>
  <c r="Q17" i="21"/>
  <c r="AF17" i="21" s="1"/>
  <c r="W17" i="21"/>
  <c r="AH17" i="21" s="1"/>
  <c r="Y17" i="21"/>
  <c r="Z17" i="21"/>
  <c r="A18" i="21"/>
  <c r="Q18" i="21"/>
  <c r="AF18" i="21" s="1"/>
  <c r="W18" i="21"/>
  <c r="Y18" i="21"/>
  <c r="Z18" i="21"/>
  <c r="A19" i="21"/>
  <c r="Q19" i="21"/>
  <c r="W19" i="21"/>
  <c r="AH19" i="21" s="1"/>
  <c r="Y19" i="21"/>
  <c r="Z19" i="21"/>
  <c r="AF19" i="21"/>
  <c r="A20" i="21"/>
  <c r="Q20" i="21"/>
  <c r="AF20" i="21" s="1"/>
  <c r="W20" i="21"/>
  <c r="Y20" i="21"/>
  <c r="Z20" i="21"/>
  <c r="A21" i="21"/>
  <c r="Q21" i="21"/>
  <c r="W21" i="21"/>
  <c r="AH21" i="21" s="1"/>
  <c r="Y21" i="21"/>
  <c r="Z21" i="21"/>
  <c r="A22" i="21"/>
  <c r="Q22" i="21"/>
  <c r="W22" i="21"/>
  <c r="Y22" i="21"/>
  <c r="Z22" i="21"/>
  <c r="A23" i="21"/>
  <c r="Q23" i="21"/>
  <c r="W23" i="21"/>
  <c r="Y23" i="21"/>
  <c r="Z23" i="21"/>
  <c r="A24" i="21"/>
  <c r="Q24" i="21"/>
  <c r="W24" i="21"/>
  <c r="Y24" i="21"/>
  <c r="Z24" i="21"/>
  <c r="A25" i="21"/>
  <c r="Q25" i="21"/>
  <c r="AF25" i="21" s="1"/>
  <c r="W25" i="21"/>
  <c r="AH25" i="21" s="1"/>
  <c r="Y25" i="21"/>
  <c r="Z25" i="21"/>
  <c r="A26" i="21"/>
  <c r="Q26" i="21"/>
  <c r="AF26" i="21" s="1"/>
  <c r="W26" i="21"/>
  <c r="Y26" i="21"/>
  <c r="Z26" i="21"/>
  <c r="A27" i="21"/>
  <c r="Q27" i="21"/>
  <c r="AF27" i="21" s="1"/>
  <c r="W27" i="21"/>
  <c r="AH27" i="21" s="1"/>
  <c r="Y27" i="21"/>
  <c r="Z27" i="21"/>
  <c r="A28" i="21"/>
  <c r="Q28" i="21"/>
  <c r="AF28" i="21" s="1"/>
  <c r="W28" i="21"/>
  <c r="Y28" i="21"/>
  <c r="Z28" i="21"/>
  <c r="A29" i="21"/>
  <c r="Q29" i="21"/>
  <c r="W29" i="21"/>
  <c r="Y29" i="21"/>
  <c r="Z29" i="21"/>
  <c r="A30" i="21"/>
  <c r="Q30" i="21"/>
  <c r="AF30" i="21" s="1"/>
  <c r="W30" i="21"/>
  <c r="Y30" i="21"/>
  <c r="Z30" i="21"/>
  <c r="A31" i="21"/>
  <c r="Q31" i="21"/>
  <c r="AF31" i="21" s="1"/>
  <c r="W31" i="21"/>
  <c r="AH31" i="21" s="1"/>
  <c r="Y31" i="21"/>
  <c r="Z31" i="21"/>
  <c r="A32" i="21"/>
  <c r="Q32" i="21"/>
  <c r="AF32" i="21" s="1"/>
  <c r="W32" i="21"/>
  <c r="Y32" i="21"/>
  <c r="Z32" i="21"/>
  <c r="A33" i="21"/>
  <c r="Q33" i="21"/>
  <c r="W33" i="21"/>
  <c r="AH33" i="21" s="1"/>
  <c r="Y33" i="21"/>
  <c r="Z33" i="21"/>
  <c r="A34" i="21"/>
  <c r="Q34" i="21"/>
  <c r="W34" i="21"/>
  <c r="Y34" i="21"/>
  <c r="Z34" i="21"/>
  <c r="A35" i="21"/>
  <c r="Q35" i="21"/>
  <c r="AF35" i="21" s="1"/>
  <c r="W35" i="21"/>
  <c r="Y35" i="21"/>
  <c r="Z35" i="21"/>
  <c r="A36" i="21"/>
  <c r="Q36" i="21"/>
  <c r="W36" i="21"/>
  <c r="Y36" i="21"/>
  <c r="Z36" i="21"/>
  <c r="A37" i="21"/>
  <c r="Q37" i="21"/>
  <c r="W37" i="21"/>
  <c r="AH37" i="21" s="1"/>
  <c r="Y37" i="21"/>
  <c r="Z37" i="21"/>
  <c r="A38" i="21"/>
  <c r="Q38" i="21"/>
  <c r="W38" i="21"/>
  <c r="AH38" i="21" s="1"/>
  <c r="Y38" i="21"/>
  <c r="Z38" i="21"/>
  <c r="A39" i="21"/>
  <c r="Q39" i="21"/>
  <c r="W39" i="21"/>
  <c r="AH39" i="21" s="1"/>
  <c r="Y39" i="21"/>
  <c r="Z39" i="21"/>
  <c r="A40" i="21"/>
  <c r="Q40" i="21"/>
  <c r="W40" i="21"/>
  <c r="Y40" i="21"/>
  <c r="Z40" i="21"/>
  <c r="A41" i="21"/>
  <c r="Q41" i="21"/>
  <c r="W41" i="21"/>
  <c r="AH41" i="21" s="1"/>
  <c r="Y41" i="21"/>
  <c r="Z41" i="21"/>
  <c r="A42" i="21"/>
  <c r="Q42" i="21"/>
  <c r="W42" i="21"/>
  <c r="Y42" i="21"/>
  <c r="Z42" i="21"/>
  <c r="A43" i="21"/>
  <c r="Q43" i="21"/>
  <c r="AF43" i="21" s="1"/>
  <c r="W43" i="21"/>
  <c r="AH43" i="21" s="1"/>
  <c r="Y43" i="21"/>
  <c r="Z43" i="21"/>
  <c r="A44" i="21"/>
  <c r="Q44" i="21"/>
  <c r="W44" i="21"/>
  <c r="Y44" i="21"/>
  <c r="Z44" i="21"/>
  <c r="A45" i="21"/>
  <c r="Q45" i="21"/>
  <c r="W45" i="21"/>
  <c r="AH45" i="21" s="1"/>
  <c r="Y45" i="21"/>
  <c r="Z45" i="21"/>
  <c r="A46" i="21"/>
  <c r="Q46" i="21"/>
  <c r="W46" i="21"/>
  <c r="Y46" i="21"/>
  <c r="Z46" i="21"/>
  <c r="A47" i="21"/>
  <c r="Q47" i="21"/>
  <c r="W47" i="21"/>
  <c r="AH47" i="21" s="1"/>
  <c r="Y47" i="21"/>
  <c r="Z47" i="21"/>
  <c r="A48" i="21"/>
  <c r="Q48" i="21"/>
  <c r="W48" i="21"/>
  <c r="AH48" i="21" s="1"/>
  <c r="Y48" i="21"/>
  <c r="Z48" i="21"/>
  <c r="AF48" i="21"/>
  <c r="A49" i="21"/>
  <c r="Q49" i="21"/>
  <c r="W49" i="21"/>
  <c r="AH49" i="21" s="1"/>
  <c r="Y49" i="21"/>
  <c r="Z49" i="21"/>
  <c r="A50" i="21"/>
  <c r="Q50" i="21"/>
  <c r="AF50" i="21" s="1"/>
  <c r="W50" i="21"/>
  <c r="Y50" i="21"/>
  <c r="Z50" i="21"/>
  <c r="A142" i="21"/>
  <c r="Q142" i="21"/>
  <c r="W142" i="21"/>
  <c r="AH142" i="21" s="1"/>
  <c r="Y142" i="21"/>
  <c r="Z142" i="21"/>
  <c r="AF142" i="21"/>
  <c r="A52" i="21"/>
  <c r="Q52" i="21"/>
  <c r="W52" i="21"/>
  <c r="Y52" i="21"/>
  <c r="Z52" i="21"/>
  <c r="A53" i="21"/>
  <c r="Q53" i="21"/>
  <c r="W53" i="21"/>
  <c r="AH53" i="21" s="1"/>
  <c r="Y53" i="21"/>
  <c r="Z53" i="21"/>
  <c r="A54" i="21"/>
  <c r="Q54" i="21"/>
  <c r="W54" i="21"/>
  <c r="AH54" i="21" s="1"/>
  <c r="Y54" i="21"/>
  <c r="Z54" i="21"/>
  <c r="AF54" i="21"/>
  <c r="A55" i="21"/>
  <c r="Q55" i="21"/>
  <c r="AF55" i="21" s="1"/>
  <c r="W55" i="21"/>
  <c r="Y55" i="21"/>
  <c r="Z55" i="21"/>
  <c r="A56" i="21"/>
  <c r="Q56" i="21"/>
  <c r="W56" i="21"/>
  <c r="AH56" i="21" s="1"/>
  <c r="Y56" i="21"/>
  <c r="Z56" i="21"/>
  <c r="A57" i="21"/>
  <c r="Q57" i="21"/>
  <c r="AF57" i="21" s="1"/>
  <c r="W57" i="21"/>
  <c r="Y57" i="21"/>
  <c r="Z57" i="21"/>
  <c r="A58" i="21"/>
  <c r="Q58" i="21"/>
  <c r="AF58" i="21" s="1"/>
  <c r="W58" i="21"/>
  <c r="AH58" i="21" s="1"/>
  <c r="Y58" i="21"/>
  <c r="Z58" i="21"/>
  <c r="A59" i="21"/>
  <c r="Q59" i="21"/>
  <c r="W59" i="21"/>
  <c r="Y59" i="21"/>
  <c r="Z59" i="21"/>
  <c r="A60" i="21"/>
  <c r="Q60" i="21"/>
  <c r="AF60" i="21" s="1"/>
  <c r="W60" i="21"/>
  <c r="Y60" i="21"/>
  <c r="Z60" i="21"/>
  <c r="A61" i="21"/>
  <c r="Q61" i="21"/>
  <c r="AF61" i="21" s="1"/>
  <c r="W61" i="21"/>
  <c r="Y61" i="21"/>
  <c r="Z61" i="21"/>
  <c r="A62" i="21"/>
  <c r="Q62" i="21"/>
  <c r="AF62" i="21" s="1"/>
  <c r="W62" i="21"/>
  <c r="AH62" i="21" s="1"/>
  <c r="Y62" i="21"/>
  <c r="Z62" i="21"/>
  <c r="A63" i="21"/>
  <c r="Q63" i="21"/>
  <c r="AF63" i="21" s="1"/>
  <c r="W63" i="21"/>
  <c r="AH63" i="21" s="1"/>
  <c r="Y63" i="21"/>
  <c r="Z63" i="21"/>
  <c r="A64" i="21"/>
  <c r="Q64" i="21"/>
  <c r="W64" i="21"/>
  <c r="Y64" i="21"/>
  <c r="Z64" i="21"/>
  <c r="A65" i="21"/>
  <c r="Q65" i="21"/>
  <c r="AF65" i="21" s="1"/>
  <c r="W65" i="21"/>
  <c r="AH65" i="21" s="1"/>
  <c r="Y65" i="21"/>
  <c r="Z65" i="21"/>
  <c r="A66" i="21"/>
  <c r="Q66" i="21"/>
  <c r="W66" i="21"/>
  <c r="AH66" i="21" s="1"/>
  <c r="Y66" i="21"/>
  <c r="Z66" i="21"/>
  <c r="A67" i="21"/>
  <c r="Q67" i="21"/>
  <c r="W67" i="21"/>
  <c r="Y67" i="21"/>
  <c r="Z67" i="21"/>
  <c r="A68" i="21"/>
  <c r="Q68" i="21"/>
  <c r="W68" i="21"/>
  <c r="AH68" i="21" s="1"/>
  <c r="Y68" i="21"/>
  <c r="Z68" i="21"/>
  <c r="A69" i="21"/>
  <c r="Q69" i="21"/>
  <c r="W69" i="21"/>
  <c r="AH69" i="21" s="1"/>
  <c r="Y69" i="21"/>
  <c r="Z69" i="21"/>
  <c r="A70" i="21"/>
  <c r="Q70" i="21"/>
  <c r="W70" i="21"/>
  <c r="AH70" i="21" s="1"/>
  <c r="Y70" i="21"/>
  <c r="Z70" i="21"/>
  <c r="A71" i="21"/>
  <c r="Q71" i="21"/>
  <c r="AF71" i="21" s="1"/>
  <c r="W71" i="21"/>
  <c r="AH71" i="21" s="1"/>
  <c r="Y71" i="21"/>
  <c r="Z71" i="21"/>
  <c r="A72" i="21"/>
  <c r="Q72" i="21"/>
  <c r="W72" i="21"/>
  <c r="Y72" i="21"/>
  <c r="Z72" i="21"/>
  <c r="A73" i="21"/>
  <c r="Q73" i="21"/>
  <c r="AF73" i="21" s="1"/>
  <c r="W73" i="21"/>
  <c r="AH73" i="21" s="1"/>
  <c r="Y73" i="21"/>
  <c r="Z73" i="21"/>
  <c r="A74" i="21"/>
  <c r="Q74" i="21"/>
  <c r="W74" i="21"/>
  <c r="AH74" i="21" s="1"/>
  <c r="Y74" i="21"/>
  <c r="Z74" i="21"/>
  <c r="AF74" i="21"/>
  <c r="A75" i="21"/>
  <c r="Q75" i="21"/>
  <c r="W75" i="21"/>
  <c r="AH75" i="21" s="1"/>
  <c r="Y75" i="21"/>
  <c r="Z75" i="21"/>
  <c r="A76" i="21"/>
  <c r="Q76" i="21"/>
  <c r="AF76" i="21" s="1"/>
  <c r="W76" i="21"/>
  <c r="Y76" i="21"/>
  <c r="Z76" i="21"/>
  <c r="A77" i="21"/>
  <c r="Q77" i="21"/>
  <c r="AF77" i="21" s="1"/>
  <c r="W77" i="21"/>
  <c r="AH77" i="21" s="1"/>
  <c r="Y77" i="21"/>
  <c r="Z77" i="21"/>
  <c r="A78" i="21"/>
  <c r="Q78" i="21"/>
  <c r="AF78" i="21" s="1"/>
  <c r="W78" i="21"/>
  <c r="Y78" i="21"/>
  <c r="Z78" i="21"/>
  <c r="A79" i="21"/>
  <c r="Q79" i="21"/>
  <c r="AF79" i="21" s="1"/>
  <c r="W79" i="21"/>
  <c r="Y79" i="21"/>
  <c r="Z79" i="21"/>
  <c r="A80" i="21"/>
  <c r="Q80" i="21"/>
  <c r="AF80" i="21" s="1"/>
  <c r="W80" i="21"/>
  <c r="Y80" i="21"/>
  <c r="Z80" i="21"/>
  <c r="A81" i="21"/>
  <c r="Q81" i="21"/>
  <c r="W81" i="21"/>
  <c r="AH81" i="21" s="1"/>
  <c r="Y81" i="21"/>
  <c r="Z81" i="21"/>
  <c r="A82" i="21"/>
  <c r="Q82" i="21"/>
  <c r="W82" i="21"/>
  <c r="Y82" i="21"/>
  <c r="Z82" i="21"/>
  <c r="A83" i="21"/>
  <c r="Q83" i="21"/>
  <c r="W83" i="21"/>
  <c r="AH83" i="21" s="1"/>
  <c r="Y83" i="21"/>
  <c r="Z83" i="21"/>
  <c r="A84" i="21"/>
  <c r="Q84" i="21"/>
  <c r="W84" i="21"/>
  <c r="Y84" i="21"/>
  <c r="Z84" i="21"/>
  <c r="A85" i="21"/>
  <c r="Q85" i="21"/>
  <c r="W85" i="21"/>
  <c r="AH85" i="21" s="1"/>
  <c r="Y85" i="21"/>
  <c r="Z85" i="21"/>
  <c r="A86" i="21"/>
  <c r="Q86" i="21"/>
  <c r="AF86" i="21" s="1"/>
  <c r="W86" i="21"/>
  <c r="Y86" i="21"/>
  <c r="Z86" i="21"/>
  <c r="A87" i="21"/>
  <c r="Q87" i="21"/>
  <c r="W87" i="21"/>
  <c r="AH87" i="21" s="1"/>
  <c r="Y87" i="21"/>
  <c r="Z87" i="21"/>
  <c r="A88" i="21"/>
  <c r="Q88" i="21"/>
  <c r="W88" i="21"/>
  <c r="Y88" i="21"/>
  <c r="Z88" i="21"/>
  <c r="AF88" i="21"/>
  <c r="A89" i="21"/>
  <c r="Q89" i="21"/>
  <c r="AF89" i="21" s="1"/>
  <c r="W89" i="21"/>
  <c r="Y89" i="21"/>
  <c r="Z89" i="21"/>
  <c r="A90" i="21"/>
  <c r="Q90" i="21"/>
  <c r="AF90" i="21" s="1"/>
  <c r="W90" i="21"/>
  <c r="Y90" i="21"/>
  <c r="Z90" i="21"/>
  <c r="A91" i="21"/>
  <c r="Q91" i="21"/>
  <c r="W91" i="21"/>
  <c r="AH91" i="21" s="1"/>
  <c r="Y91" i="21"/>
  <c r="Z91" i="21"/>
  <c r="A92" i="21"/>
  <c r="Q92" i="21"/>
  <c r="AF92" i="21" s="1"/>
  <c r="W92" i="21"/>
  <c r="Y92" i="21"/>
  <c r="Z92" i="21"/>
  <c r="A93" i="21"/>
  <c r="Q93" i="21"/>
  <c r="AF93" i="21" s="1"/>
  <c r="W93" i="21"/>
  <c r="Y93" i="21"/>
  <c r="Z93" i="21"/>
  <c r="A94" i="21"/>
  <c r="Q94" i="21"/>
  <c r="AF94" i="21" s="1"/>
  <c r="W94" i="21"/>
  <c r="Y94" i="21"/>
  <c r="Z94" i="21"/>
  <c r="A95" i="21"/>
  <c r="Q95" i="21"/>
  <c r="W95" i="21"/>
  <c r="AH95" i="21" s="1"/>
  <c r="Y95" i="21"/>
  <c r="Z95" i="21"/>
  <c r="A96" i="21"/>
  <c r="Q96" i="21"/>
  <c r="AF96" i="21" s="1"/>
  <c r="W96" i="21"/>
  <c r="Y96" i="21"/>
  <c r="Z96" i="21"/>
  <c r="A97" i="21"/>
  <c r="P97" i="21"/>
  <c r="W97" i="21"/>
  <c r="Y97" i="21"/>
  <c r="A98" i="21"/>
  <c r="Q98" i="21"/>
  <c r="W98" i="21"/>
  <c r="AH98" i="21" s="1"/>
  <c r="Y98" i="21"/>
  <c r="Z98" i="21"/>
  <c r="A99" i="21"/>
  <c r="Q99" i="21"/>
  <c r="W99" i="21"/>
  <c r="AH99" i="21" s="1"/>
  <c r="Y99" i="21"/>
  <c r="Z99" i="21"/>
  <c r="A100" i="21"/>
  <c r="Q100" i="21"/>
  <c r="W100" i="21"/>
  <c r="Y100" i="21"/>
  <c r="Z100" i="21"/>
  <c r="A101" i="21"/>
  <c r="Q101" i="21"/>
  <c r="W101" i="21"/>
  <c r="AH101" i="21" s="1"/>
  <c r="Y101" i="21"/>
  <c r="Z101" i="21"/>
  <c r="A102" i="21"/>
  <c r="P102" i="21"/>
  <c r="Q102" i="21" s="1"/>
  <c r="AF102" i="21" s="1"/>
  <c r="W102" i="21"/>
  <c r="AH102" i="21" s="1"/>
  <c r="Y102" i="21"/>
  <c r="A103" i="21"/>
  <c r="Q103" i="21"/>
  <c r="AF103" i="21" s="1"/>
  <c r="W103" i="21"/>
  <c r="Y103" i="21"/>
  <c r="Z103" i="21"/>
  <c r="A104" i="21"/>
  <c r="Q104" i="21"/>
  <c r="W104" i="21"/>
  <c r="AH104" i="21" s="1"/>
  <c r="Y104" i="21"/>
  <c r="Z104" i="21"/>
  <c r="A105" i="21"/>
  <c r="Q105" i="21"/>
  <c r="W105" i="21"/>
  <c r="Y105" i="21"/>
  <c r="Z105" i="21"/>
  <c r="A106" i="21"/>
  <c r="Q106" i="21"/>
  <c r="W106" i="21"/>
  <c r="AH106" i="21" s="1"/>
  <c r="Y106" i="21"/>
  <c r="Z106" i="21"/>
  <c r="A107" i="21"/>
  <c r="Q107" i="21"/>
  <c r="W107" i="21"/>
  <c r="Y107" i="21"/>
  <c r="Z107" i="21"/>
  <c r="A108" i="21"/>
  <c r="Q108" i="21"/>
  <c r="W108" i="21"/>
  <c r="AH108" i="21" s="1"/>
  <c r="Y108" i="21"/>
  <c r="Z108" i="21"/>
  <c r="A109" i="21"/>
  <c r="Q109" i="21"/>
  <c r="W109" i="21"/>
  <c r="Y109" i="21"/>
  <c r="Z109" i="21"/>
  <c r="A110" i="21"/>
  <c r="Q110" i="21"/>
  <c r="AF110" i="21" s="1"/>
  <c r="W110" i="21"/>
  <c r="Y110" i="21"/>
  <c r="Z110" i="21"/>
  <c r="A111" i="21"/>
  <c r="Q111" i="21"/>
  <c r="AF111" i="21" s="1"/>
  <c r="W111" i="21"/>
  <c r="Y111" i="21"/>
  <c r="Z111" i="21"/>
  <c r="A112" i="21"/>
  <c r="Q112" i="21"/>
  <c r="AF112" i="21" s="1"/>
  <c r="W112" i="21"/>
  <c r="AH112" i="21" s="1"/>
  <c r="Y112" i="21"/>
  <c r="Z112" i="21"/>
  <c r="A113" i="21"/>
  <c r="Q113" i="21"/>
  <c r="AF113" i="21" s="1"/>
  <c r="W113" i="21"/>
  <c r="Y113" i="21"/>
  <c r="Z113" i="21"/>
  <c r="A114" i="21"/>
  <c r="Q114" i="21"/>
  <c r="W114" i="21"/>
  <c r="AH114" i="21" s="1"/>
  <c r="Y114" i="21"/>
  <c r="Z114" i="21"/>
  <c r="A115" i="21"/>
  <c r="Q115" i="21"/>
  <c r="W115" i="21"/>
  <c r="Y115" i="21"/>
  <c r="Z115" i="21"/>
  <c r="A116" i="21"/>
  <c r="Q116" i="21"/>
  <c r="AF116" i="21" s="1"/>
  <c r="W116" i="21"/>
  <c r="AH116" i="21" s="1"/>
  <c r="Y116" i="21"/>
  <c r="Z116" i="21"/>
  <c r="A117" i="21"/>
  <c r="Q117" i="21"/>
  <c r="W117" i="21"/>
  <c r="Y117" i="21"/>
  <c r="Z117" i="21"/>
  <c r="AF117" i="21"/>
  <c r="A118" i="21"/>
  <c r="Q118" i="21"/>
  <c r="W118" i="21"/>
  <c r="Y118" i="21"/>
  <c r="Z118" i="21"/>
  <c r="A119" i="21"/>
  <c r="Q119" i="21"/>
  <c r="AF119" i="21" s="1"/>
  <c r="W119" i="21"/>
  <c r="Y119" i="21"/>
  <c r="Z119" i="21"/>
  <c r="A120" i="21"/>
  <c r="Q120" i="21"/>
  <c r="W120" i="21"/>
  <c r="Y120" i="21"/>
  <c r="Z120" i="21"/>
  <c r="A121" i="21"/>
  <c r="Q121" i="21"/>
  <c r="W121" i="21"/>
  <c r="Y121" i="21"/>
  <c r="Z121" i="21"/>
  <c r="A122" i="21"/>
  <c r="Q122" i="21"/>
  <c r="AF122" i="21" s="1"/>
  <c r="W122" i="21"/>
  <c r="Y122" i="21"/>
  <c r="Z122" i="21"/>
  <c r="A123" i="21"/>
  <c r="Q123" i="21"/>
  <c r="AF123" i="21" s="1"/>
  <c r="W123" i="21"/>
  <c r="Y123" i="21"/>
  <c r="Z123" i="21"/>
  <c r="A124" i="21"/>
  <c r="Q124" i="21"/>
  <c r="W124" i="21"/>
  <c r="Y124" i="21"/>
  <c r="Z124" i="21"/>
  <c r="A125" i="21"/>
  <c r="Q125" i="21"/>
  <c r="AF125" i="21" s="1"/>
  <c r="W125" i="21"/>
  <c r="Y125" i="21"/>
  <c r="Z125" i="21"/>
  <c r="A126" i="21"/>
  <c r="Q126" i="21"/>
  <c r="AF126" i="21" s="1"/>
  <c r="W126" i="21"/>
  <c r="Y126" i="21"/>
  <c r="Z126" i="21"/>
  <c r="A127" i="21"/>
  <c r="Q127" i="21"/>
  <c r="W127" i="21"/>
  <c r="AH127" i="21" s="1"/>
  <c r="Y127" i="21"/>
  <c r="Z127" i="21"/>
  <c r="A128" i="21"/>
  <c r="Q128" i="21"/>
  <c r="AF128" i="21" s="1"/>
  <c r="W128" i="21"/>
  <c r="Y128" i="21"/>
  <c r="Z128" i="21"/>
  <c r="A129" i="21"/>
  <c r="Q129" i="21"/>
  <c r="AF129" i="21" s="1"/>
  <c r="W129" i="21"/>
  <c r="AH129" i="21" s="1"/>
  <c r="Y129" i="21"/>
  <c r="Z129" i="21"/>
  <c r="A130" i="21"/>
  <c r="Q130" i="21"/>
  <c r="AF130" i="21" s="1"/>
  <c r="W130" i="21"/>
  <c r="Y130" i="21"/>
  <c r="Z130" i="21"/>
  <c r="A131" i="21"/>
  <c r="Q131" i="21"/>
  <c r="W131" i="21"/>
  <c r="AH131" i="21" s="1"/>
  <c r="Y131" i="21"/>
  <c r="Z131" i="21"/>
  <c r="A132" i="21"/>
  <c r="Q132" i="21"/>
  <c r="AF132" i="21" s="1"/>
  <c r="W132" i="21"/>
  <c r="Y132" i="21"/>
  <c r="Z132" i="21"/>
  <c r="A133" i="21"/>
  <c r="Q133" i="21"/>
  <c r="W133" i="21"/>
  <c r="AH133" i="21" s="1"/>
  <c r="Y133" i="21"/>
  <c r="Z133" i="21"/>
  <c r="A134" i="21"/>
  <c r="Q134" i="21"/>
  <c r="AF134" i="21" s="1"/>
  <c r="W134" i="21"/>
  <c r="Y134" i="21"/>
  <c r="Z134" i="21"/>
  <c r="A135" i="21"/>
  <c r="Q135" i="21"/>
  <c r="W135" i="21"/>
  <c r="Y135" i="21"/>
  <c r="Z135" i="21"/>
  <c r="A136" i="21"/>
  <c r="Q136" i="21"/>
  <c r="AF136" i="21" s="1"/>
  <c r="W136" i="21"/>
  <c r="Y136" i="21"/>
  <c r="Z136" i="21"/>
  <c r="A137" i="21"/>
  <c r="Q137" i="21"/>
  <c r="W137" i="21"/>
  <c r="Y137" i="21"/>
  <c r="Z137" i="21"/>
  <c r="A138" i="21"/>
  <c r="Q138" i="21"/>
  <c r="W138" i="21"/>
  <c r="Y138" i="21"/>
  <c r="Z138" i="21"/>
  <c r="A139" i="21"/>
  <c r="Q139" i="21"/>
  <c r="AF139" i="21" s="1"/>
  <c r="W139" i="21"/>
  <c r="Y139" i="21"/>
  <c r="Z139" i="21"/>
  <c r="A140" i="21"/>
  <c r="Q140" i="21"/>
  <c r="W140" i="21"/>
  <c r="Y140" i="21"/>
  <c r="Z140" i="21"/>
  <c r="A141" i="21"/>
  <c r="P141" i="21"/>
  <c r="Q141" i="21" s="1"/>
  <c r="AF141" i="21" s="1"/>
  <c r="W141" i="21"/>
  <c r="Y141" i="21"/>
  <c r="A51" i="21"/>
  <c r="Q51" i="21"/>
  <c r="AF51" i="21" s="1"/>
  <c r="W51" i="21"/>
  <c r="Y51" i="21"/>
  <c r="Z51" i="21"/>
  <c r="A143" i="21"/>
  <c r="Q143" i="21"/>
  <c r="W143" i="21"/>
  <c r="AH143" i="21" s="1"/>
  <c r="Y143" i="21"/>
  <c r="Z143" i="21"/>
  <c r="A144" i="21"/>
  <c r="Q144" i="21"/>
  <c r="W144" i="21"/>
  <c r="AH144" i="21" s="1"/>
  <c r="Y144" i="21"/>
  <c r="Z144" i="21"/>
  <c r="A145" i="21"/>
  <c r="P145" i="21"/>
  <c r="Q145" i="21" s="1"/>
  <c r="W145" i="21"/>
  <c r="AH145" i="21" s="1"/>
  <c r="Y145" i="21"/>
  <c r="A146" i="21"/>
  <c r="N146" i="21"/>
  <c r="Q146" i="21" s="1"/>
  <c r="W146" i="21"/>
  <c r="Z146" i="21"/>
  <c r="A147" i="21"/>
  <c r="Q147" i="21"/>
  <c r="W147" i="21"/>
  <c r="Y147" i="21"/>
  <c r="Z147" i="21"/>
  <c r="A148" i="21"/>
  <c r="Q148" i="21"/>
  <c r="W148" i="21"/>
  <c r="AH148" i="21" s="1"/>
  <c r="Y148" i="21"/>
  <c r="Z148" i="21"/>
  <c r="AF148" i="21"/>
  <c r="A149" i="21"/>
  <c r="Q149" i="21"/>
  <c r="AF149" i="21" s="1"/>
  <c r="W149" i="21"/>
  <c r="Y149" i="21"/>
  <c r="Z149" i="21"/>
  <c r="A150" i="21"/>
  <c r="Q150" i="21"/>
  <c r="W150" i="21"/>
  <c r="AH150" i="21" s="1"/>
  <c r="Y150" i="21"/>
  <c r="Z150" i="21"/>
  <c r="A151" i="21"/>
  <c r="Q151" i="21"/>
  <c r="AF151" i="21" s="1"/>
  <c r="W151" i="21"/>
  <c r="Y151" i="21"/>
  <c r="Z151" i="21"/>
  <c r="A152" i="21"/>
  <c r="Q152" i="21"/>
  <c r="W152" i="21"/>
  <c r="AH152" i="21" s="1"/>
  <c r="Y152" i="21"/>
  <c r="Z152" i="21"/>
  <c r="A153" i="21"/>
  <c r="Q153" i="21"/>
  <c r="W153" i="21"/>
  <c r="AH153" i="21" s="1"/>
  <c r="Y153" i="21"/>
  <c r="Z153" i="21"/>
  <c r="A154" i="21"/>
  <c r="Q154" i="21"/>
  <c r="W154" i="21"/>
  <c r="Y154" i="21"/>
  <c r="Z154" i="21"/>
  <c r="AH154" i="21"/>
  <c r="A155" i="21"/>
  <c r="P155" i="21"/>
  <c r="Q155" i="21" s="1"/>
  <c r="W155" i="21"/>
  <c r="Y155" i="21"/>
  <c r="AH155" i="21"/>
  <c r="A156" i="21"/>
  <c r="Q156" i="21"/>
  <c r="W156" i="21"/>
  <c r="Y156" i="21"/>
  <c r="Z156" i="21"/>
  <c r="AH156" i="21"/>
  <c r="A157" i="21"/>
  <c r="Q157" i="21"/>
  <c r="AM157" i="21" s="1"/>
  <c r="W157" i="21"/>
  <c r="Y157" i="21"/>
  <c r="Z157" i="21"/>
  <c r="AH157" i="21"/>
  <c r="A158" i="21"/>
  <c r="Q158" i="21"/>
  <c r="W158" i="21"/>
  <c r="Y158" i="21"/>
  <c r="Z158" i="21"/>
  <c r="AH158" i="21"/>
  <c r="A159" i="21"/>
  <c r="Q159" i="21"/>
  <c r="AF159" i="21" s="1"/>
  <c r="W159" i="21"/>
  <c r="Y159" i="21"/>
  <c r="Z159" i="21"/>
  <c r="AH159" i="21"/>
  <c r="A160" i="21"/>
  <c r="Q160" i="21"/>
  <c r="W160" i="21"/>
  <c r="Y160" i="21"/>
  <c r="Z160" i="21"/>
  <c r="AH160" i="21"/>
  <c r="A161" i="21"/>
  <c r="Q161" i="21"/>
  <c r="AF161" i="21" s="1"/>
  <c r="W161" i="21"/>
  <c r="Y161" i="21"/>
  <c r="Z161" i="21"/>
  <c r="AH161" i="21"/>
  <c r="A162" i="21"/>
  <c r="Q162" i="21"/>
  <c r="W162" i="21"/>
  <c r="Y162" i="21"/>
  <c r="Z162" i="21"/>
  <c r="AH162" i="21"/>
  <c r="A163" i="21"/>
  <c r="Q163" i="21"/>
  <c r="AF163" i="21" s="1"/>
  <c r="W163" i="21"/>
  <c r="Y163" i="21"/>
  <c r="Z163" i="21"/>
  <c r="AH163" i="21"/>
  <c r="A164" i="21"/>
  <c r="Q164" i="21"/>
  <c r="W164" i="21"/>
  <c r="Y164" i="21"/>
  <c r="Z164" i="21"/>
  <c r="AH164" i="21"/>
  <c r="A165" i="21"/>
  <c r="Q165" i="21"/>
  <c r="AF165" i="21" s="1"/>
  <c r="W165" i="21"/>
  <c r="Y165" i="21"/>
  <c r="Z165" i="21"/>
  <c r="AH165" i="21"/>
  <c r="A166" i="21"/>
  <c r="Q166" i="21"/>
  <c r="W166" i="21"/>
  <c r="Y166" i="21"/>
  <c r="Z166" i="21"/>
  <c r="AH166" i="21"/>
  <c r="A167" i="21"/>
  <c r="Q167" i="21"/>
  <c r="W167" i="21"/>
  <c r="Y167" i="21"/>
  <c r="Z167" i="21"/>
  <c r="AH167" i="21"/>
  <c r="A168" i="21"/>
  <c r="Q168" i="21"/>
  <c r="W168" i="21"/>
  <c r="Y168" i="21"/>
  <c r="Z168" i="21"/>
  <c r="AH168" i="21"/>
  <c r="A169" i="21"/>
  <c r="Q169" i="21"/>
  <c r="AF169" i="21" s="1"/>
  <c r="W169" i="21"/>
  <c r="Y169" i="21"/>
  <c r="Z169" i="21"/>
  <c r="AH169" i="21"/>
  <c r="A170" i="21"/>
  <c r="Q170" i="21"/>
  <c r="W170" i="21"/>
  <c r="Y170" i="21"/>
  <c r="Z170" i="21"/>
  <c r="AH170" i="21"/>
  <c r="A171" i="21"/>
  <c r="Q171" i="21"/>
  <c r="W171" i="21"/>
  <c r="Y171" i="21"/>
  <c r="Z171" i="21"/>
  <c r="AH171" i="21"/>
  <c r="A172" i="21"/>
  <c r="Q172" i="21"/>
  <c r="W172" i="21"/>
  <c r="Y172" i="21"/>
  <c r="Z172" i="21"/>
  <c r="AH172" i="21"/>
  <c r="A173" i="21"/>
  <c r="Q173" i="21"/>
  <c r="AF173" i="21" s="1"/>
  <c r="W173" i="21"/>
  <c r="Y173" i="21"/>
  <c r="Z173" i="21"/>
  <c r="AH173" i="21"/>
  <c r="A174" i="21"/>
  <c r="Q174" i="21"/>
  <c r="W174" i="21"/>
  <c r="Y174" i="21"/>
  <c r="Z174" i="21"/>
  <c r="AH174" i="21"/>
  <c r="A175" i="21"/>
  <c r="Q175" i="21"/>
  <c r="AF175" i="21" s="1"/>
  <c r="W175" i="21"/>
  <c r="Y175" i="21"/>
  <c r="Z175" i="21"/>
  <c r="AH175" i="21"/>
  <c r="A176" i="21"/>
  <c r="Q176" i="21"/>
  <c r="W176" i="21"/>
  <c r="Y176" i="21"/>
  <c r="Z176" i="21"/>
  <c r="AH176" i="21"/>
  <c r="A177" i="21"/>
  <c r="Q177" i="21"/>
  <c r="AF177" i="21" s="1"/>
  <c r="W177" i="21"/>
  <c r="Y177" i="21"/>
  <c r="Z177" i="21"/>
  <c r="AH177" i="21"/>
  <c r="A178" i="21"/>
  <c r="Q178" i="21"/>
  <c r="W178" i="21"/>
  <c r="Y178" i="21"/>
  <c r="Z178" i="21"/>
  <c r="AH178" i="21"/>
  <c r="A179" i="21"/>
  <c r="Q179" i="21"/>
  <c r="W179" i="21"/>
  <c r="Y179" i="21"/>
  <c r="Z179" i="21"/>
  <c r="AH179" i="21"/>
  <c r="A182" i="21"/>
  <c r="Q182" i="21"/>
  <c r="W182" i="21"/>
  <c r="Y182" i="21"/>
  <c r="Z182" i="21"/>
  <c r="AH182" i="21"/>
  <c r="A181" i="21"/>
  <c r="Q181" i="21"/>
  <c r="AF181" i="21" s="1"/>
  <c r="W181" i="21"/>
  <c r="Y181" i="21"/>
  <c r="Z181" i="21"/>
  <c r="AH181" i="21"/>
  <c r="A183" i="21"/>
  <c r="Q183" i="21"/>
  <c r="W183" i="21"/>
  <c r="Y183" i="21"/>
  <c r="Z183" i="21"/>
  <c r="AH183" i="21"/>
  <c r="A184" i="21"/>
  <c r="Q184" i="21"/>
  <c r="W184" i="21"/>
  <c r="Y184" i="21"/>
  <c r="Z184" i="21"/>
  <c r="AH184" i="21"/>
  <c r="A194" i="21"/>
  <c r="Q194" i="21"/>
  <c r="W194" i="21"/>
  <c r="Y194" i="21"/>
  <c r="Z194" i="21"/>
  <c r="AH194" i="21"/>
  <c r="A185" i="21"/>
  <c r="Q185" i="21"/>
  <c r="AF185" i="21" s="1"/>
  <c r="W185" i="21"/>
  <c r="Y185" i="21"/>
  <c r="Z185" i="21"/>
  <c r="AH185" i="21"/>
  <c r="A186" i="21"/>
  <c r="Q186" i="21"/>
  <c r="W186" i="21"/>
  <c r="Y186" i="21"/>
  <c r="Z186" i="21"/>
  <c r="AH186" i="21"/>
  <c r="A187" i="21"/>
  <c r="Q187" i="21"/>
  <c r="W187" i="21"/>
  <c r="Y187" i="21"/>
  <c r="Z187" i="21"/>
  <c r="AH187" i="21"/>
  <c r="A188" i="21"/>
  <c r="Q188" i="21"/>
  <c r="W188" i="21"/>
  <c r="Y188" i="21"/>
  <c r="Z188" i="21"/>
  <c r="AH188" i="21"/>
  <c r="A189" i="21"/>
  <c r="Q189" i="21"/>
  <c r="AF189" i="21" s="1"/>
  <c r="W189" i="21"/>
  <c r="Y189" i="21"/>
  <c r="Z189" i="21"/>
  <c r="AH189" i="21"/>
  <c r="A190" i="21"/>
  <c r="Q190" i="21"/>
  <c r="W190" i="21"/>
  <c r="Y190" i="21"/>
  <c r="Z190" i="21"/>
  <c r="AH190" i="21"/>
  <c r="A195" i="21"/>
  <c r="Q195" i="21"/>
  <c r="W195" i="21"/>
  <c r="Y195" i="21"/>
  <c r="Z195" i="21"/>
  <c r="AH195" i="21"/>
  <c r="A192" i="21"/>
  <c r="Q192" i="21"/>
  <c r="W192" i="21"/>
  <c r="Y192" i="21"/>
  <c r="Z192" i="21"/>
  <c r="AH192" i="21"/>
  <c r="A193" i="21"/>
  <c r="Q193" i="21"/>
  <c r="W193" i="21"/>
  <c r="Y193" i="21"/>
  <c r="Z193" i="21"/>
  <c r="AH193" i="21"/>
  <c r="A191" i="21"/>
  <c r="Q191" i="21"/>
  <c r="W191" i="21"/>
  <c r="Y191" i="21"/>
  <c r="Z191" i="21"/>
  <c r="AH191" i="21"/>
  <c r="A198" i="21"/>
  <c r="Q198" i="21"/>
  <c r="W198" i="21"/>
  <c r="Y198" i="21"/>
  <c r="Z198" i="21"/>
  <c r="AH198" i="21"/>
  <c r="A196" i="21"/>
  <c r="Q196" i="21"/>
  <c r="W196" i="21"/>
  <c r="Y196" i="21"/>
  <c r="Z196" i="21"/>
  <c r="AH196" i="21"/>
  <c r="A197" i="21"/>
  <c r="Q197" i="21"/>
  <c r="AF197" i="21" s="1"/>
  <c r="W197" i="21"/>
  <c r="Y197" i="21"/>
  <c r="Z197" i="21"/>
  <c r="AH197" i="21"/>
  <c r="A204" i="21"/>
  <c r="Q204" i="21"/>
  <c r="AF204" i="21" s="1"/>
  <c r="W204" i="21"/>
  <c r="Y204" i="21"/>
  <c r="Z204" i="21"/>
  <c r="AH204" i="21"/>
  <c r="A199" i="21"/>
  <c r="Q199" i="21"/>
  <c r="AF199" i="21" s="1"/>
  <c r="W199" i="21"/>
  <c r="AH199" i="21" s="1"/>
  <c r="Y199" i="21"/>
  <c r="Z199" i="21"/>
  <c r="A200" i="21"/>
  <c r="Q200" i="21"/>
  <c r="W200" i="21"/>
  <c r="AH200" i="21" s="1"/>
  <c r="Y200" i="21"/>
  <c r="Z200" i="21"/>
  <c r="AF200" i="21"/>
  <c r="A201" i="21"/>
  <c r="Q201" i="21"/>
  <c r="AF201" i="21" s="1"/>
  <c r="W201" i="21"/>
  <c r="AH201" i="21" s="1"/>
  <c r="Y201" i="21"/>
  <c r="Z201" i="21"/>
  <c r="A202" i="21"/>
  <c r="Q202" i="21"/>
  <c r="W202" i="21"/>
  <c r="Y202" i="21"/>
  <c r="Z202" i="21"/>
  <c r="AH202" i="21"/>
  <c r="A203" i="21"/>
  <c r="Q203" i="21"/>
  <c r="W203" i="21"/>
  <c r="Y203" i="21"/>
  <c r="Z203" i="21"/>
  <c r="AH203" i="21"/>
  <c r="A205" i="21"/>
  <c r="Q205" i="21"/>
  <c r="W205" i="21"/>
  <c r="Y205" i="21"/>
  <c r="Z205" i="21"/>
  <c r="AH205" i="21"/>
  <c r="A207" i="21"/>
  <c r="Q207" i="21"/>
  <c r="AF207" i="21" s="1"/>
  <c r="W207" i="21"/>
  <c r="Y207" i="21"/>
  <c r="Z207" i="21"/>
  <c r="AH207" i="21"/>
  <c r="A206" i="21"/>
  <c r="Q206" i="21"/>
  <c r="AF206" i="21" s="1"/>
  <c r="W206" i="21"/>
  <c r="Y206" i="21"/>
  <c r="Z206" i="21"/>
  <c r="AH206" i="21"/>
  <c r="A211" i="21"/>
  <c r="Q211" i="21"/>
  <c r="W211" i="21"/>
  <c r="Y211" i="21"/>
  <c r="Z211" i="21"/>
  <c r="AH211" i="21"/>
  <c r="A208" i="21"/>
  <c r="Q208" i="21"/>
  <c r="AF208" i="21" s="1"/>
  <c r="W208" i="21"/>
  <c r="Y208" i="21"/>
  <c r="Z208" i="21"/>
  <c r="AH208" i="21"/>
  <c r="A209" i="21"/>
  <c r="Q209" i="21"/>
  <c r="W209" i="21"/>
  <c r="Y209" i="21"/>
  <c r="Z209" i="21"/>
  <c r="AH209" i="21"/>
  <c r="A210" i="21"/>
  <c r="Q210" i="21"/>
  <c r="W210" i="21"/>
  <c r="Y210" i="21"/>
  <c r="Z210" i="21"/>
  <c r="AH210" i="21"/>
  <c r="A216" i="21"/>
  <c r="Q216" i="21"/>
  <c r="W216" i="21"/>
  <c r="Y216" i="21"/>
  <c r="Z216" i="21"/>
  <c r="AH216" i="21"/>
  <c r="A212" i="21"/>
  <c r="Q212" i="21"/>
  <c r="AF212" i="21" s="1"/>
  <c r="W212" i="21"/>
  <c r="Y212" i="21"/>
  <c r="Z212" i="21"/>
  <c r="AH212" i="21"/>
  <c r="A217" i="21"/>
  <c r="Q217" i="21"/>
  <c r="AF217" i="21" s="1"/>
  <c r="W217" i="21"/>
  <c r="Y217" i="21"/>
  <c r="Z217" i="21"/>
  <c r="AH217" i="21"/>
  <c r="A214" i="21"/>
  <c r="Q214" i="21"/>
  <c r="AF214" i="21" s="1"/>
  <c r="W214" i="21"/>
  <c r="Y214" i="21"/>
  <c r="Z214" i="21"/>
  <c r="AH214" i="21"/>
  <c r="A218" i="21"/>
  <c r="Q218" i="21"/>
  <c r="W218" i="21"/>
  <c r="Y218" i="21"/>
  <c r="Z218" i="21"/>
  <c r="AH218" i="21"/>
  <c r="A213" i="21"/>
  <c r="Q213" i="21"/>
  <c r="W213" i="21"/>
  <c r="Y213" i="21"/>
  <c r="Z213" i="21"/>
  <c r="AH213" i="21"/>
  <c r="A215" i="21"/>
  <c r="Q215" i="21"/>
  <c r="W215" i="21"/>
  <c r="Y215" i="21"/>
  <c r="Z215" i="21"/>
  <c r="AH215" i="21"/>
  <c r="A180" i="21"/>
  <c r="Q180" i="21"/>
  <c r="W180" i="21"/>
  <c r="Y180" i="21"/>
  <c r="Z180" i="21"/>
  <c r="AH180" i="21"/>
  <c r="A219" i="21"/>
  <c r="Q219" i="21"/>
  <c r="AF219" i="21" s="1"/>
  <c r="W219" i="21"/>
  <c r="Y219" i="21"/>
  <c r="Z219" i="21"/>
  <c r="AH219" i="21"/>
  <c r="A220" i="21"/>
  <c r="Q220" i="21"/>
  <c r="AF220" i="21" s="1"/>
  <c r="W220" i="21"/>
  <c r="Y220" i="21"/>
  <c r="Z220" i="21"/>
  <c r="AH220" i="21"/>
  <c r="A221" i="21"/>
  <c r="Q221" i="21"/>
  <c r="W221" i="21"/>
  <c r="Y221" i="21"/>
  <c r="Z221" i="21"/>
  <c r="AH221" i="21"/>
  <c r="A222" i="21"/>
  <c r="Q222" i="21"/>
  <c r="W222" i="21"/>
  <c r="Y222" i="21"/>
  <c r="Z222" i="21"/>
  <c r="AH222" i="21"/>
  <c r="A223" i="21"/>
  <c r="Q223" i="21"/>
  <c r="W223" i="21"/>
  <c r="Y223" i="21"/>
  <c r="Z223" i="21"/>
  <c r="AH223" i="21"/>
  <c r="A224" i="21"/>
  <c r="Q224" i="21"/>
  <c r="AF224" i="21" s="1"/>
  <c r="W224" i="21"/>
  <c r="Y224" i="21"/>
  <c r="Z224" i="21"/>
  <c r="AH224" i="21"/>
  <c r="A225" i="21"/>
  <c r="Q225" i="21"/>
  <c r="W225" i="21"/>
  <c r="Y225" i="21"/>
  <c r="Z225" i="21"/>
  <c r="AH225" i="21"/>
  <c r="A226" i="21"/>
  <c r="Q226" i="21"/>
  <c r="W226" i="21"/>
  <c r="Y226" i="21"/>
  <c r="Z226" i="21"/>
  <c r="AH226" i="21"/>
  <c r="A227" i="21"/>
  <c r="Q227" i="21"/>
  <c r="W227" i="21"/>
  <c r="Y227" i="21"/>
  <c r="Z227" i="21"/>
  <c r="AH227" i="21"/>
  <c r="A228" i="21"/>
  <c r="Q228" i="21"/>
  <c r="W228" i="21"/>
  <c r="Y228" i="21"/>
  <c r="Z228" i="21"/>
  <c r="AH228" i="21"/>
  <c r="A229" i="21"/>
  <c r="Q229" i="21"/>
  <c r="AF229" i="21" s="1"/>
  <c r="W229" i="21"/>
  <c r="Y229" i="21"/>
  <c r="Z229" i="21"/>
  <c r="AH229" i="21"/>
  <c r="A230" i="21"/>
  <c r="Q230" i="21"/>
  <c r="W230" i="21"/>
  <c r="Y230" i="21"/>
  <c r="Z230" i="21"/>
  <c r="AH230" i="21"/>
  <c r="A231" i="21"/>
  <c r="Q231" i="21"/>
  <c r="W231" i="21"/>
  <c r="Y231" i="21"/>
  <c r="Z231" i="21"/>
  <c r="AH231" i="21"/>
  <c r="A232" i="21"/>
  <c r="Q232" i="21"/>
  <c r="AF232" i="21" s="1"/>
  <c r="W232" i="21"/>
  <c r="Y232" i="21"/>
  <c r="Z232" i="21"/>
  <c r="AH232" i="21"/>
  <c r="A233" i="21"/>
  <c r="Q233" i="21"/>
  <c r="AF233" i="21" s="1"/>
  <c r="W233" i="21"/>
  <c r="Y233" i="21"/>
  <c r="Z233" i="21"/>
  <c r="AH233" i="21"/>
  <c r="A234" i="21"/>
  <c r="Q234" i="21"/>
  <c r="W234" i="21"/>
  <c r="Y234" i="21"/>
  <c r="Z234" i="21"/>
  <c r="AH234" i="21"/>
  <c r="A235" i="21"/>
  <c r="Q235" i="21"/>
  <c r="AF235" i="21" s="1"/>
  <c r="W235" i="21"/>
  <c r="Y235" i="21"/>
  <c r="Z235" i="21"/>
  <c r="AH235" i="21"/>
  <c r="A236" i="21"/>
  <c r="Q236" i="21"/>
  <c r="W236" i="21"/>
  <c r="Y236" i="21"/>
  <c r="Z236" i="21"/>
  <c r="AH236" i="21"/>
  <c r="A237" i="21"/>
  <c r="Q237" i="21"/>
  <c r="AF237" i="21" s="1"/>
  <c r="W237" i="21"/>
  <c r="Y237" i="21"/>
  <c r="Z237" i="21"/>
  <c r="AH237" i="21"/>
  <c r="A238" i="21"/>
  <c r="Q238" i="21"/>
  <c r="AF238" i="21" s="1"/>
  <c r="W238" i="21"/>
  <c r="Y238" i="21"/>
  <c r="Z238" i="21"/>
  <c r="AH238" i="21"/>
  <c r="A239" i="21"/>
  <c r="Q239" i="21"/>
  <c r="W239" i="21"/>
  <c r="Y239" i="21"/>
  <c r="Z239" i="21"/>
  <c r="AH239" i="21"/>
  <c r="A240" i="21"/>
  <c r="Q240" i="21"/>
  <c r="W240" i="21"/>
  <c r="Y240" i="21"/>
  <c r="Z240" i="21"/>
  <c r="AH240" i="21"/>
  <c r="A241" i="21"/>
  <c r="Q241" i="21"/>
  <c r="W241" i="21"/>
  <c r="Y241" i="21"/>
  <c r="Z241" i="21"/>
  <c r="AF241" i="21"/>
  <c r="AH241" i="21"/>
  <c r="A242" i="21"/>
  <c r="Q242" i="21"/>
  <c r="W242" i="21"/>
  <c r="Y242" i="21"/>
  <c r="Z242" i="21"/>
  <c r="AH242" i="21"/>
  <c r="A243" i="21"/>
  <c r="Q243" i="21"/>
  <c r="W243" i="21"/>
  <c r="Y243" i="21"/>
  <c r="Z243" i="21"/>
  <c r="AH243" i="21"/>
  <c r="A244" i="21"/>
  <c r="Q244" i="21"/>
  <c r="W244" i="21"/>
  <c r="Y244" i="21"/>
  <c r="Z244" i="21"/>
  <c r="AH244" i="21"/>
  <c r="A245" i="21"/>
  <c r="Q245" i="21"/>
  <c r="AF245" i="21" s="1"/>
  <c r="W245" i="21"/>
  <c r="Y245" i="21"/>
  <c r="Z245" i="21"/>
  <c r="AH245" i="21"/>
  <c r="A246" i="21"/>
  <c r="Q246" i="21"/>
  <c r="AF246" i="21" s="1"/>
  <c r="W246" i="21"/>
  <c r="Y246" i="21"/>
  <c r="Z246" i="21"/>
  <c r="AH246" i="21"/>
  <c r="A247" i="21"/>
  <c r="Q247" i="21"/>
  <c r="W247" i="21"/>
  <c r="Y247" i="21"/>
  <c r="Z247" i="21"/>
  <c r="AH247" i="21"/>
  <c r="A248" i="21"/>
  <c r="Q248" i="21"/>
  <c r="W248" i="21"/>
  <c r="Y248" i="21"/>
  <c r="Z248" i="21"/>
  <c r="AH248" i="21"/>
  <c r="A249" i="21"/>
  <c r="Q249" i="21"/>
  <c r="AF249" i="21" s="1"/>
  <c r="W249" i="21"/>
  <c r="Y249" i="21"/>
  <c r="Z249" i="21"/>
  <c r="AH249" i="21"/>
  <c r="A250" i="21"/>
  <c r="Q250" i="21"/>
  <c r="W250" i="21"/>
  <c r="Y250" i="21"/>
  <c r="Z250" i="21"/>
  <c r="AH250" i="21"/>
  <c r="A251" i="21"/>
  <c r="Q251" i="21"/>
  <c r="W251" i="21"/>
  <c r="Y251" i="21"/>
  <c r="Z251" i="21"/>
  <c r="AH251" i="21"/>
  <c r="A252" i="21"/>
  <c r="Q252" i="21"/>
  <c r="W252" i="21"/>
  <c r="Y252" i="21"/>
  <c r="Z252" i="21"/>
  <c r="AH252" i="21"/>
  <c r="A253" i="21"/>
  <c r="Q253" i="21"/>
  <c r="W253" i="21"/>
  <c r="Y253" i="21"/>
  <c r="Z253" i="21"/>
  <c r="AH253" i="21"/>
  <c r="A254" i="21"/>
  <c r="Q254" i="21"/>
  <c r="AF254" i="21" s="1"/>
  <c r="W254" i="21"/>
  <c r="Y254" i="21"/>
  <c r="Z254" i="21"/>
  <c r="AH254" i="21"/>
  <c r="A255" i="21"/>
  <c r="Q255" i="21"/>
  <c r="W255" i="21"/>
  <c r="Y255" i="21"/>
  <c r="Z255" i="21"/>
  <c r="AH255" i="21"/>
  <c r="A256" i="21"/>
  <c r="Q256" i="21"/>
  <c r="AF256" i="21" s="1"/>
  <c r="W256" i="21"/>
  <c r="Y256" i="21"/>
  <c r="Z256" i="21"/>
  <c r="AH256" i="21"/>
  <c r="A257" i="21"/>
  <c r="Q257" i="21"/>
  <c r="AF257" i="21" s="1"/>
  <c r="W257" i="21"/>
  <c r="Y257" i="21"/>
  <c r="Z257" i="21"/>
  <c r="AH257" i="21"/>
  <c r="A258" i="21"/>
  <c r="Q258" i="21"/>
  <c r="W258" i="21"/>
  <c r="Y258" i="21"/>
  <c r="Z258" i="21"/>
  <c r="AH258" i="21"/>
  <c r="A259" i="21"/>
  <c r="Q259" i="21"/>
  <c r="W259" i="21"/>
  <c r="Y259" i="21"/>
  <c r="Z259" i="21"/>
  <c r="AH259" i="21"/>
  <c r="A260" i="21"/>
  <c r="Q260" i="21"/>
  <c r="W260" i="21"/>
  <c r="Y260" i="21"/>
  <c r="Z260" i="21"/>
  <c r="AH260" i="21"/>
  <c r="A261" i="21"/>
  <c r="Q261" i="21"/>
  <c r="AF261" i="21" s="1"/>
  <c r="W261" i="21"/>
  <c r="Y261" i="21"/>
  <c r="Z261" i="21"/>
  <c r="AH261" i="21"/>
  <c r="A262" i="21"/>
  <c r="Q262" i="21"/>
  <c r="AF262" i="21" s="1"/>
  <c r="W262" i="21"/>
  <c r="Y262" i="21"/>
  <c r="Z262" i="21"/>
  <c r="AH262" i="21"/>
  <c r="A263" i="21"/>
  <c r="Q263" i="21"/>
  <c r="AF263" i="21" s="1"/>
  <c r="W263" i="21"/>
  <c r="Y263" i="21"/>
  <c r="Z263" i="21"/>
  <c r="AH263" i="21"/>
  <c r="A264" i="21"/>
  <c r="Q264" i="21"/>
  <c r="W264" i="21"/>
  <c r="Y264" i="21"/>
  <c r="Z264" i="21"/>
  <c r="AH264" i="21"/>
  <c r="A265" i="21"/>
  <c r="Q265" i="21"/>
  <c r="W265" i="21"/>
  <c r="Y265" i="21"/>
  <c r="Z265" i="21"/>
  <c r="AH265" i="21"/>
  <c r="A266" i="21"/>
  <c r="Q266" i="21"/>
  <c r="W266" i="21"/>
  <c r="Y266" i="21"/>
  <c r="Z266" i="21"/>
  <c r="AH266" i="21"/>
  <c r="A267" i="21"/>
  <c r="Q267" i="21"/>
  <c r="W267" i="21"/>
  <c r="Y267" i="21"/>
  <c r="Z267" i="21"/>
  <c r="AH267" i="21"/>
  <c r="A268" i="21"/>
  <c r="Q268" i="21"/>
  <c r="W268" i="21"/>
  <c r="Y268" i="21"/>
  <c r="Z268" i="21"/>
  <c r="AH268" i="21"/>
  <c r="A269" i="21"/>
  <c r="Q269" i="21"/>
  <c r="AF269" i="21" s="1"/>
  <c r="W269" i="21"/>
  <c r="Y269" i="21"/>
  <c r="Z269" i="21"/>
  <c r="AH269" i="21"/>
  <c r="A270" i="21"/>
  <c r="Q270" i="21"/>
  <c r="AF270" i="21" s="1"/>
  <c r="W270" i="21"/>
  <c r="Y270" i="21"/>
  <c r="Z270" i="21"/>
  <c r="AH270" i="21"/>
  <c r="A271" i="21"/>
  <c r="Q271" i="21"/>
  <c r="AF271" i="21" s="1"/>
  <c r="W271" i="21"/>
  <c r="Y271" i="21"/>
  <c r="Z271" i="21"/>
  <c r="AH271" i="21"/>
  <c r="A272" i="21"/>
  <c r="Q272" i="21"/>
  <c r="AF272" i="21" s="1"/>
  <c r="W272" i="21"/>
  <c r="Y272" i="21"/>
  <c r="Z272" i="21"/>
  <c r="AH272" i="21"/>
  <c r="A273" i="21"/>
  <c r="Q273" i="21"/>
  <c r="W273" i="21"/>
  <c r="Y273" i="21"/>
  <c r="Z273" i="21"/>
  <c r="AH273" i="21"/>
  <c r="A274" i="21"/>
  <c r="Q274" i="21"/>
  <c r="W274" i="21"/>
  <c r="Y274" i="21"/>
  <c r="Z274" i="21"/>
  <c r="A275" i="21"/>
  <c r="Q275" i="21"/>
  <c r="W275" i="21"/>
  <c r="AH275" i="21" s="1"/>
  <c r="Y275" i="21"/>
  <c r="Z275" i="21"/>
  <c r="A276" i="21"/>
  <c r="Q276" i="21"/>
  <c r="W276" i="21"/>
  <c r="AH276" i="21" s="1"/>
  <c r="Y276" i="21"/>
  <c r="Z276" i="21"/>
  <c r="AF276" i="21"/>
  <c r="A277" i="21"/>
  <c r="Q277" i="21"/>
  <c r="AF277" i="21" s="1"/>
  <c r="W277" i="21"/>
  <c r="AH277" i="21" s="1"/>
  <c r="Y277" i="21"/>
  <c r="Z277" i="21"/>
  <c r="A278" i="21"/>
  <c r="Q278" i="21"/>
  <c r="AF278" i="21" s="1"/>
  <c r="W278" i="21"/>
  <c r="AH278" i="21" s="1"/>
  <c r="Y278" i="21"/>
  <c r="Z278" i="21"/>
  <c r="A279" i="21"/>
  <c r="Q279" i="21"/>
  <c r="AF279" i="21" s="1"/>
  <c r="W279" i="21"/>
  <c r="AH279" i="21" s="1"/>
  <c r="Y279" i="21"/>
  <c r="Z279" i="21"/>
  <c r="E18" i="2"/>
  <c r="Z141" i="21" l="1"/>
  <c r="Z145" i="21"/>
  <c r="Z102" i="21"/>
  <c r="Y146" i="21"/>
  <c r="AF157" i="21"/>
  <c r="AF253" i="21"/>
  <c r="AF184" i="21"/>
  <c r="AF164" i="21"/>
  <c r="AF153" i="21"/>
  <c r="AF140" i="21"/>
  <c r="AF114" i="21"/>
  <c r="AF83" i="21"/>
  <c r="AF247" i="21"/>
  <c r="AF215" i="21"/>
  <c r="AF218" i="21"/>
  <c r="AF211" i="21"/>
  <c r="AF205" i="21"/>
  <c r="AF188" i="21"/>
  <c r="AF179" i="21"/>
  <c r="AF167" i="21"/>
  <c r="AF155" i="21"/>
  <c r="AF152" i="21"/>
  <c r="AF147" i="21"/>
  <c r="AF124" i="21"/>
  <c r="AF109" i="21"/>
  <c r="AF105" i="21"/>
  <c r="AF95" i="21"/>
  <c r="AF82" i="21"/>
  <c r="AF75" i="21"/>
  <c r="AF64" i="21"/>
  <c r="AF53" i="21"/>
  <c r="AF44" i="21"/>
  <c r="AF41" i="21"/>
  <c r="AF37" i="21"/>
  <c r="AF34" i="21"/>
  <c r="AF24" i="21"/>
  <c r="AF15" i="21"/>
  <c r="AF8" i="21"/>
  <c r="AF274" i="21"/>
  <c r="AF264" i="21"/>
  <c r="AF239" i="21"/>
  <c r="AF226" i="21"/>
  <c r="AF216" i="21"/>
  <c r="AF171" i="21"/>
  <c r="AF150" i="21"/>
  <c r="AF137" i="21"/>
  <c r="AF106" i="21"/>
  <c r="AF100" i="21"/>
  <c r="AF91" i="21"/>
  <c r="AF67" i="21"/>
  <c r="AF45" i="21"/>
  <c r="AF42" i="21"/>
  <c r="AF21" i="21"/>
  <c r="AF6" i="21"/>
  <c r="AF273" i="21"/>
  <c r="AF267" i="21"/>
  <c r="AF265" i="21"/>
  <c r="AF252" i="21"/>
  <c r="AF250" i="21"/>
  <c r="AF240" i="21"/>
  <c r="AF227" i="21"/>
  <c r="AF225" i="21"/>
  <c r="AF210" i="21"/>
  <c r="AF198" i="21"/>
  <c r="AF193" i="21"/>
  <c r="AF195" i="21"/>
  <c r="AF183" i="21"/>
  <c r="AF172" i="21"/>
  <c r="AF160" i="21"/>
  <c r="AF146" i="21"/>
  <c r="AF143" i="21"/>
  <c r="AF121" i="21"/>
  <c r="AF118" i="21"/>
  <c r="AF108" i="21"/>
  <c r="AF104" i="21"/>
  <c r="AF98" i="21"/>
  <c r="AF85" i="21"/>
  <c r="AF81" i="21"/>
  <c r="AF72" i="21"/>
  <c r="AF69" i="21"/>
  <c r="AF59" i="21"/>
  <c r="AF52" i="21"/>
  <c r="AF47" i="21"/>
  <c r="AF40" i="21"/>
  <c r="AF36" i="21"/>
  <c r="AF33" i="21"/>
  <c r="AF29" i="21"/>
  <c r="AF14" i="21"/>
  <c r="AF209" i="21"/>
  <c r="AF192" i="21"/>
  <c r="AF260" i="21"/>
  <c r="AF255" i="21"/>
  <c r="AF248" i="21"/>
  <c r="AF243" i="21"/>
  <c r="AF230" i="21"/>
  <c r="AF223" i="21"/>
  <c r="AF221" i="21"/>
  <c r="AF180" i="21"/>
  <c r="AF187" i="21"/>
  <c r="AF182" i="21"/>
  <c r="AF154" i="21"/>
  <c r="AF138" i="21"/>
  <c r="AF135" i="21"/>
  <c r="AF120" i="21"/>
  <c r="AF115" i="21"/>
  <c r="AF107" i="21"/>
  <c r="AF87" i="21"/>
  <c r="AF84" i="21"/>
  <c r="AF56" i="21"/>
  <c r="AF46" i="21"/>
  <c r="AF39" i="21"/>
  <c r="AF22" i="21"/>
  <c r="AF13" i="21"/>
  <c r="AA8" i="21"/>
  <c r="AA184" i="21"/>
  <c r="AA188" i="21"/>
  <c r="AA274" i="21"/>
  <c r="X180" i="21"/>
  <c r="AI180" i="21" s="1"/>
  <c r="AJ180" i="21" s="1"/>
  <c r="AA209" i="21"/>
  <c r="AA186" i="21"/>
  <c r="AA164" i="21"/>
  <c r="AA140" i="21"/>
  <c r="AA137" i="21"/>
  <c r="AA255" i="21"/>
  <c r="AA247" i="21"/>
  <c r="AA183" i="21"/>
  <c r="AA167" i="21"/>
  <c r="AA22" i="21"/>
  <c r="AA228" i="21"/>
  <c r="X228" i="21"/>
  <c r="AI228" i="21" s="1"/>
  <c r="AJ228" i="21" s="1"/>
  <c r="AA170" i="21"/>
  <c r="AA154" i="21"/>
  <c r="AA115" i="21"/>
  <c r="AA105" i="21"/>
  <c r="AA33" i="21"/>
  <c r="AA29" i="21"/>
  <c r="AA13" i="21"/>
  <c r="AH274" i="21"/>
  <c r="X274" i="21" s="1"/>
  <c r="AI274" i="21" s="1"/>
  <c r="AJ274" i="21" s="1"/>
  <c r="AA82" i="21"/>
  <c r="AA59" i="21"/>
  <c r="AA118" i="21"/>
  <c r="AA100" i="21"/>
  <c r="AA39" i="21"/>
  <c r="AA23" i="21"/>
  <c r="AH29" i="21"/>
  <c r="X29" i="21" s="1"/>
  <c r="AI29" i="21" s="1"/>
  <c r="AJ29" i="21" s="1"/>
  <c r="AH13" i="21"/>
  <c r="X13" i="21" s="1"/>
  <c r="AI13" i="21" s="1"/>
  <c r="AJ13" i="21" s="1"/>
  <c r="X243" i="21"/>
  <c r="AI243" i="21" s="1"/>
  <c r="AJ243" i="21" s="1"/>
  <c r="X232" i="21"/>
  <c r="AI232" i="21" s="1"/>
  <c r="AJ232" i="21" s="1"/>
  <c r="AA232" i="21"/>
  <c r="AA230" i="21"/>
  <c r="AH100" i="21"/>
  <c r="X100" i="21" s="1"/>
  <c r="AI100" i="21" s="1"/>
  <c r="AJ100" i="21" s="1"/>
  <c r="AA41" i="21"/>
  <c r="X279" i="21"/>
  <c r="AI279" i="21" s="1"/>
  <c r="AJ279" i="21" s="1"/>
  <c r="AA260" i="21"/>
  <c r="AA37" i="21"/>
  <c r="X273" i="21"/>
  <c r="AI273" i="21" s="1"/>
  <c r="AJ273" i="21" s="1"/>
  <c r="AA267" i="21"/>
  <c r="AA265" i="21"/>
  <c r="X251" i="21"/>
  <c r="AI251" i="21" s="1"/>
  <c r="AJ251" i="21" s="1"/>
  <c r="AA244" i="21"/>
  <c r="AA242" i="21"/>
  <c r="AA234" i="21"/>
  <c r="AA231" i="21"/>
  <c r="AA227" i="21"/>
  <c r="AA225" i="21"/>
  <c r="AA222" i="21"/>
  <c r="AA215" i="21"/>
  <c r="AA218" i="21"/>
  <c r="AA191" i="21"/>
  <c r="AA192" i="21"/>
  <c r="AA187" i="21"/>
  <c r="AA171" i="21"/>
  <c r="X166" i="21"/>
  <c r="AI166" i="21" s="1"/>
  <c r="AJ166" i="21" s="1"/>
  <c r="AA160" i="21"/>
  <c r="AA114" i="21"/>
  <c r="AA81" i="21"/>
  <c r="AA75" i="21"/>
  <c r="AA66" i="21"/>
  <c r="AA56" i="21"/>
  <c r="AA45" i="21"/>
  <c r="AA44" i="21"/>
  <c r="AA14" i="21"/>
  <c r="AA87" i="21"/>
  <c r="AA85" i="21"/>
  <c r="X98" i="21"/>
  <c r="AI98" i="21" s="1"/>
  <c r="AJ98" i="21" s="1"/>
  <c r="K17" i="5"/>
  <c r="K18" i="5"/>
  <c r="K16" i="5"/>
  <c r="AA251" i="21"/>
  <c r="AA237" i="21"/>
  <c r="X168" i="21"/>
  <c r="AI168" i="21" s="1"/>
  <c r="AJ168" i="21" s="1"/>
  <c r="AA68" i="21"/>
  <c r="X240" i="21"/>
  <c r="AI240" i="21" s="1"/>
  <c r="AJ240" i="21" s="1"/>
  <c r="X276" i="21"/>
  <c r="AI276" i="21" s="1"/>
  <c r="AJ276" i="21" s="1"/>
  <c r="AA276" i="21"/>
  <c r="AA264" i="21"/>
  <c r="X246" i="21"/>
  <c r="AI246" i="21" s="1"/>
  <c r="AJ246" i="21" s="1"/>
  <c r="AA246" i="21"/>
  <c r="X236" i="21"/>
  <c r="AI236" i="21" s="1"/>
  <c r="AJ236" i="21" s="1"/>
  <c r="AA213" i="21"/>
  <c r="AA212" i="21"/>
  <c r="AA210" i="21"/>
  <c r="AA196" i="21"/>
  <c r="AA176" i="21"/>
  <c r="AA152" i="21"/>
  <c r="AA150" i="21"/>
  <c r="AA120" i="21"/>
  <c r="X275" i="21"/>
  <c r="AI275" i="21" s="1"/>
  <c r="AJ275" i="21" s="1"/>
  <c r="AA272" i="21"/>
  <c r="X256" i="21"/>
  <c r="AI256" i="21" s="1"/>
  <c r="AJ256" i="21" s="1"/>
  <c r="AA256" i="21"/>
  <c r="AA198" i="21"/>
  <c r="AA182" i="21"/>
  <c r="AA172" i="21"/>
  <c r="X133" i="21"/>
  <c r="AI133" i="21" s="1"/>
  <c r="AJ133" i="21" s="1"/>
  <c r="X131" i="21"/>
  <c r="AI131" i="21" s="1"/>
  <c r="AJ131" i="21" s="1"/>
  <c r="X101" i="21"/>
  <c r="AI101" i="21" s="1"/>
  <c r="AJ101" i="21" s="1"/>
  <c r="AA73" i="21"/>
  <c r="X263" i="21"/>
  <c r="AI263" i="21" s="1"/>
  <c r="AJ263" i="21" s="1"/>
  <c r="AA238" i="21"/>
  <c r="AA235" i="21"/>
  <c r="X190" i="21"/>
  <c r="AI190" i="21" s="1"/>
  <c r="AJ190" i="21" s="1"/>
  <c r="AA166" i="21"/>
  <c r="AA144" i="21"/>
  <c r="AA127" i="21"/>
  <c r="X66" i="21"/>
  <c r="AI66" i="21" s="1"/>
  <c r="AJ66" i="21" s="1"/>
  <c r="AA65" i="21"/>
  <c r="X142" i="21"/>
  <c r="AI142" i="21" s="1"/>
  <c r="AJ142" i="21" s="1"/>
  <c r="AA21" i="21"/>
  <c r="AA275" i="21"/>
  <c r="AA263" i="21"/>
  <c r="AG263" i="21" s="1"/>
  <c r="AL263" i="21" s="1"/>
  <c r="AA271" i="21"/>
  <c r="X258" i="21"/>
  <c r="AI258" i="21" s="1"/>
  <c r="AJ258" i="21" s="1"/>
  <c r="AA258" i="21"/>
  <c r="AF251" i="21"/>
  <c r="AA236" i="21"/>
  <c r="X234" i="21"/>
  <c r="AI234" i="21" s="1"/>
  <c r="AJ234" i="21" s="1"/>
  <c r="AA214" i="21"/>
  <c r="X206" i="21"/>
  <c r="AI206" i="21" s="1"/>
  <c r="AJ206" i="21" s="1"/>
  <c r="AA206" i="21"/>
  <c r="X203" i="21"/>
  <c r="AI203" i="21" s="1"/>
  <c r="AJ203" i="21" s="1"/>
  <c r="AA203" i="21"/>
  <c r="X199" i="21"/>
  <c r="AI199" i="21" s="1"/>
  <c r="AJ199" i="21" s="1"/>
  <c r="AA199" i="21"/>
  <c r="X196" i="21"/>
  <c r="AI196" i="21" s="1"/>
  <c r="AJ196" i="21" s="1"/>
  <c r="AA193" i="21"/>
  <c r="X176" i="21"/>
  <c r="AI176" i="21" s="1"/>
  <c r="AJ176" i="21" s="1"/>
  <c r="X170" i="21"/>
  <c r="AI170" i="21" s="1"/>
  <c r="AJ170" i="21" s="1"/>
  <c r="AA158" i="21"/>
  <c r="AA153" i="21"/>
  <c r="AA143" i="21"/>
  <c r="AH140" i="21"/>
  <c r="X140" i="21" s="1"/>
  <c r="AI140" i="21" s="1"/>
  <c r="AJ140" i="21" s="1"/>
  <c r="AA133" i="21"/>
  <c r="AF66" i="21"/>
  <c r="X43" i="21"/>
  <c r="AI43" i="21" s="1"/>
  <c r="AJ43" i="21" s="1"/>
  <c r="AA40" i="21"/>
  <c r="X31" i="21"/>
  <c r="AI31" i="21" s="1"/>
  <c r="AJ31" i="21" s="1"/>
  <c r="AA31" i="21"/>
  <c r="AA26" i="21"/>
  <c r="AA240" i="21"/>
  <c r="AA226" i="21"/>
  <c r="AA221" i="21"/>
  <c r="AA180" i="21"/>
  <c r="X208" i="21"/>
  <c r="AA208" i="21"/>
  <c r="X211" i="21"/>
  <c r="AI211" i="21" s="1"/>
  <c r="AJ211" i="21" s="1"/>
  <c r="AA211" i="21"/>
  <c r="X205" i="21"/>
  <c r="AI205" i="21" s="1"/>
  <c r="AJ205" i="21" s="1"/>
  <c r="AA202" i="21"/>
  <c r="X200" i="21"/>
  <c r="AI200" i="21" s="1"/>
  <c r="AJ200" i="21" s="1"/>
  <c r="X186" i="21"/>
  <c r="AI186" i="21" s="1"/>
  <c r="AJ186" i="21" s="1"/>
  <c r="X144" i="21"/>
  <c r="AI144" i="21" s="1"/>
  <c r="AJ144" i="21" s="1"/>
  <c r="X127" i="21"/>
  <c r="AI127" i="21" s="1"/>
  <c r="AJ127" i="21" s="1"/>
  <c r="AA69" i="21"/>
  <c r="AA52" i="21"/>
  <c r="AA42" i="21"/>
  <c r="X252" i="21"/>
  <c r="AI252" i="21" s="1"/>
  <c r="AJ252" i="21" s="1"/>
  <c r="X239" i="21"/>
  <c r="AI239" i="21" s="1"/>
  <c r="AJ239" i="21" s="1"/>
  <c r="AA124" i="21"/>
  <c r="X268" i="21"/>
  <c r="AI268" i="21" s="1"/>
  <c r="AJ268" i="21" s="1"/>
  <c r="AA268" i="21"/>
  <c r="X259" i="21"/>
  <c r="AI259" i="21" s="1"/>
  <c r="AJ259" i="21" s="1"/>
  <c r="AA239" i="21"/>
  <c r="AF203" i="21"/>
  <c r="X194" i="21"/>
  <c r="AI194" i="21" s="1"/>
  <c r="AJ194" i="21" s="1"/>
  <c r="X182" i="21"/>
  <c r="AI182" i="21" s="1"/>
  <c r="AJ182" i="21" s="1"/>
  <c r="AA179" i="21"/>
  <c r="AF170" i="21"/>
  <c r="X164" i="21"/>
  <c r="AI164" i="21" s="1"/>
  <c r="AJ164" i="21" s="1"/>
  <c r="AA163" i="21"/>
  <c r="AA159" i="21"/>
  <c r="AA151" i="21"/>
  <c r="AA148" i="21"/>
  <c r="AF144" i="21"/>
  <c r="AF133" i="21"/>
  <c r="AF127" i="21"/>
  <c r="AA113" i="21"/>
  <c r="AA112" i="21"/>
  <c r="AA108" i="21"/>
  <c r="AA106" i="21"/>
  <c r="AA104" i="21"/>
  <c r="AA102" i="21"/>
  <c r="AA98" i="21"/>
  <c r="AA95" i="21"/>
  <c r="AA90" i="21"/>
  <c r="AA88" i="21"/>
  <c r="AA80" i="21"/>
  <c r="AA142" i="21"/>
  <c r="AG142" i="21" s="1"/>
  <c r="AL142" i="21" s="1"/>
  <c r="AA47" i="21"/>
  <c r="X250" i="21"/>
  <c r="AI250" i="21" s="1"/>
  <c r="AJ250" i="21" s="1"/>
  <c r="AA216" i="21"/>
  <c r="AA146" i="21"/>
  <c r="AA279" i="21"/>
  <c r="AG279" i="21" s="1"/>
  <c r="AL279" i="21" s="1"/>
  <c r="X260" i="21"/>
  <c r="AI260" i="21" s="1"/>
  <c r="AJ260" i="21" s="1"/>
  <c r="AA259" i="21"/>
  <c r="AF258" i="21"/>
  <c r="AA252" i="21"/>
  <c r="AA250" i="21"/>
  <c r="X247" i="21"/>
  <c r="AI247" i="21" s="1"/>
  <c r="AJ247" i="21" s="1"/>
  <c r="X277" i="21"/>
  <c r="AI277" i="21" s="1"/>
  <c r="AJ277" i="21" s="1"/>
  <c r="AA277" i="21"/>
  <c r="AA273" i="21"/>
  <c r="X266" i="21"/>
  <c r="AI266" i="21" s="1"/>
  <c r="AJ266" i="21" s="1"/>
  <c r="AA266" i="21"/>
  <c r="AA261" i="21"/>
  <c r="AA254" i="21"/>
  <c r="AA248" i="21"/>
  <c r="X244" i="21"/>
  <c r="AI244" i="21" s="1"/>
  <c r="AJ244" i="21" s="1"/>
  <c r="AA243" i="21"/>
  <c r="X237" i="21"/>
  <c r="AI237" i="21" s="1"/>
  <c r="AJ237" i="21" s="1"/>
  <c r="AF236" i="21"/>
  <c r="X235" i="21"/>
  <c r="AI235" i="21" s="1"/>
  <c r="AJ235" i="21" s="1"/>
  <c r="AF234" i="21"/>
  <c r="X219" i="21"/>
  <c r="AI219" i="21" s="1"/>
  <c r="AJ219" i="21" s="1"/>
  <c r="X209" i="21"/>
  <c r="AI209" i="21" s="1"/>
  <c r="AJ209" i="21" s="1"/>
  <c r="AF196" i="21"/>
  <c r="X198" i="21"/>
  <c r="AI198" i="21" s="1"/>
  <c r="AJ198" i="21" s="1"/>
  <c r="AF186" i="21"/>
  <c r="AF176" i="21"/>
  <c r="AA175" i="21"/>
  <c r="AF166" i="21"/>
  <c r="X160" i="21"/>
  <c r="AI160" i="21" s="1"/>
  <c r="AJ160" i="21" s="1"/>
  <c r="AA107" i="21"/>
  <c r="AA96" i="21"/>
  <c r="X62" i="21"/>
  <c r="AI62" i="21" s="1"/>
  <c r="AJ62" i="21" s="1"/>
  <c r="X58" i="21"/>
  <c r="AI58" i="21" s="1"/>
  <c r="AJ58" i="21" s="1"/>
  <c r="X53" i="21"/>
  <c r="AI53" i="21" s="1"/>
  <c r="AJ53" i="21" s="1"/>
  <c r="AA53" i="21"/>
  <c r="X48" i="21"/>
  <c r="AI48" i="21" s="1"/>
  <c r="AJ48" i="21" s="1"/>
  <c r="AA43" i="21"/>
  <c r="AA10" i="21"/>
  <c r="X278" i="21"/>
  <c r="AI278" i="21" s="1"/>
  <c r="AJ278" i="21" s="1"/>
  <c r="AA278" i="21"/>
  <c r="X271" i="21"/>
  <c r="AI271" i="21" s="1"/>
  <c r="AJ271" i="21" s="1"/>
  <c r="X270" i="21"/>
  <c r="AI270" i="21" s="1"/>
  <c r="AJ270" i="21" s="1"/>
  <c r="AA270" i="21"/>
  <c r="X267" i="21"/>
  <c r="AI267" i="21" s="1"/>
  <c r="AJ267" i="21" s="1"/>
  <c r="X262" i="21"/>
  <c r="AI262" i="21" s="1"/>
  <c r="AJ262" i="21" s="1"/>
  <c r="AA262" i="21"/>
  <c r="X255" i="21"/>
  <c r="AI255" i="21" s="1"/>
  <c r="AJ255" i="21" s="1"/>
  <c r="X249" i="21"/>
  <c r="AI249" i="21" s="1"/>
  <c r="AJ249" i="21" s="1"/>
  <c r="X242" i="21"/>
  <c r="AI242" i="21" s="1"/>
  <c r="AJ242" i="21" s="1"/>
  <c r="X231" i="21"/>
  <c r="AI231" i="21" s="1"/>
  <c r="AJ231" i="21" s="1"/>
  <c r="AA224" i="21"/>
  <c r="AA220" i="21"/>
  <c r="X212" i="21"/>
  <c r="AI212" i="21" s="1"/>
  <c r="AJ212" i="21" s="1"/>
  <c r="X201" i="21"/>
  <c r="AI201" i="21" s="1"/>
  <c r="AJ201" i="21" s="1"/>
  <c r="X204" i="21"/>
  <c r="AI204" i="21" s="1"/>
  <c r="AJ204" i="21" s="1"/>
  <c r="AA204" i="21"/>
  <c r="X195" i="21"/>
  <c r="AI195" i="21" s="1"/>
  <c r="AJ195" i="21" s="1"/>
  <c r="AA195" i="21"/>
  <c r="X183" i="21"/>
  <c r="AI183" i="21" s="1"/>
  <c r="AJ183" i="21" s="1"/>
  <c r="AA138" i="21"/>
  <c r="AA126" i="21"/>
  <c r="AA122" i="21"/>
  <c r="X54" i="21"/>
  <c r="AI54" i="21" s="1"/>
  <c r="AJ54" i="21" s="1"/>
  <c r="AA54" i="21"/>
  <c r="X45" i="21"/>
  <c r="AI45" i="21" s="1"/>
  <c r="AJ45" i="21" s="1"/>
  <c r="AA18" i="21"/>
  <c r="AA174" i="21"/>
  <c r="AF174" i="21"/>
  <c r="X162" i="21"/>
  <c r="AI162" i="21" s="1"/>
  <c r="AJ162" i="21" s="1"/>
  <c r="AF158" i="21"/>
  <c r="AH147" i="21"/>
  <c r="X147" i="21" s="1"/>
  <c r="AI147" i="21" s="1"/>
  <c r="AJ147" i="21" s="1"/>
  <c r="AF145" i="21"/>
  <c r="AA145" i="21"/>
  <c r="AA99" i="21"/>
  <c r="AF99" i="21"/>
  <c r="AA91" i="21"/>
  <c r="AH64" i="21"/>
  <c r="X64" i="21" s="1"/>
  <c r="AI64" i="21" s="1"/>
  <c r="AJ64" i="21" s="1"/>
  <c r="AA64" i="21"/>
  <c r="AH60" i="21"/>
  <c r="X60" i="21" s="1"/>
  <c r="AI60" i="21" s="1"/>
  <c r="AJ60" i="21" s="1"/>
  <c r="AA60" i="21"/>
  <c r="AH35" i="21"/>
  <c r="X35" i="21" s="1"/>
  <c r="AI35" i="21" s="1"/>
  <c r="AJ35" i="21" s="1"/>
  <c r="AA35" i="21"/>
  <c r="AA249" i="21"/>
  <c r="X233" i="21"/>
  <c r="AI233" i="21" s="1"/>
  <c r="AJ233" i="21" s="1"/>
  <c r="AA200" i="21"/>
  <c r="X197" i="21"/>
  <c r="AI197" i="21" s="1"/>
  <c r="AJ197" i="21" s="1"/>
  <c r="AA190" i="21"/>
  <c r="AF190" i="21"/>
  <c r="X178" i="21"/>
  <c r="AI178" i="21" s="1"/>
  <c r="AJ178" i="21" s="1"/>
  <c r="X156" i="21"/>
  <c r="AI156" i="21" s="1"/>
  <c r="AJ156" i="21" s="1"/>
  <c r="Z155" i="21"/>
  <c r="AH46" i="21"/>
  <c r="X46" i="21" s="1"/>
  <c r="AI46" i="21" s="1"/>
  <c r="AJ46" i="21" s="1"/>
  <c r="AA46" i="21"/>
  <c r="X269" i="21"/>
  <c r="AI269" i="21" s="1"/>
  <c r="AJ269" i="21" s="1"/>
  <c r="AF268" i="21"/>
  <c r="AF266" i="21"/>
  <c r="X264" i="21"/>
  <c r="AI264" i="21" s="1"/>
  <c r="AJ264" i="21" s="1"/>
  <c r="AF259" i="21"/>
  <c r="X257" i="21"/>
  <c r="AI257" i="21" s="1"/>
  <c r="AJ257" i="21" s="1"/>
  <c r="X245" i="21"/>
  <c r="AI245" i="21" s="1"/>
  <c r="AJ245" i="21" s="1"/>
  <c r="AF244" i="21"/>
  <c r="AF242" i="21"/>
  <c r="AA241" i="21"/>
  <c r="AA233" i="21"/>
  <c r="AF231" i="21"/>
  <c r="X230" i="21"/>
  <c r="AI230" i="21" s="1"/>
  <c r="AJ230" i="21" s="1"/>
  <c r="X229" i="21"/>
  <c r="AI229" i="21" s="1"/>
  <c r="AJ229" i="21" s="1"/>
  <c r="AF228" i="21"/>
  <c r="X223" i="21"/>
  <c r="AI223" i="21" s="1"/>
  <c r="AJ223" i="21" s="1"/>
  <c r="AA223" i="21"/>
  <c r="X222" i="21"/>
  <c r="AI222" i="21" s="1"/>
  <c r="AJ222" i="21" s="1"/>
  <c r="AA219" i="21"/>
  <c r="X216" i="21"/>
  <c r="AI216" i="21" s="1"/>
  <c r="AJ216" i="21" s="1"/>
  <c r="AA205" i="21"/>
  <c r="X202" i="21"/>
  <c r="AI202" i="21" s="1"/>
  <c r="AJ202" i="21" s="1"/>
  <c r="AA201" i="21"/>
  <c r="X191" i="21"/>
  <c r="AI191" i="21" s="1"/>
  <c r="AJ191" i="21" s="1"/>
  <c r="AA178" i="21"/>
  <c r="AF178" i="21"/>
  <c r="X172" i="21"/>
  <c r="AI172" i="21" s="1"/>
  <c r="AJ172" i="21" s="1"/>
  <c r="AA156" i="21"/>
  <c r="AF156" i="21"/>
  <c r="AH141" i="21"/>
  <c r="X141" i="21" s="1"/>
  <c r="AH135" i="21"/>
  <c r="X135" i="21" s="1"/>
  <c r="AA83" i="21"/>
  <c r="AH55" i="21"/>
  <c r="X55" i="21" s="1"/>
  <c r="AI55" i="21" s="1"/>
  <c r="AJ55" i="21" s="1"/>
  <c r="AA55" i="21"/>
  <c r="AA38" i="21"/>
  <c r="X38" i="21"/>
  <c r="AI38" i="21" s="1"/>
  <c r="AJ38" i="21" s="1"/>
  <c r="AF38" i="21"/>
  <c r="AH15" i="21"/>
  <c r="X15" i="21" s="1"/>
  <c r="AI15" i="21" s="1"/>
  <c r="AJ15" i="21" s="1"/>
  <c r="AA9" i="21"/>
  <c r="AF213" i="21"/>
  <c r="AA194" i="21"/>
  <c r="AF194" i="21"/>
  <c r="AH138" i="21"/>
  <c r="X138" i="21" s="1"/>
  <c r="AI138" i="21" s="1"/>
  <c r="AJ138" i="21" s="1"/>
  <c r="AH72" i="21"/>
  <c r="X72" i="21" s="1"/>
  <c r="AI72" i="21" s="1"/>
  <c r="AJ72" i="21" s="1"/>
  <c r="AA72" i="21"/>
  <c r="AA70" i="21"/>
  <c r="X70" i="21"/>
  <c r="AI70" i="21" s="1"/>
  <c r="AJ70" i="21" s="1"/>
  <c r="AF70" i="21"/>
  <c r="AH50" i="21"/>
  <c r="X50" i="21" s="1"/>
  <c r="AI50" i="21" s="1"/>
  <c r="AJ50" i="21" s="1"/>
  <c r="AA50" i="21"/>
  <c r="X261" i="21"/>
  <c r="AI261" i="21" s="1"/>
  <c r="AJ261" i="21" s="1"/>
  <c r="X217" i="21"/>
  <c r="AI217" i="21" s="1"/>
  <c r="AJ217" i="21" s="1"/>
  <c r="AA217" i="21"/>
  <c r="AA162" i="21"/>
  <c r="AF162" i="21"/>
  <c r="AA147" i="21"/>
  <c r="AH79" i="21"/>
  <c r="X79" i="21" s="1"/>
  <c r="AA79" i="21"/>
  <c r="AF68" i="21"/>
  <c r="AH36" i="21"/>
  <c r="X36" i="21" s="1"/>
  <c r="AA36" i="21"/>
  <c r="AF275" i="21"/>
  <c r="X272" i="21"/>
  <c r="AI272" i="21" s="1"/>
  <c r="AJ272" i="21" s="1"/>
  <c r="AA269" i="21"/>
  <c r="X265" i="21"/>
  <c r="AI265" i="21" s="1"/>
  <c r="AJ265" i="21" s="1"/>
  <c r="AA257" i="21"/>
  <c r="X254" i="21"/>
  <c r="AI254" i="21" s="1"/>
  <c r="AJ254" i="21" s="1"/>
  <c r="X253" i="21"/>
  <c r="AI253" i="21" s="1"/>
  <c r="AJ253" i="21" s="1"/>
  <c r="X248" i="21"/>
  <c r="AI248" i="21" s="1"/>
  <c r="AJ248" i="21" s="1"/>
  <c r="AA245" i="21"/>
  <c r="X238" i="21"/>
  <c r="AI238" i="21" s="1"/>
  <c r="AJ238" i="21" s="1"/>
  <c r="X225" i="21"/>
  <c r="AI225" i="21" s="1"/>
  <c r="AJ225" i="21" s="1"/>
  <c r="AF222" i="21"/>
  <c r="X213" i="21"/>
  <c r="AI213" i="21" s="1"/>
  <c r="AJ213" i="21" s="1"/>
  <c r="AF202" i="21"/>
  <c r="AF191" i="21"/>
  <c r="X188" i="21"/>
  <c r="AI188" i="21" s="1"/>
  <c r="AJ188" i="21" s="1"/>
  <c r="X174" i="21"/>
  <c r="AI174" i="21" s="1"/>
  <c r="AJ174" i="21" s="1"/>
  <c r="AA168" i="21"/>
  <c r="AF168" i="21"/>
  <c r="X158" i="21"/>
  <c r="AI158" i="21" s="1"/>
  <c r="AJ158" i="21" s="1"/>
  <c r="AH149" i="21"/>
  <c r="X149" i="21" s="1"/>
  <c r="AI149" i="21" s="1"/>
  <c r="AJ149" i="21" s="1"/>
  <c r="AA149" i="21"/>
  <c r="AH146" i="21"/>
  <c r="X146" i="21" s="1"/>
  <c r="X145" i="21"/>
  <c r="AI145" i="21" s="1"/>
  <c r="AJ145" i="21" s="1"/>
  <c r="AH51" i="21"/>
  <c r="X51" i="21" s="1"/>
  <c r="AI51" i="21" s="1"/>
  <c r="AJ51" i="21" s="1"/>
  <c r="AA51" i="21"/>
  <c r="AA141" i="21"/>
  <c r="AA135" i="21"/>
  <c r="AA131" i="21"/>
  <c r="AF131" i="21"/>
  <c r="AA129" i="21"/>
  <c r="X129" i="21"/>
  <c r="AI129" i="21" s="1"/>
  <c r="AJ129" i="21" s="1"/>
  <c r="AA116" i="21"/>
  <c r="AA101" i="21"/>
  <c r="AF101" i="21"/>
  <c r="Q97" i="21"/>
  <c r="Q2" i="21" s="1"/>
  <c r="Z97" i="21"/>
  <c r="AH93" i="21"/>
  <c r="X93" i="21" s="1"/>
  <c r="AA93" i="21"/>
  <c r="AH89" i="21"/>
  <c r="X89" i="21" s="1"/>
  <c r="AA89" i="21"/>
  <c r="X49" i="21"/>
  <c r="AI49" i="21" s="1"/>
  <c r="AJ49" i="21" s="1"/>
  <c r="AA49" i="21"/>
  <c r="AA48" i="21"/>
  <c r="AH44" i="21"/>
  <c r="X44" i="21" s="1"/>
  <c r="AF23" i="21"/>
  <c r="AA15" i="21"/>
  <c r="X227" i="21"/>
  <c r="AI227" i="21" s="1"/>
  <c r="AJ227" i="21" s="1"/>
  <c r="X226" i="21"/>
  <c r="AI226" i="21" s="1"/>
  <c r="AJ226" i="21" s="1"/>
  <c r="X220" i="21"/>
  <c r="AI220" i="21" s="1"/>
  <c r="AJ220" i="21" s="1"/>
  <c r="X215" i="21"/>
  <c r="AI215" i="21" s="1"/>
  <c r="AJ215" i="21" s="1"/>
  <c r="X207" i="21"/>
  <c r="AI207" i="21" s="1"/>
  <c r="AJ207" i="21" s="1"/>
  <c r="X153" i="21"/>
  <c r="AI153" i="21" s="1"/>
  <c r="AJ153" i="21" s="1"/>
  <c r="AH151" i="21"/>
  <c r="X151" i="21" s="1"/>
  <c r="AI151" i="21" s="1"/>
  <c r="AJ151" i="21" s="1"/>
  <c r="X150" i="21"/>
  <c r="AI150" i="21" s="1"/>
  <c r="AJ150" i="21" s="1"/>
  <c r="AH110" i="21"/>
  <c r="X110" i="21" s="1"/>
  <c r="AA110" i="21"/>
  <c r="X99" i="21"/>
  <c r="AI99" i="21" s="1"/>
  <c r="AJ99" i="21" s="1"/>
  <c r="AH97" i="21"/>
  <c r="X56" i="21"/>
  <c r="AI56" i="21" s="1"/>
  <c r="AJ56" i="21" s="1"/>
  <c r="AF49" i="21"/>
  <c r="X41" i="21"/>
  <c r="AI41" i="21" s="1"/>
  <c r="AJ41" i="21" s="1"/>
  <c r="X25" i="21"/>
  <c r="AI25" i="21" s="1"/>
  <c r="AJ25" i="21" s="1"/>
  <c r="AA25" i="21"/>
  <c r="X224" i="21"/>
  <c r="AI224" i="21" s="1"/>
  <c r="AJ224" i="21" s="1"/>
  <c r="X221" i="21"/>
  <c r="AI221" i="21" s="1"/>
  <c r="AJ221" i="21" s="1"/>
  <c r="X218" i="21"/>
  <c r="AI218" i="21" s="1"/>
  <c r="AJ218" i="21" s="1"/>
  <c r="X214" i="21"/>
  <c r="AI214" i="21" s="1"/>
  <c r="AJ214" i="21" s="1"/>
  <c r="X210" i="21"/>
  <c r="AI210" i="21" s="1"/>
  <c r="AJ210" i="21" s="1"/>
  <c r="X193" i="21"/>
  <c r="AI193" i="21" s="1"/>
  <c r="AJ193" i="21" s="1"/>
  <c r="X192" i="21"/>
  <c r="X154" i="21"/>
  <c r="AI154" i="21" s="1"/>
  <c r="AJ154" i="21" s="1"/>
  <c r="X47" i="21"/>
  <c r="AI47" i="21" s="1"/>
  <c r="AJ47" i="21" s="1"/>
  <c r="AH42" i="21"/>
  <c r="X42" i="21" s="1"/>
  <c r="AI42" i="21" s="1"/>
  <c r="AJ42" i="21" s="1"/>
  <c r="AH23" i="21"/>
  <c r="X23" i="21" s="1"/>
  <c r="X17" i="21"/>
  <c r="AI17" i="21" s="1"/>
  <c r="AJ17" i="21" s="1"/>
  <c r="AA17" i="21"/>
  <c r="H2" i="21"/>
  <c r="I2" i="21"/>
  <c r="X39" i="21"/>
  <c r="AI39" i="21" s="1"/>
  <c r="AJ39" i="21" s="1"/>
  <c r="X37" i="21"/>
  <c r="AI37" i="21" s="1"/>
  <c r="AJ37" i="21" s="1"/>
  <c r="X33" i="21"/>
  <c r="AI33" i="21" s="1"/>
  <c r="AJ33" i="21" s="1"/>
  <c r="X27" i="21"/>
  <c r="AI27" i="21" s="1"/>
  <c r="AJ27" i="21" s="1"/>
  <c r="X19" i="21"/>
  <c r="AI19" i="21" s="1"/>
  <c r="AJ19" i="21" s="1"/>
  <c r="X11" i="21"/>
  <c r="AI11" i="21" s="1"/>
  <c r="AJ11" i="21" s="1"/>
  <c r="AA77" i="21"/>
  <c r="AA74" i="21"/>
  <c r="X68" i="21"/>
  <c r="AI68" i="21" s="1"/>
  <c r="AJ68" i="21" s="1"/>
  <c r="AA62" i="21"/>
  <c r="AA58" i="21"/>
  <c r="AA27" i="21"/>
  <c r="X21" i="21"/>
  <c r="AI21" i="21" s="1"/>
  <c r="AJ21" i="21" s="1"/>
  <c r="AA19" i="21"/>
  <c r="AA11" i="21"/>
  <c r="AA7" i="21"/>
  <c r="AA253" i="21"/>
  <c r="AA229" i="21"/>
  <c r="X241" i="21"/>
  <c r="AI241" i="21" s="1"/>
  <c r="AJ241" i="21" s="1"/>
  <c r="AA197" i="21"/>
  <c r="AH139" i="21"/>
  <c r="X139" i="21" s="1"/>
  <c r="AI139" i="21" s="1"/>
  <c r="AJ139" i="21" s="1"/>
  <c r="AA139" i="21"/>
  <c r="AA207" i="21"/>
  <c r="X189" i="21"/>
  <c r="AI189" i="21" s="1"/>
  <c r="AJ189" i="21" s="1"/>
  <c r="X185" i="21"/>
  <c r="AI185" i="21" s="1"/>
  <c r="AJ185" i="21" s="1"/>
  <c r="X181" i="21"/>
  <c r="AI181" i="21" s="1"/>
  <c r="AJ181" i="21" s="1"/>
  <c r="X177" i="21"/>
  <c r="AI177" i="21" s="1"/>
  <c r="AJ177" i="21" s="1"/>
  <c r="X173" i="21"/>
  <c r="AI173" i="21" s="1"/>
  <c r="AJ173" i="21" s="1"/>
  <c r="X169" i="21"/>
  <c r="AI169" i="21" s="1"/>
  <c r="AJ169" i="21" s="1"/>
  <c r="X165" i="21"/>
  <c r="AI165" i="21" s="1"/>
  <c r="AJ165" i="21" s="1"/>
  <c r="X161" i="21"/>
  <c r="AI161" i="21" s="1"/>
  <c r="AJ161" i="21" s="1"/>
  <c r="X157" i="21"/>
  <c r="AI157" i="21" s="1"/>
  <c r="AJ157" i="21" s="1"/>
  <c r="X155" i="21"/>
  <c r="AI155" i="21" s="1"/>
  <c r="AJ155" i="21" s="1"/>
  <c r="X152" i="21"/>
  <c r="X148" i="21"/>
  <c r="AH111" i="21"/>
  <c r="X111" i="21" s="1"/>
  <c r="AI111" i="21" s="1"/>
  <c r="AJ111" i="21" s="1"/>
  <c r="AA111" i="21"/>
  <c r="AH94" i="21"/>
  <c r="X94" i="21" s="1"/>
  <c r="AI94" i="21" s="1"/>
  <c r="AJ94" i="21" s="1"/>
  <c r="AA94" i="21"/>
  <c r="AH67" i="21"/>
  <c r="X67" i="21" s="1"/>
  <c r="AI67" i="21" s="1"/>
  <c r="AJ67" i="21" s="1"/>
  <c r="AA67" i="21"/>
  <c r="AA189" i="21"/>
  <c r="AA185" i="21"/>
  <c r="AA181" i="21"/>
  <c r="AA177" i="21"/>
  <c r="AA173" i="21"/>
  <c r="AA169" i="21"/>
  <c r="AA165" i="21"/>
  <c r="AA161" i="21"/>
  <c r="AA157" i="21"/>
  <c r="AA155" i="21"/>
  <c r="X143" i="21"/>
  <c r="AH103" i="21"/>
  <c r="X103" i="21" s="1"/>
  <c r="AI103" i="21" s="1"/>
  <c r="AJ103" i="21" s="1"/>
  <c r="AA103" i="21"/>
  <c r="AH86" i="21"/>
  <c r="X86" i="21" s="1"/>
  <c r="AI86" i="21" s="1"/>
  <c r="AJ86" i="21" s="1"/>
  <c r="AA86" i="21"/>
  <c r="X187" i="21"/>
  <c r="AI187" i="21" s="1"/>
  <c r="AJ187" i="21" s="1"/>
  <c r="X184" i="21"/>
  <c r="AI184" i="21" s="1"/>
  <c r="AJ184" i="21" s="1"/>
  <c r="X179" i="21"/>
  <c r="AI179" i="21" s="1"/>
  <c r="AJ179" i="21" s="1"/>
  <c r="X175" i="21"/>
  <c r="AI175" i="21" s="1"/>
  <c r="AJ175" i="21" s="1"/>
  <c r="X171" i="21"/>
  <c r="AI171" i="21" s="1"/>
  <c r="AJ171" i="21" s="1"/>
  <c r="X167" i="21"/>
  <c r="AI167" i="21" s="1"/>
  <c r="AJ167" i="21" s="1"/>
  <c r="X163" i="21"/>
  <c r="AI163" i="21" s="1"/>
  <c r="AJ163" i="21" s="1"/>
  <c r="X159" i="21"/>
  <c r="AI159" i="21" s="1"/>
  <c r="AJ159" i="21" s="1"/>
  <c r="AH137" i="21"/>
  <c r="X137" i="21" s="1"/>
  <c r="AI137" i="21" s="1"/>
  <c r="AJ137" i="21" s="1"/>
  <c r="AH78" i="21"/>
  <c r="X78" i="21" s="1"/>
  <c r="AI78" i="21" s="1"/>
  <c r="AJ78" i="21" s="1"/>
  <c r="AA78" i="21"/>
  <c r="AH125" i="21"/>
  <c r="X125" i="21" s="1"/>
  <c r="AI125" i="21" s="1"/>
  <c r="AJ125" i="21" s="1"/>
  <c r="AH123" i="21"/>
  <c r="X123" i="21" s="1"/>
  <c r="AI123" i="21" s="1"/>
  <c r="AJ123" i="21" s="1"/>
  <c r="AH121" i="21"/>
  <c r="X121" i="21" s="1"/>
  <c r="AI121" i="21" s="1"/>
  <c r="AJ121" i="21" s="1"/>
  <c r="AH119" i="21"/>
  <c r="X119" i="21" s="1"/>
  <c r="AI119" i="21" s="1"/>
  <c r="AJ119" i="21" s="1"/>
  <c r="AH117" i="21"/>
  <c r="X117" i="21" s="1"/>
  <c r="AI117" i="21" s="1"/>
  <c r="AJ117" i="21" s="1"/>
  <c r="AH109" i="21"/>
  <c r="X109" i="21" s="1"/>
  <c r="AI109" i="21" s="1"/>
  <c r="AJ109" i="21" s="1"/>
  <c r="AH92" i="21"/>
  <c r="X92" i="21" s="1"/>
  <c r="AI92" i="21" s="1"/>
  <c r="AJ92" i="21" s="1"/>
  <c r="AH84" i="21"/>
  <c r="X84" i="21" s="1"/>
  <c r="AI84" i="21" s="1"/>
  <c r="AJ84" i="21" s="1"/>
  <c r="AH76" i="21"/>
  <c r="X76" i="21" s="1"/>
  <c r="AI76" i="21" s="1"/>
  <c r="AJ76" i="21" s="1"/>
  <c r="AH61" i="21"/>
  <c r="X61" i="21" s="1"/>
  <c r="AI61" i="21" s="1"/>
  <c r="AJ61" i="21" s="1"/>
  <c r="AA61" i="21"/>
  <c r="AH32" i="21"/>
  <c r="X32" i="21" s="1"/>
  <c r="AI32" i="21" s="1"/>
  <c r="AJ32" i="21" s="1"/>
  <c r="AA32" i="21"/>
  <c r="AH28" i="21"/>
  <c r="X28" i="21" s="1"/>
  <c r="AI28" i="21" s="1"/>
  <c r="AJ28" i="21" s="1"/>
  <c r="AA28" i="21"/>
  <c r="AH20" i="21"/>
  <c r="X20" i="21" s="1"/>
  <c r="AI20" i="21" s="1"/>
  <c r="AJ20" i="21" s="1"/>
  <c r="AA20" i="21"/>
  <c r="AH12" i="21"/>
  <c r="X12" i="21" s="1"/>
  <c r="AI12" i="21" s="1"/>
  <c r="AJ12" i="21" s="1"/>
  <c r="AA12" i="21"/>
  <c r="AA136" i="21"/>
  <c r="AA134" i="21"/>
  <c r="AA132" i="21"/>
  <c r="AA130" i="21"/>
  <c r="AA128" i="21"/>
  <c r="AA125" i="21"/>
  <c r="AA123" i="21"/>
  <c r="AA121" i="21"/>
  <c r="AA119" i="21"/>
  <c r="AA117" i="21"/>
  <c r="AH115" i="21"/>
  <c r="X115" i="21" s="1"/>
  <c r="AI115" i="21" s="1"/>
  <c r="AJ115" i="21" s="1"/>
  <c r="AA109" i="21"/>
  <c r="AH107" i="21"/>
  <c r="X107" i="21" s="1"/>
  <c r="AA92" i="21"/>
  <c r="AH90" i="21"/>
  <c r="X90" i="21" s="1"/>
  <c r="AI90" i="21" s="1"/>
  <c r="AJ90" i="21" s="1"/>
  <c r="AA84" i="21"/>
  <c r="AH82" i="21"/>
  <c r="X82" i="21" s="1"/>
  <c r="AA76" i="21"/>
  <c r="AH136" i="21"/>
  <c r="X136" i="21" s="1"/>
  <c r="AI136" i="21" s="1"/>
  <c r="AJ136" i="21" s="1"/>
  <c r="AH134" i="21"/>
  <c r="X134" i="21" s="1"/>
  <c r="AI134" i="21" s="1"/>
  <c r="AJ134" i="21" s="1"/>
  <c r="AH132" i="21"/>
  <c r="X132" i="21" s="1"/>
  <c r="AI132" i="21" s="1"/>
  <c r="AJ132" i="21" s="1"/>
  <c r="AH130" i="21"/>
  <c r="X130" i="21" s="1"/>
  <c r="AI130" i="21" s="1"/>
  <c r="AJ130" i="21" s="1"/>
  <c r="AH128" i="21"/>
  <c r="X128" i="21" s="1"/>
  <c r="AI128" i="21" s="1"/>
  <c r="AJ128" i="21" s="1"/>
  <c r="AH126" i="21"/>
  <c r="X126" i="21" s="1"/>
  <c r="AH124" i="21"/>
  <c r="X124" i="21" s="1"/>
  <c r="AI124" i="21" s="1"/>
  <c r="AJ124" i="21" s="1"/>
  <c r="AH122" i="21"/>
  <c r="X122" i="21" s="1"/>
  <c r="AI122" i="21" s="1"/>
  <c r="AJ122" i="21" s="1"/>
  <c r="AH120" i="21"/>
  <c r="X120" i="21" s="1"/>
  <c r="AH118" i="21"/>
  <c r="X118" i="21" s="1"/>
  <c r="AH113" i="21"/>
  <c r="X113" i="21" s="1"/>
  <c r="AH105" i="21"/>
  <c r="X105" i="21" s="1"/>
  <c r="AI105" i="21" s="1"/>
  <c r="AJ105" i="21" s="1"/>
  <c r="AH96" i="21"/>
  <c r="X96" i="21" s="1"/>
  <c r="AH88" i="21"/>
  <c r="X88" i="21" s="1"/>
  <c r="AI88" i="21" s="1"/>
  <c r="AJ88" i="21" s="1"/>
  <c r="AH80" i="21"/>
  <c r="X80" i="21" s="1"/>
  <c r="X116" i="21"/>
  <c r="X114" i="21"/>
  <c r="X112" i="21"/>
  <c r="X108" i="21"/>
  <c r="X106" i="21"/>
  <c r="X104" i="21"/>
  <c r="X102" i="21"/>
  <c r="X95" i="21"/>
  <c r="X91" i="21"/>
  <c r="X87" i="21"/>
  <c r="X85" i="21"/>
  <c r="X83" i="21"/>
  <c r="X81" i="21"/>
  <c r="X77" i="21"/>
  <c r="X75" i="21"/>
  <c r="X74" i="21"/>
  <c r="X73" i="21"/>
  <c r="AI73" i="21" s="1"/>
  <c r="AJ73" i="21" s="1"/>
  <c r="X65" i="21"/>
  <c r="AI65" i="21" s="1"/>
  <c r="AJ65" i="21" s="1"/>
  <c r="AH59" i="21"/>
  <c r="X59" i="21" s="1"/>
  <c r="AH52" i="21"/>
  <c r="X52" i="21" s="1"/>
  <c r="X71" i="21"/>
  <c r="AI71" i="21" s="1"/>
  <c r="AJ71" i="21" s="1"/>
  <c r="X63" i="21"/>
  <c r="AI63" i="21" s="1"/>
  <c r="AJ63" i="21" s="1"/>
  <c r="AH57" i="21"/>
  <c r="X57" i="21" s="1"/>
  <c r="AI57" i="21" s="1"/>
  <c r="AJ57" i="21" s="1"/>
  <c r="AH24" i="21"/>
  <c r="X24" i="21" s="1"/>
  <c r="AI24" i="21" s="1"/>
  <c r="AJ24" i="21" s="1"/>
  <c r="AA24" i="21"/>
  <c r="AH16" i="21"/>
  <c r="X16" i="21" s="1"/>
  <c r="AI16" i="21" s="1"/>
  <c r="AJ16" i="21" s="1"/>
  <c r="AA16" i="21"/>
  <c r="AA71" i="21"/>
  <c r="X69" i="21"/>
  <c r="AI69" i="21" s="1"/>
  <c r="AJ69" i="21" s="1"/>
  <c r="AA63" i="21"/>
  <c r="AA57" i="21"/>
  <c r="AH40" i="21"/>
  <c r="X40" i="21" s="1"/>
  <c r="AI40" i="21" s="1"/>
  <c r="AJ40" i="21" s="1"/>
  <c r="J2" i="21"/>
  <c r="W2" i="21"/>
  <c r="AH6" i="21"/>
  <c r="AA6" i="21"/>
  <c r="AH34" i="21"/>
  <c r="X34" i="21" s="1"/>
  <c r="AI34" i="21" s="1"/>
  <c r="AJ34" i="21" s="1"/>
  <c r="AH30" i="21"/>
  <c r="X30" i="21" s="1"/>
  <c r="AI30" i="21" s="1"/>
  <c r="AJ30" i="21" s="1"/>
  <c r="AH26" i="21"/>
  <c r="X26" i="21" s="1"/>
  <c r="AH22" i="21"/>
  <c r="X22" i="21" s="1"/>
  <c r="AH18" i="21"/>
  <c r="X18" i="21" s="1"/>
  <c r="AI18" i="21" s="1"/>
  <c r="AJ18" i="21" s="1"/>
  <c r="AH14" i="21"/>
  <c r="X14" i="21" s="1"/>
  <c r="AH10" i="21"/>
  <c r="X10" i="21" s="1"/>
  <c r="AA34" i="21"/>
  <c r="AA30" i="21"/>
  <c r="AH8" i="21"/>
  <c r="X8" i="21" s="1"/>
  <c r="AI8" i="21" s="1"/>
  <c r="AJ8" i="21" s="1"/>
  <c r="Y2" i="21"/>
  <c r="X9" i="21"/>
  <c r="X7" i="21"/>
  <c r="AG252" i="21" l="1"/>
  <c r="AL252" i="21" s="1"/>
  <c r="AG66" i="21"/>
  <c r="AL66" i="21" s="1"/>
  <c r="AM66" i="21" s="1"/>
  <c r="AM142" i="21"/>
  <c r="AM263" i="21"/>
  <c r="AM252" i="21"/>
  <c r="AM279" i="21"/>
  <c r="AG39" i="21"/>
  <c r="AL39" i="21" s="1"/>
  <c r="AM39" i="21" s="1"/>
  <c r="AG25" i="21"/>
  <c r="AL25" i="21" s="1"/>
  <c r="AM25" i="21" s="1"/>
  <c r="AG267" i="21"/>
  <c r="AL267" i="21" s="1"/>
  <c r="AM267" i="21" s="1"/>
  <c r="AG164" i="21"/>
  <c r="AL164" i="21" s="1"/>
  <c r="AM164" i="21" s="1"/>
  <c r="AG48" i="21"/>
  <c r="AL48" i="21" s="1"/>
  <c r="AM48" i="21" s="1"/>
  <c r="AG249" i="21"/>
  <c r="AL249" i="21" s="1"/>
  <c r="AM249" i="21" s="1"/>
  <c r="AG98" i="21"/>
  <c r="AL98" i="21" s="1"/>
  <c r="AM98" i="21" s="1"/>
  <c r="AG251" i="21"/>
  <c r="AL251" i="21" s="1"/>
  <c r="AM251" i="21" s="1"/>
  <c r="AG27" i="21"/>
  <c r="AL27" i="21" s="1"/>
  <c r="AM27" i="21" s="1"/>
  <c r="AG127" i="21"/>
  <c r="AL127" i="21" s="1"/>
  <c r="AM127" i="21" s="1"/>
  <c r="AG240" i="21"/>
  <c r="AL240" i="21" s="1"/>
  <c r="AM240" i="21" s="1"/>
  <c r="AG62" i="21"/>
  <c r="AL62" i="21" s="1"/>
  <c r="AM62" i="21" s="1"/>
  <c r="AG31" i="21"/>
  <c r="AL31" i="21" s="1"/>
  <c r="AM31" i="21" s="1"/>
  <c r="AG246" i="21"/>
  <c r="AL246" i="21" s="1"/>
  <c r="AM246" i="21" s="1"/>
  <c r="AG133" i="21"/>
  <c r="AL133" i="21" s="1"/>
  <c r="AM133" i="21" s="1"/>
  <c r="AG219" i="21"/>
  <c r="AL219" i="21" s="1"/>
  <c r="AM219" i="21" s="1"/>
  <c r="AG228" i="21"/>
  <c r="AL228" i="21" s="1"/>
  <c r="AM228" i="21" s="1"/>
  <c r="AG212" i="21"/>
  <c r="AL212" i="21" s="1"/>
  <c r="AM212" i="21" s="1"/>
  <c r="AG260" i="21"/>
  <c r="AL260" i="21" s="1"/>
  <c r="AM260" i="21" s="1"/>
  <c r="AG192" i="21"/>
  <c r="AG200" i="21"/>
  <c r="AL200" i="21" s="1"/>
  <c r="AM200" i="21" s="1"/>
  <c r="AG239" i="21"/>
  <c r="AL239" i="21" s="1"/>
  <c r="AM239" i="21" s="1"/>
  <c r="AG211" i="21"/>
  <c r="AL211" i="21" s="1"/>
  <c r="AM211" i="21" s="1"/>
  <c r="AG180" i="21"/>
  <c r="AL180" i="21" s="1"/>
  <c r="AM180" i="21" s="1"/>
  <c r="AG208" i="21"/>
  <c r="AG166" i="21"/>
  <c r="AL166" i="21" s="1"/>
  <c r="AM166" i="21" s="1"/>
  <c r="AG256" i="21"/>
  <c r="AL256" i="21" s="1"/>
  <c r="AM256" i="21" s="1"/>
  <c r="AG276" i="21"/>
  <c r="AL276" i="21" s="1"/>
  <c r="AM276" i="21" s="1"/>
  <c r="AG33" i="21"/>
  <c r="AL33" i="21" s="1"/>
  <c r="AM33" i="21" s="1"/>
  <c r="AG254" i="21"/>
  <c r="AL254" i="21" s="1"/>
  <c r="AM254" i="21" s="1"/>
  <c r="AG237" i="21"/>
  <c r="AL237" i="21" s="1"/>
  <c r="AM237" i="21" s="1"/>
  <c r="AG160" i="21"/>
  <c r="AL160" i="21" s="1"/>
  <c r="AM160" i="21" s="1"/>
  <c r="AG191" i="21"/>
  <c r="AL191" i="21" s="1"/>
  <c r="AM191" i="21" s="1"/>
  <c r="AG245" i="21"/>
  <c r="AL245" i="21" s="1"/>
  <c r="AM245" i="21" s="1"/>
  <c r="AG242" i="21"/>
  <c r="AL242" i="21" s="1"/>
  <c r="AM242" i="21" s="1"/>
  <c r="AG234" i="21"/>
  <c r="AL234" i="21" s="1"/>
  <c r="AM234" i="21" s="1"/>
  <c r="AG154" i="21"/>
  <c r="AL154" i="21" s="1"/>
  <c r="AM154" i="21" s="1"/>
  <c r="AG203" i="21"/>
  <c r="AL203" i="21" s="1"/>
  <c r="AM203" i="21" s="1"/>
  <c r="AG247" i="21"/>
  <c r="AL247" i="21" s="1"/>
  <c r="AM247" i="21" s="1"/>
  <c r="AG243" i="21"/>
  <c r="AL243" i="21" s="1"/>
  <c r="AM243" i="21" s="1"/>
  <c r="AG259" i="21"/>
  <c r="AL259" i="21" s="1"/>
  <c r="AM259" i="21" s="1"/>
  <c r="AG43" i="21"/>
  <c r="AL43" i="21" s="1"/>
  <c r="AM43" i="21" s="1"/>
  <c r="AG186" i="21"/>
  <c r="AL186" i="21" s="1"/>
  <c r="AM186" i="21" s="1"/>
  <c r="AG60" i="21"/>
  <c r="AL60" i="21" s="1"/>
  <c r="AM60" i="21" s="1"/>
  <c r="AG196" i="21"/>
  <c r="AL196" i="21" s="1"/>
  <c r="AM196" i="21" s="1"/>
  <c r="AG170" i="21"/>
  <c r="AL170" i="21" s="1"/>
  <c r="AM170" i="21" s="1"/>
  <c r="AG199" i="21"/>
  <c r="AL199" i="21" s="1"/>
  <c r="AM199" i="21" s="1"/>
  <c r="AG206" i="21"/>
  <c r="AL206" i="21" s="1"/>
  <c r="AM206" i="21" s="1"/>
  <c r="AG238" i="21"/>
  <c r="AL238" i="21" s="1"/>
  <c r="AM238" i="21" s="1"/>
  <c r="AG45" i="21"/>
  <c r="AL45" i="21" s="1"/>
  <c r="AM45" i="21" s="1"/>
  <c r="AG21" i="21"/>
  <c r="AL21" i="21" s="1"/>
  <c r="AM21" i="21" s="1"/>
  <c r="AG255" i="21"/>
  <c r="AL255" i="21" s="1"/>
  <c r="AM255" i="21" s="1"/>
  <c r="AI192" i="21"/>
  <c r="AJ192" i="21" s="1"/>
  <c r="AG56" i="21"/>
  <c r="AL56" i="21" s="1"/>
  <c r="AM56" i="21" s="1"/>
  <c r="AG162" i="21"/>
  <c r="AL162" i="21" s="1"/>
  <c r="AM162" i="21" s="1"/>
  <c r="AG41" i="21"/>
  <c r="AL41" i="21" s="1"/>
  <c r="AM41" i="21" s="1"/>
  <c r="AG215" i="21"/>
  <c r="AL215" i="21" s="1"/>
  <c r="AM215" i="21" s="1"/>
  <c r="AG235" i="21"/>
  <c r="AL235" i="21" s="1"/>
  <c r="AM235" i="21" s="1"/>
  <c r="AG273" i="21"/>
  <c r="AL273" i="21" s="1"/>
  <c r="AM273" i="21" s="1"/>
  <c r="AG178" i="21"/>
  <c r="AL178" i="21" s="1"/>
  <c r="AM178" i="21" s="1"/>
  <c r="AG176" i="21"/>
  <c r="AL176" i="21" s="1"/>
  <c r="AM176" i="21" s="1"/>
  <c r="AG236" i="21"/>
  <c r="AL236" i="21" s="1"/>
  <c r="AM236" i="21" s="1"/>
  <c r="AG54" i="21"/>
  <c r="AL54" i="21" s="1"/>
  <c r="AM54" i="21" s="1"/>
  <c r="AG225" i="21"/>
  <c r="AL225" i="21" s="1"/>
  <c r="AM225" i="21" s="1"/>
  <c r="AG131" i="21"/>
  <c r="AL131" i="21" s="1"/>
  <c r="AM131" i="21" s="1"/>
  <c r="AG222" i="21"/>
  <c r="AL222" i="21" s="1"/>
  <c r="AM222" i="21" s="1"/>
  <c r="AG232" i="21"/>
  <c r="AL232" i="21" s="1"/>
  <c r="AM232" i="21" s="1"/>
  <c r="AG72" i="21"/>
  <c r="AL72" i="21" s="1"/>
  <c r="AM72" i="21" s="1"/>
  <c r="AG257" i="21"/>
  <c r="AL257" i="21" s="1"/>
  <c r="AM257" i="21" s="1"/>
  <c r="AG35" i="21"/>
  <c r="AL35" i="21" s="1"/>
  <c r="AM35" i="21" s="1"/>
  <c r="AG64" i="21"/>
  <c r="AL64" i="21" s="1"/>
  <c r="AM64" i="21" s="1"/>
  <c r="AG183" i="21"/>
  <c r="AL183" i="21" s="1"/>
  <c r="AM183" i="21" s="1"/>
  <c r="AG195" i="21"/>
  <c r="AL195" i="21" s="1"/>
  <c r="AM195" i="21" s="1"/>
  <c r="AG262" i="21"/>
  <c r="AL262" i="21" s="1"/>
  <c r="AM262" i="21" s="1"/>
  <c r="AG272" i="21"/>
  <c r="AL272" i="21" s="1"/>
  <c r="AM272" i="21" s="1"/>
  <c r="AG151" i="21"/>
  <c r="AL151" i="21" s="1"/>
  <c r="AM151" i="21" s="1"/>
  <c r="AG271" i="21"/>
  <c r="AL271" i="21" s="1"/>
  <c r="AM271" i="21" s="1"/>
  <c r="AG144" i="21"/>
  <c r="AL144" i="21" s="1"/>
  <c r="AM144" i="21" s="1"/>
  <c r="AG198" i="21"/>
  <c r="AL198" i="21" s="1"/>
  <c r="AM198" i="21" s="1"/>
  <c r="AG115" i="21"/>
  <c r="AL115" i="21" s="1"/>
  <c r="AM115" i="21" s="1"/>
  <c r="AG210" i="21"/>
  <c r="AL210" i="21" s="1"/>
  <c r="AM210" i="21" s="1"/>
  <c r="AG269" i="21"/>
  <c r="AL269" i="21" s="1"/>
  <c r="AM269" i="21" s="1"/>
  <c r="AG216" i="21"/>
  <c r="AL216" i="21" s="1"/>
  <c r="AM216" i="21" s="1"/>
  <c r="AG153" i="21"/>
  <c r="AL153" i="21" s="1"/>
  <c r="AM153" i="21" s="1"/>
  <c r="AI208" i="21"/>
  <c r="AJ208" i="21" s="1"/>
  <c r="AG266" i="21"/>
  <c r="AL266" i="21" s="1"/>
  <c r="AM266" i="21" s="1"/>
  <c r="AG205" i="21"/>
  <c r="AL205" i="21" s="1"/>
  <c r="AM205" i="21" s="1"/>
  <c r="AG204" i="21"/>
  <c r="AL204" i="21" s="1"/>
  <c r="AM204" i="21" s="1"/>
  <c r="AG46" i="21"/>
  <c r="AL46" i="21" s="1"/>
  <c r="AM46" i="21" s="1"/>
  <c r="AG42" i="21"/>
  <c r="AL42" i="21" s="1"/>
  <c r="AM42" i="21" s="1"/>
  <c r="AG50" i="21"/>
  <c r="AL50" i="21" s="1"/>
  <c r="AM50" i="21" s="1"/>
  <c r="AG38" i="21"/>
  <c r="AL38" i="21" s="1"/>
  <c r="AM38" i="21" s="1"/>
  <c r="AG258" i="21"/>
  <c r="AL258" i="21" s="1"/>
  <c r="AM258" i="21" s="1"/>
  <c r="AG47" i="21"/>
  <c r="AL47" i="21" s="1"/>
  <c r="AM47" i="21" s="1"/>
  <c r="AG149" i="21"/>
  <c r="AL149" i="21" s="1"/>
  <c r="AM149" i="21" s="1"/>
  <c r="AG217" i="21"/>
  <c r="AL217" i="21" s="1"/>
  <c r="AM217" i="21" s="1"/>
  <c r="AG275" i="21"/>
  <c r="AL275" i="21" s="1"/>
  <c r="AM275" i="21" s="1"/>
  <c r="AG278" i="21"/>
  <c r="AL278" i="21" s="1"/>
  <c r="AM278" i="21" s="1"/>
  <c r="AG182" i="21"/>
  <c r="AL182" i="21" s="1"/>
  <c r="AM182" i="21" s="1"/>
  <c r="AG250" i="21"/>
  <c r="AL250" i="21" s="1"/>
  <c r="AM250" i="21" s="1"/>
  <c r="AI36" i="21"/>
  <c r="AJ36" i="21" s="1"/>
  <c r="AG36" i="21"/>
  <c r="AI44" i="21"/>
  <c r="AJ44" i="21" s="1"/>
  <c r="AG44" i="21"/>
  <c r="AI135" i="21"/>
  <c r="AJ135" i="21" s="1"/>
  <c r="AG135" i="21"/>
  <c r="AI141" i="21"/>
  <c r="AJ141" i="21" s="1"/>
  <c r="AG141" i="21"/>
  <c r="AG13" i="21"/>
  <c r="AL13" i="21" s="1"/>
  <c r="AM13" i="21" s="1"/>
  <c r="AG58" i="21"/>
  <c r="AL58" i="21" s="1"/>
  <c r="AM58" i="21" s="1"/>
  <c r="AG53" i="21"/>
  <c r="AL53" i="21" s="1"/>
  <c r="AM53" i="21" s="1"/>
  <c r="AG69" i="21"/>
  <c r="AL69" i="21" s="1"/>
  <c r="AM69" i="21" s="1"/>
  <c r="AG51" i="21"/>
  <c r="AL51" i="21" s="1"/>
  <c r="AM51" i="21" s="1"/>
  <c r="AG187" i="21"/>
  <c r="AL187" i="21" s="1"/>
  <c r="AM187" i="21" s="1"/>
  <c r="AG230" i="21"/>
  <c r="AL230" i="21" s="1"/>
  <c r="AM230" i="21" s="1"/>
  <c r="AG49" i="21"/>
  <c r="AL49" i="21" s="1"/>
  <c r="AM49" i="21" s="1"/>
  <c r="AG194" i="21"/>
  <c r="AL194" i="21" s="1"/>
  <c r="AM194" i="21" s="1"/>
  <c r="AG220" i="21"/>
  <c r="AL220" i="21" s="1"/>
  <c r="AM220" i="21" s="1"/>
  <c r="AG226" i="21"/>
  <c r="AL226" i="21" s="1"/>
  <c r="AM226" i="21" s="1"/>
  <c r="AG244" i="21"/>
  <c r="AL244" i="21" s="1"/>
  <c r="AM244" i="21" s="1"/>
  <c r="AG268" i="21"/>
  <c r="AL268" i="21" s="1"/>
  <c r="AM268" i="21" s="1"/>
  <c r="AG158" i="21"/>
  <c r="AL158" i="21" s="1"/>
  <c r="AM158" i="21" s="1"/>
  <c r="AG147" i="21"/>
  <c r="AL147" i="21" s="1"/>
  <c r="AM147" i="21" s="1"/>
  <c r="AG193" i="21"/>
  <c r="AL193" i="21" s="1"/>
  <c r="AM193" i="21" s="1"/>
  <c r="AG233" i="21"/>
  <c r="AL233" i="21" s="1"/>
  <c r="AM233" i="21" s="1"/>
  <c r="AG218" i="21"/>
  <c r="AL218" i="21" s="1"/>
  <c r="AM218" i="21" s="1"/>
  <c r="AG221" i="21"/>
  <c r="AL221" i="21" s="1"/>
  <c r="AM221" i="21" s="1"/>
  <c r="AG270" i="21"/>
  <c r="AL270" i="21" s="1"/>
  <c r="AM270" i="21" s="1"/>
  <c r="AG17" i="21"/>
  <c r="AL17" i="21" s="1"/>
  <c r="AM17" i="21" s="1"/>
  <c r="X97" i="21"/>
  <c r="AI97" i="21" s="1"/>
  <c r="AJ97" i="21" s="1"/>
  <c r="AG101" i="21"/>
  <c r="AL101" i="21" s="1"/>
  <c r="AM101" i="21" s="1"/>
  <c r="AG129" i="21"/>
  <c r="AL129" i="21" s="1"/>
  <c r="AM129" i="21" s="1"/>
  <c r="AG202" i="21"/>
  <c r="AL202" i="21" s="1"/>
  <c r="AM202" i="21" s="1"/>
  <c r="AG277" i="21"/>
  <c r="AL277" i="21" s="1"/>
  <c r="AM277" i="21" s="1"/>
  <c r="AG29" i="21"/>
  <c r="AL29" i="21" s="1"/>
  <c r="AM29" i="21" s="1"/>
  <c r="AG100" i="21"/>
  <c r="AL100" i="21" s="1"/>
  <c r="AM100" i="21" s="1"/>
  <c r="AG201" i="21"/>
  <c r="AL201" i="21" s="1"/>
  <c r="AM201" i="21" s="1"/>
  <c r="AG231" i="21"/>
  <c r="AL231" i="21" s="1"/>
  <c r="AM231" i="21" s="1"/>
  <c r="AG11" i="21"/>
  <c r="AL11" i="21" s="1"/>
  <c r="AM11" i="21" s="1"/>
  <c r="AG209" i="21"/>
  <c r="AL209" i="21" s="1"/>
  <c r="AM209" i="21" s="1"/>
  <c r="AG213" i="21"/>
  <c r="AL213" i="21" s="1"/>
  <c r="AM213" i="21" s="1"/>
  <c r="AG55" i="21"/>
  <c r="AL55" i="21" s="1"/>
  <c r="AM55" i="21" s="1"/>
  <c r="AG99" i="21"/>
  <c r="AL99" i="21" s="1"/>
  <c r="AM99" i="21" s="1"/>
  <c r="AG264" i="21"/>
  <c r="AL264" i="21" s="1"/>
  <c r="AM264" i="21" s="1"/>
  <c r="K2" i="21"/>
  <c r="AI146" i="21"/>
  <c r="AJ146" i="21" s="1"/>
  <c r="AG146" i="21"/>
  <c r="AI22" i="21"/>
  <c r="AJ22" i="21" s="1"/>
  <c r="AG22" i="21"/>
  <c r="AI23" i="21"/>
  <c r="AJ23" i="21" s="1"/>
  <c r="AG23" i="21"/>
  <c r="AG248" i="21"/>
  <c r="AL248" i="21" s="1"/>
  <c r="AM248" i="21" s="1"/>
  <c r="AG15" i="21"/>
  <c r="AL15" i="21" s="1"/>
  <c r="AM15" i="21" s="1"/>
  <c r="AG172" i="21"/>
  <c r="AL172" i="21" s="1"/>
  <c r="AM172" i="21" s="1"/>
  <c r="AG188" i="21"/>
  <c r="AL188" i="21" s="1"/>
  <c r="AM188" i="21" s="1"/>
  <c r="AG68" i="21"/>
  <c r="AL68" i="21" s="1"/>
  <c r="AM68" i="21" s="1"/>
  <c r="AG224" i="21"/>
  <c r="AL224" i="21" s="1"/>
  <c r="AM224" i="21" s="1"/>
  <c r="AG150" i="21"/>
  <c r="AL150" i="21" s="1"/>
  <c r="AM150" i="21" s="1"/>
  <c r="AG223" i="21"/>
  <c r="AL223" i="21" s="1"/>
  <c r="AM223" i="21" s="1"/>
  <c r="AG265" i="21"/>
  <c r="AL265" i="21" s="1"/>
  <c r="AM265" i="21" s="1"/>
  <c r="AG70" i="21"/>
  <c r="AL70" i="21" s="1"/>
  <c r="AM70" i="21" s="1"/>
  <c r="AG145" i="21"/>
  <c r="AL145" i="21" s="1"/>
  <c r="AM145" i="21" s="1"/>
  <c r="AG214" i="21"/>
  <c r="AL214" i="21" s="1"/>
  <c r="AM214" i="21" s="1"/>
  <c r="AG274" i="21"/>
  <c r="AL274" i="21" s="1"/>
  <c r="AM274" i="21" s="1"/>
  <c r="AG122" i="21"/>
  <c r="AL122" i="21" s="1"/>
  <c r="AM122" i="21" s="1"/>
  <c r="AG37" i="21"/>
  <c r="AL37" i="21" s="1"/>
  <c r="AM37" i="21" s="1"/>
  <c r="AG88" i="21"/>
  <c r="AL88" i="21" s="1"/>
  <c r="AM88" i="21" s="1"/>
  <c r="AG157" i="21"/>
  <c r="AL157" i="21" s="1"/>
  <c r="AG261" i="21"/>
  <c r="AL261" i="21" s="1"/>
  <c r="AM261" i="21" s="1"/>
  <c r="AG227" i="21"/>
  <c r="AL227" i="21" s="1"/>
  <c r="AM227" i="21" s="1"/>
  <c r="AG171" i="21"/>
  <c r="AL171" i="21" s="1"/>
  <c r="AM171" i="21" s="1"/>
  <c r="AG19" i="21"/>
  <c r="AL19" i="21" s="1"/>
  <c r="AM19" i="21" s="1"/>
  <c r="AG140" i="21"/>
  <c r="AL140" i="21" s="1"/>
  <c r="AM140" i="21" s="1"/>
  <c r="AF97" i="21"/>
  <c r="AA97" i="21"/>
  <c r="AG168" i="21"/>
  <c r="AL168" i="21" s="1"/>
  <c r="AM168" i="21" s="1"/>
  <c r="AG156" i="21"/>
  <c r="AL156" i="21" s="1"/>
  <c r="AM156" i="21" s="1"/>
  <c r="AG190" i="21"/>
  <c r="AL190" i="21" s="1"/>
  <c r="AM190" i="21" s="1"/>
  <c r="AG174" i="21"/>
  <c r="AL174" i="21" s="1"/>
  <c r="AM174" i="21" s="1"/>
  <c r="AG138" i="21"/>
  <c r="AL138" i="21" s="1"/>
  <c r="AM138" i="21" s="1"/>
  <c r="AI10" i="21"/>
  <c r="AJ10" i="21" s="1"/>
  <c r="AG10" i="21"/>
  <c r="AI96" i="21"/>
  <c r="AJ96" i="21" s="1"/>
  <c r="AG96" i="21"/>
  <c r="AI126" i="21"/>
  <c r="AJ126" i="21" s="1"/>
  <c r="AG126" i="21"/>
  <c r="AI107" i="21"/>
  <c r="AJ107" i="21" s="1"/>
  <c r="AG107" i="21"/>
  <c r="AI14" i="21"/>
  <c r="AJ14" i="21" s="1"/>
  <c r="AG14" i="21"/>
  <c r="AI52" i="21"/>
  <c r="AJ52" i="21" s="1"/>
  <c r="AG52" i="21"/>
  <c r="AI80" i="21"/>
  <c r="AJ80" i="21" s="1"/>
  <c r="AG80" i="21"/>
  <c r="AI118" i="21"/>
  <c r="AJ118" i="21" s="1"/>
  <c r="AG118" i="21"/>
  <c r="AI26" i="21"/>
  <c r="AJ26" i="21" s="1"/>
  <c r="AG26" i="21"/>
  <c r="AI120" i="21"/>
  <c r="AJ120" i="21" s="1"/>
  <c r="AG120" i="21"/>
  <c r="AI82" i="21"/>
  <c r="AJ82" i="21" s="1"/>
  <c r="AG82" i="21"/>
  <c r="AI59" i="21"/>
  <c r="AJ59" i="21" s="1"/>
  <c r="AG59" i="21"/>
  <c r="AI113" i="21"/>
  <c r="AJ113" i="21" s="1"/>
  <c r="AG113" i="21"/>
  <c r="AG24" i="21"/>
  <c r="AL24" i="21" s="1"/>
  <c r="AM24" i="21" s="1"/>
  <c r="AI74" i="21"/>
  <c r="AJ74" i="21" s="1"/>
  <c r="AG74" i="21"/>
  <c r="AG28" i="21"/>
  <c r="AL28" i="21" s="1"/>
  <c r="AM28" i="21" s="1"/>
  <c r="AG32" i="21"/>
  <c r="AL32" i="21" s="1"/>
  <c r="AM32" i="21" s="1"/>
  <c r="AG61" i="21"/>
  <c r="AL61" i="21" s="1"/>
  <c r="AM61" i="21" s="1"/>
  <c r="AG78" i="21"/>
  <c r="AL78" i="21" s="1"/>
  <c r="AM78" i="21" s="1"/>
  <c r="AG165" i="21"/>
  <c r="AL165" i="21" s="1"/>
  <c r="AM165" i="21" s="1"/>
  <c r="AG181" i="21"/>
  <c r="AL181" i="21" s="1"/>
  <c r="AM181" i="21" s="1"/>
  <c r="AI148" i="21"/>
  <c r="AJ148" i="21" s="1"/>
  <c r="AG148" i="21"/>
  <c r="AG124" i="21"/>
  <c r="AL124" i="21" s="1"/>
  <c r="AM124" i="21" s="1"/>
  <c r="AG18" i="21"/>
  <c r="AL18" i="21" s="1"/>
  <c r="AM18" i="21" s="1"/>
  <c r="AG34" i="21"/>
  <c r="AL34" i="21" s="1"/>
  <c r="AM34" i="21" s="1"/>
  <c r="AG8" i="21"/>
  <c r="AL8" i="21" s="1"/>
  <c r="AM8" i="21" s="1"/>
  <c r="AG57" i="21"/>
  <c r="AL57" i="21" s="1"/>
  <c r="AM57" i="21" s="1"/>
  <c r="AI75" i="21"/>
  <c r="AJ75" i="21" s="1"/>
  <c r="AG75" i="21"/>
  <c r="AI79" i="21"/>
  <c r="AJ79" i="21" s="1"/>
  <c r="AG79" i="21"/>
  <c r="AI83" i="21"/>
  <c r="AJ83" i="21" s="1"/>
  <c r="AG83" i="21"/>
  <c r="AI87" i="21"/>
  <c r="AJ87" i="21" s="1"/>
  <c r="AG87" i="21"/>
  <c r="AI91" i="21"/>
  <c r="AJ91" i="21" s="1"/>
  <c r="AG91" i="21"/>
  <c r="AI95" i="21"/>
  <c r="AJ95" i="21" s="1"/>
  <c r="AG95" i="21"/>
  <c r="AI104" i="21"/>
  <c r="AJ104" i="21" s="1"/>
  <c r="AG104" i="21"/>
  <c r="AI108" i="21"/>
  <c r="AJ108" i="21" s="1"/>
  <c r="AG108" i="21"/>
  <c r="AI112" i="21"/>
  <c r="AJ112" i="21" s="1"/>
  <c r="AG112" i="21"/>
  <c r="AI116" i="21"/>
  <c r="AJ116" i="21" s="1"/>
  <c r="AG116" i="21"/>
  <c r="AG90" i="21"/>
  <c r="AL90" i="21" s="1"/>
  <c r="AM90" i="21" s="1"/>
  <c r="AG119" i="21"/>
  <c r="AL119" i="21" s="1"/>
  <c r="AM119" i="21" s="1"/>
  <c r="AG128" i="21"/>
  <c r="AL128" i="21" s="1"/>
  <c r="AM128" i="21" s="1"/>
  <c r="AG136" i="21"/>
  <c r="AL136" i="21" s="1"/>
  <c r="AM136" i="21" s="1"/>
  <c r="AG103" i="21"/>
  <c r="AL103" i="21" s="1"/>
  <c r="AM103" i="21" s="1"/>
  <c r="AG155" i="21"/>
  <c r="AL155" i="21" s="1"/>
  <c r="AM155" i="21" s="1"/>
  <c r="AG169" i="21"/>
  <c r="AL169" i="21" s="1"/>
  <c r="AM169" i="21" s="1"/>
  <c r="AG185" i="21"/>
  <c r="AL185" i="21" s="1"/>
  <c r="AM185" i="21" s="1"/>
  <c r="AG111" i="21"/>
  <c r="AL111" i="21" s="1"/>
  <c r="AM111" i="21" s="1"/>
  <c r="AI152" i="21"/>
  <c r="AJ152" i="21" s="1"/>
  <c r="AG152" i="21"/>
  <c r="AG159" i="21"/>
  <c r="AL159" i="21" s="1"/>
  <c r="AM159" i="21" s="1"/>
  <c r="AG175" i="21"/>
  <c r="AL175" i="21" s="1"/>
  <c r="AM175" i="21" s="1"/>
  <c r="AG197" i="21"/>
  <c r="AL197" i="21" s="1"/>
  <c r="AM197" i="21" s="1"/>
  <c r="AG40" i="21"/>
  <c r="AL40" i="21" s="1"/>
  <c r="AM40" i="21" s="1"/>
  <c r="AG229" i="21"/>
  <c r="AL229" i="21" s="1"/>
  <c r="AM229" i="21" s="1"/>
  <c r="AG92" i="21"/>
  <c r="AL92" i="21" s="1"/>
  <c r="AM92" i="21" s="1"/>
  <c r="AG117" i="21"/>
  <c r="AL117" i="21" s="1"/>
  <c r="AM117" i="21" s="1"/>
  <c r="AG125" i="21"/>
  <c r="AL125" i="21" s="1"/>
  <c r="AM125" i="21" s="1"/>
  <c r="AG134" i="21"/>
  <c r="AL134" i="21" s="1"/>
  <c r="AM134" i="21" s="1"/>
  <c r="AG12" i="21"/>
  <c r="AL12" i="21" s="1"/>
  <c r="AM12" i="21" s="1"/>
  <c r="AI9" i="21"/>
  <c r="AJ9" i="21" s="1"/>
  <c r="AG9" i="21"/>
  <c r="AA2" i="21"/>
  <c r="AG16" i="21"/>
  <c r="AL16" i="21" s="1"/>
  <c r="AM16" i="21" s="1"/>
  <c r="AG65" i="21"/>
  <c r="AL65" i="21" s="1"/>
  <c r="AM65" i="21" s="1"/>
  <c r="AG73" i="21"/>
  <c r="AL73" i="21" s="1"/>
  <c r="AM73" i="21" s="1"/>
  <c r="AG76" i="21"/>
  <c r="AL76" i="21" s="1"/>
  <c r="AM76" i="21" s="1"/>
  <c r="AG121" i="21"/>
  <c r="AL121" i="21" s="1"/>
  <c r="AM121" i="21" s="1"/>
  <c r="AG130" i="21"/>
  <c r="AL130" i="21" s="1"/>
  <c r="AM130" i="21" s="1"/>
  <c r="AG20" i="21"/>
  <c r="AL20" i="21" s="1"/>
  <c r="AM20" i="21" s="1"/>
  <c r="AG105" i="21"/>
  <c r="AL105" i="21" s="1"/>
  <c r="AM105" i="21" s="1"/>
  <c r="AI143" i="21"/>
  <c r="AJ143" i="21" s="1"/>
  <c r="AG143" i="21"/>
  <c r="AG173" i="21"/>
  <c r="AL173" i="21" s="1"/>
  <c r="AM173" i="21" s="1"/>
  <c r="AG189" i="21"/>
  <c r="AL189" i="21" s="1"/>
  <c r="AM189" i="21" s="1"/>
  <c r="AG207" i="21"/>
  <c r="AL207" i="21" s="1"/>
  <c r="AM207" i="21" s="1"/>
  <c r="AG139" i="21"/>
  <c r="AL139" i="21" s="1"/>
  <c r="AM139" i="21" s="1"/>
  <c r="AG163" i="21"/>
  <c r="AL163" i="21" s="1"/>
  <c r="AM163" i="21" s="1"/>
  <c r="AG179" i="21"/>
  <c r="AL179" i="21" s="1"/>
  <c r="AM179" i="21" s="1"/>
  <c r="AG253" i="21"/>
  <c r="AL253" i="21" s="1"/>
  <c r="AM253" i="21" s="1"/>
  <c r="AI7" i="21"/>
  <c r="AJ7" i="21" s="1"/>
  <c r="AG7" i="21"/>
  <c r="AG137" i="21"/>
  <c r="AL137" i="21" s="1"/>
  <c r="AM137" i="21" s="1"/>
  <c r="AG30" i="21"/>
  <c r="AL30" i="21" s="1"/>
  <c r="AM30" i="21" s="1"/>
  <c r="AH2" i="21"/>
  <c r="X6" i="21"/>
  <c r="AG6" i="21" s="1"/>
  <c r="AG63" i="21"/>
  <c r="AL63" i="21" s="1"/>
  <c r="AM63" i="21" s="1"/>
  <c r="AG71" i="21"/>
  <c r="AL71" i="21" s="1"/>
  <c r="AM71" i="21" s="1"/>
  <c r="AI77" i="21"/>
  <c r="AJ77" i="21" s="1"/>
  <c r="AG77" i="21"/>
  <c r="AI81" i="21"/>
  <c r="AJ81" i="21" s="1"/>
  <c r="AG81" i="21"/>
  <c r="AI85" i="21"/>
  <c r="AJ85" i="21" s="1"/>
  <c r="AG85" i="21"/>
  <c r="AI89" i="21"/>
  <c r="AJ89" i="21" s="1"/>
  <c r="AG89" i="21"/>
  <c r="AI93" i="21"/>
  <c r="AJ93" i="21" s="1"/>
  <c r="AG93" i="21"/>
  <c r="AI102" i="21"/>
  <c r="AJ102" i="21" s="1"/>
  <c r="AG102" i="21"/>
  <c r="AI106" i="21"/>
  <c r="AJ106" i="21" s="1"/>
  <c r="AG106" i="21"/>
  <c r="AI110" i="21"/>
  <c r="AJ110" i="21" s="1"/>
  <c r="AG110" i="21"/>
  <c r="AI114" i="21"/>
  <c r="AJ114" i="21" s="1"/>
  <c r="AG114" i="21"/>
  <c r="AG84" i="21"/>
  <c r="AL84" i="21" s="1"/>
  <c r="AM84" i="21" s="1"/>
  <c r="AG109" i="21"/>
  <c r="AL109" i="21" s="1"/>
  <c r="AM109" i="21" s="1"/>
  <c r="AG123" i="21"/>
  <c r="AL123" i="21" s="1"/>
  <c r="AM123" i="21" s="1"/>
  <c r="AG132" i="21"/>
  <c r="AL132" i="21" s="1"/>
  <c r="AM132" i="21" s="1"/>
  <c r="AG86" i="21"/>
  <c r="AL86" i="21" s="1"/>
  <c r="AM86" i="21" s="1"/>
  <c r="AG161" i="21"/>
  <c r="AL161" i="21" s="1"/>
  <c r="AM161" i="21" s="1"/>
  <c r="AG177" i="21"/>
  <c r="AL177" i="21" s="1"/>
  <c r="AM177" i="21" s="1"/>
  <c r="AG67" i="21"/>
  <c r="AL67" i="21" s="1"/>
  <c r="AM67" i="21" s="1"/>
  <c r="AG94" i="21"/>
  <c r="AL94" i="21" s="1"/>
  <c r="AM94" i="21" s="1"/>
  <c r="AG167" i="21"/>
  <c r="AL167" i="21" s="1"/>
  <c r="AM167" i="21" s="1"/>
  <c r="AG184" i="21"/>
  <c r="AL184" i="21" s="1"/>
  <c r="AM184" i="21" s="1"/>
  <c r="AG241" i="21"/>
  <c r="AL241" i="21" s="1"/>
  <c r="AM241" i="21" s="1"/>
  <c r="AL23" i="21" l="1"/>
  <c r="AM23" i="21" s="1"/>
  <c r="AL146" i="21"/>
  <c r="AM146" i="21" s="1"/>
  <c r="AL208" i="21"/>
  <c r="AM208" i="21" s="1"/>
  <c r="AL113" i="21"/>
  <c r="AM113" i="21" s="1"/>
  <c r="AL82" i="21"/>
  <c r="AM82" i="21" s="1"/>
  <c r="AL26" i="21"/>
  <c r="AM26" i="21" s="1"/>
  <c r="AL192" i="21"/>
  <c r="AM192" i="21" s="1"/>
  <c r="AL114" i="21"/>
  <c r="AM114" i="21" s="1"/>
  <c r="AL106" i="21"/>
  <c r="AM106" i="21" s="1"/>
  <c r="AL141" i="21"/>
  <c r="AM141" i="21" s="1"/>
  <c r="AL74" i="21"/>
  <c r="AM74" i="21" s="1"/>
  <c r="AL143" i="21"/>
  <c r="AM143" i="21" s="1"/>
  <c r="AL135" i="21"/>
  <c r="AM135" i="21" s="1"/>
  <c r="AL36" i="21"/>
  <c r="AM36" i="21" s="1"/>
  <c r="AL93" i="21"/>
  <c r="AM93" i="21" s="1"/>
  <c r="AL85" i="21"/>
  <c r="AM85" i="21" s="1"/>
  <c r="AL77" i="21"/>
  <c r="AM77" i="21" s="1"/>
  <c r="AL9" i="21"/>
  <c r="AM9" i="21" s="1"/>
  <c r="AL22" i="21"/>
  <c r="AM22" i="21" s="1"/>
  <c r="AL44" i="21"/>
  <c r="AM44" i="21" s="1"/>
  <c r="AL80" i="21"/>
  <c r="AM80" i="21" s="1"/>
  <c r="AL14" i="21"/>
  <c r="AM14" i="21" s="1"/>
  <c r="AL126" i="21"/>
  <c r="AM126" i="21" s="1"/>
  <c r="AL10" i="21"/>
  <c r="AM10" i="21" s="1"/>
  <c r="AG97" i="21"/>
  <c r="AL97" i="21" s="1"/>
  <c r="AM97" i="21" s="1"/>
  <c r="AL110" i="21"/>
  <c r="AM110" i="21" s="1"/>
  <c r="AL102" i="21"/>
  <c r="AM102" i="21" s="1"/>
  <c r="AL89" i="21"/>
  <c r="AM89" i="21" s="1"/>
  <c r="AL81" i="21"/>
  <c r="AM81" i="21" s="1"/>
  <c r="AL152" i="21"/>
  <c r="AM152" i="21" s="1"/>
  <c r="AL112" i="21"/>
  <c r="AM112" i="21" s="1"/>
  <c r="AL148" i="21"/>
  <c r="AM148" i="21" s="1"/>
  <c r="AL59" i="21"/>
  <c r="AM59" i="21" s="1"/>
  <c r="AL120" i="21"/>
  <c r="AM120" i="21" s="1"/>
  <c r="AL118" i="21"/>
  <c r="AM118" i="21" s="1"/>
  <c r="AL52" i="21"/>
  <c r="AM52" i="21" s="1"/>
  <c r="AL107" i="21"/>
  <c r="AM107" i="21" s="1"/>
  <c r="AL96" i="21"/>
  <c r="AM96" i="21" s="1"/>
  <c r="AG2" i="21"/>
  <c r="AF3" i="21" s="1"/>
  <c r="AL7" i="21"/>
  <c r="AM7" i="21" s="1"/>
  <c r="AL116" i="21"/>
  <c r="AM116" i="21" s="1"/>
  <c r="AL108" i="21"/>
  <c r="AM108" i="21" s="1"/>
  <c r="AL95" i="21"/>
  <c r="AM95" i="21" s="1"/>
  <c r="AL87" i="21"/>
  <c r="AM87" i="21" s="1"/>
  <c r="AL79" i="21"/>
  <c r="AM79" i="21" s="1"/>
  <c r="AI6" i="21"/>
  <c r="X2" i="21"/>
  <c r="AL104" i="21"/>
  <c r="AM104" i="21" s="1"/>
  <c r="AL91" i="21"/>
  <c r="AM91" i="21" s="1"/>
  <c r="AL83" i="21"/>
  <c r="AM83" i="21" s="1"/>
  <c r="AL75" i="21"/>
  <c r="AM75" i="21" s="1"/>
  <c r="AI2" i="21" l="1"/>
  <c r="AJ6" i="21"/>
  <c r="AJ2" i="21" s="1"/>
  <c r="AL6" i="21"/>
  <c r="AM6" i="21" s="1"/>
  <c r="AL2" i="21" l="1"/>
  <c r="AM2" i="21"/>
  <c r="G37" i="20" l="1"/>
  <c r="D4" i="9"/>
  <c r="H30" i="20" l="1"/>
  <c r="H20" i="20"/>
  <c r="I26" i="20"/>
  <c r="I21" i="20"/>
  <c r="H17" i="20"/>
  <c r="I31" i="20"/>
  <c r="I30" i="20"/>
  <c r="H29" i="20"/>
  <c r="I27" i="20"/>
  <c r="H27" i="20"/>
  <c r="I25" i="20"/>
  <c r="I24" i="20"/>
  <c r="I22" i="20"/>
  <c r="H22" i="20"/>
  <c r="I32" i="20"/>
  <c r="H32" i="20"/>
  <c r="I34" i="20"/>
  <c r="H33" i="20"/>
  <c r="I33" i="20"/>
  <c r="I19" i="20"/>
  <c r="H19" i="20"/>
  <c r="I36" i="20"/>
  <c r="H36" i="20"/>
  <c r="I35" i="20"/>
  <c r="I18" i="20"/>
  <c r="H18" i="20"/>
  <c r="I17" i="20"/>
  <c r="I14" i="20"/>
  <c r="H14" i="20"/>
  <c r="I13" i="20"/>
  <c r="H13" i="20"/>
  <c r="I11" i="20"/>
  <c r="H11" i="20"/>
  <c r="I10" i="20"/>
  <c r="I9" i="20"/>
  <c r="I16" i="20"/>
  <c r="H16" i="20"/>
  <c r="H15" i="20"/>
  <c r="I15" i="20"/>
  <c r="I7" i="20"/>
  <c r="H7" i="20"/>
  <c r="I6" i="20"/>
  <c r="H6" i="20"/>
  <c r="G7" i="28" l="1"/>
  <c r="G7" i="33"/>
  <c r="I20" i="20"/>
  <c r="I37" i="20" s="1"/>
  <c r="H21" i="20"/>
  <c r="H23" i="20"/>
  <c r="E38" i="20"/>
  <c r="G38" i="20"/>
  <c r="H10" i="20"/>
  <c r="H31" i="20"/>
  <c r="H9" i="20"/>
  <c r="G30" i="4"/>
  <c r="H30" i="4"/>
  <c r="H37" i="20" l="1"/>
  <c r="I38" i="20" s="1"/>
  <c r="H15" i="4"/>
  <c r="G15" i="4"/>
  <c r="E34" i="4"/>
  <c r="F32" i="4"/>
  <c r="F10" i="4" l="1"/>
  <c r="H12" i="4"/>
  <c r="G12" i="4"/>
  <c r="F26" i="4"/>
  <c r="E20" i="4"/>
  <c r="H22" i="4"/>
  <c r="G22" i="4"/>
  <c r="E21" i="4"/>
  <c r="K13" i="2" l="1"/>
  <c r="E9" i="14" l="1"/>
  <c r="G174" i="17" l="1"/>
  <c r="G196" i="17"/>
  <c r="G184" i="17"/>
  <c r="G191" i="17"/>
  <c r="G179" i="17"/>
  <c r="G177" i="17"/>
  <c r="G185" i="17"/>
  <c r="I199" i="17" l="1"/>
  <c r="G199" i="17"/>
  <c r="G124" i="17" l="1"/>
  <c r="G125" i="17"/>
  <c r="G141" i="17"/>
  <c r="G146" i="17"/>
  <c r="G135" i="17"/>
  <c r="G132" i="17"/>
  <c r="G128" i="17"/>
  <c r="G127" i="17"/>
  <c r="G126" i="17"/>
  <c r="G148" i="17"/>
  <c r="G145" i="17"/>
  <c r="G140" i="17"/>
  <c r="G142" i="17"/>
  <c r="G139" i="17"/>
  <c r="G138" i="17"/>
  <c r="G137" i="17"/>
  <c r="G130" i="17"/>
  <c r="G129" i="17"/>
  <c r="I149" i="17"/>
  <c r="G149" i="17" l="1"/>
  <c r="E96" i="17"/>
  <c r="I94" i="17"/>
  <c r="I93" i="17"/>
  <c r="G92" i="17"/>
  <c r="F92" i="17"/>
  <c r="F96" i="17" s="1"/>
  <c r="I83" i="17"/>
  <c r="G83" i="17"/>
  <c r="G66" i="17"/>
  <c r="I66" i="17"/>
  <c r="I61" i="17"/>
  <c r="G61" i="17"/>
  <c r="E23" i="14"/>
  <c r="E7" i="14" l="1"/>
  <c r="G23" i="14"/>
  <c r="I92" i="17"/>
  <c r="I96" i="17" s="1"/>
  <c r="G96" i="17"/>
  <c r="R31" i="4"/>
  <c r="G45" i="17"/>
  <c r="G49" i="17" s="1"/>
  <c r="I49" i="17"/>
  <c r="I22" i="17" l="1"/>
  <c r="G22" i="17"/>
  <c r="G9" i="17" l="1"/>
  <c r="I9" i="17"/>
  <c r="D9" i="16" l="1"/>
  <c r="F9" i="16"/>
  <c r="C9" i="16"/>
  <c r="G7" i="16"/>
  <c r="D21" i="15"/>
  <c r="D17" i="15"/>
  <c r="D24" i="15"/>
  <c r="F24" i="15"/>
  <c r="F21" i="15"/>
  <c r="F17" i="15"/>
  <c r="H9" i="13"/>
  <c r="I33" i="12"/>
  <c r="H18" i="4"/>
  <c r="G18" i="4"/>
  <c r="G15" i="14"/>
  <c r="E10" i="14"/>
  <c r="E15" i="14" s="1"/>
  <c r="G10" i="14"/>
  <c r="H12" i="13"/>
  <c r="J12" i="13"/>
  <c r="J9" i="13"/>
  <c r="G33" i="12"/>
  <c r="G27" i="12"/>
  <c r="G14" i="12"/>
  <c r="G9" i="12"/>
  <c r="I27" i="12"/>
  <c r="I22" i="12"/>
  <c r="I14" i="12"/>
  <c r="I11" i="12"/>
  <c r="I28" i="12" l="1"/>
  <c r="I34" i="12" s="1"/>
  <c r="G22" i="12"/>
  <c r="G28" i="12" s="1"/>
  <c r="G34" i="12" s="1"/>
  <c r="G11" i="12"/>
  <c r="G15" i="12" s="1"/>
  <c r="F25" i="15"/>
  <c r="F27" i="15" s="1"/>
  <c r="I15" i="12"/>
  <c r="H14" i="13"/>
  <c r="H16" i="13" s="1"/>
  <c r="E8" i="16" s="1"/>
  <c r="G8" i="16" s="1"/>
  <c r="G9" i="16" s="1"/>
  <c r="J14" i="13"/>
  <c r="J16" i="13" s="1"/>
  <c r="D25" i="15"/>
  <c r="D27" i="15" s="1"/>
  <c r="I37" i="12" l="1"/>
  <c r="G37" i="12"/>
  <c r="E9" i="16"/>
  <c r="F31" i="4"/>
  <c r="F27" i="4"/>
  <c r="E31" i="4"/>
  <c r="E11" i="4"/>
  <c r="E10" i="4"/>
  <c r="F13" i="4" l="1"/>
  <c r="E13" i="4"/>
  <c r="G10" i="4"/>
  <c r="D13" i="1" l="1"/>
  <c r="E8" i="4"/>
  <c r="H23" i="4"/>
  <c r="H31" i="4" l="1"/>
  <c r="G7" i="4"/>
  <c r="G27" i="4"/>
  <c r="H27" i="4"/>
  <c r="E26" i="4"/>
  <c r="G28" i="4"/>
  <c r="H28" i="4"/>
  <c r="G20" i="4"/>
  <c r="H7" i="4"/>
  <c r="G8" i="4"/>
  <c r="H8" i="4"/>
  <c r="G9" i="4"/>
  <c r="H9" i="4"/>
  <c r="H10" i="4"/>
  <c r="G11" i="4"/>
  <c r="H11" i="4"/>
  <c r="G16" i="4"/>
  <c r="H16" i="4"/>
  <c r="G17" i="4"/>
  <c r="H17" i="4"/>
  <c r="G19" i="4"/>
  <c r="H19" i="4"/>
  <c r="G21" i="4"/>
  <c r="H21" i="4"/>
  <c r="G23" i="4"/>
  <c r="G24" i="4"/>
  <c r="H24" i="4"/>
  <c r="G25" i="4"/>
  <c r="H25" i="4"/>
  <c r="G29" i="4"/>
  <c r="H29" i="4"/>
  <c r="G31" i="4"/>
  <c r="G32" i="4"/>
  <c r="H32" i="4"/>
  <c r="G33" i="4"/>
  <c r="H33" i="4"/>
  <c r="G34" i="4"/>
  <c r="H34" i="4"/>
  <c r="F14" i="4"/>
  <c r="F35" i="4" s="1"/>
  <c r="E14" i="4"/>
  <c r="E6" i="4"/>
  <c r="D25" i="9"/>
  <c r="C25" i="9"/>
  <c r="D13" i="9"/>
  <c r="N22" i="4" l="1"/>
  <c r="G6" i="28"/>
  <c r="G9" i="28" s="1"/>
  <c r="G6" i="33"/>
  <c r="G9" i="33" s="1"/>
  <c r="E9" i="12" s="1"/>
  <c r="E11" i="12" s="1"/>
  <c r="E15" i="12" s="1"/>
  <c r="E37" i="12" s="1"/>
  <c r="G6" i="4"/>
  <c r="E35" i="4"/>
  <c r="F36" i="4" s="1"/>
  <c r="G26" i="4"/>
  <c r="G14" i="4"/>
  <c r="H26" i="4"/>
  <c r="H14" i="4"/>
  <c r="H6" i="4"/>
  <c r="G13" i="4"/>
  <c r="H13" i="4"/>
  <c r="H20" i="4"/>
  <c r="G35" i="4" l="1"/>
  <c r="H35" i="4"/>
  <c r="H36" i="4" l="1"/>
  <c r="J12" i="5"/>
  <c r="F11" i="5" l="1"/>
  <c r="F12" i="5" l="1"/>
  <c r="K12" i="5" s="1"/>
  <c r="J15" i="5"/>
  <c r="F15" i="5"/>
  <c r="J14" i="5"/>
  <c r="F14" i="5"/>
  <c r="J13" i="5"/>
  <c r="F13" i="5"/>
  <c r="J11" i="5"/>
  <c r="J10" i="5"/>
  <c r="F10" i="5"/>
  <c r="C35" i="4"/>
  <c r="D35" i="4"/>
  <c r="J20" i="5" l="1"/>
  <c r="F20" i="5"/>
  <c r="D36" i="4"/>
  <c r="K13" i="5"/>
  <c r="K10" i="5"/>
  <c r="K14" i="5"/>
  <c r="K11" i="5"/>
  <c r="K15" i="5"/>
  <c r="K2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Mohammed Ahmed Mahdi </author>
    <author>M07AMED MAHDI</author>
  </authors>
  <commentList>
    <comment ref="E6" authorId="0" shapeId="0" xr:uid="{00000000-0006-0000-0000-000001000000}">
      <text>
        <r>
          <rPr>
            <b/>
            <i/>
            <u/>
            <sz val="9"/>
            <color indexed="81"/>
            <rFont val="Tahoma"/>
            <family val="2"/>
          </rPr>
          <t>Mohammed Ahmed Mahdi 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24"/>
            <color indexed="81"/>
            <rFont val="Akhbar MT"/>
            <charset val="178"/>
          </rPr>
          <t>شيك رقم 266 في 27-11-2016</t>
        </r>
      </text>
    </comment>
    <comment ref="L10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M07AMED MAHDI: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Calibri"/>
            <family val="2"/>
          </rPr>
          <t xml:space="preserve">مسحوب بتاريخ 13 مارس 2017 
بالقيد رقم 13-03-2017 ببرنامج الاسكون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M07AMED MAHDI</author>
  </authors>
  <commentList>
    <comment ref="J39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M07AMED MAHDI: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8"/>
            <color indexed="81"/>
            <rFont val="Calibri"/>
            <family val="2"/>
            <scheme val="minor"/>
          </rPr>
          <t xml:space="preserve">
متضمنة مبلغ 1772 ريال باقي عهدة شهر يونيو 2017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M07AMED MAHDI</author>
  </authors>
  <commentList>
    <comment ref="N44" authorId="0" shapeId="0" xr:uid="{00000000-0006-0000-0400-000001000000}">
      <text>
        <r>
          <rPr>
            <b/>
            <sz val="18"/>
            <color indexed="81"/>
            <rFont val="Calibri"/>
            <family val="2"/>
            <scheme val="minor"/>
          </rPr>
          <t xml:space="preserve">M07AMED MAHDI:
تم إستلام عدد 2 مكبس فقط لا غير </t>
        </r>
      </text>
    </comment>
  </commentList>
</comments>
</file>

<file path=xl/sharedStrings.xml><?xml version="1.0" encoding="utf-8"?>
<sst xmlns="http://schemas.openxmlformats.org/spreadsheetml/2006/main" count="7269" uniqueCount="1530">
  <si>
    <t>القيد الإفتتاحي</t>
  </si>
  <si>
    <t>البيان</t>
  </si>
  <si>
    <t xml:space="preserve">مدبن </t>
  </si>
  <si>
    <t>دائن</t>
  </si>
  <si>
    <t xml:space="preserve">مدين </t>
  </si>
  <si>
    <t>البنك</t>
  </si>
  <si>
    <t>الصندوق ( النقدية )</t>
  </si>
  <si>
    <t>المبيعات</t>
  </si>
  <si>
    <t>مخصص ترك الخدمة</t>
  </si>
  <si>
    <t>الإجمالي</t>
  </si>
  <si>
    <t>رئيس الحسابات</t>
  </si>
  <si>
    <t xml:space="preserve">المدير المالي </t>
  </si>
  <si>
    <t>مؤسسة الرسين للصيانة</t>
  </si>
  <si>
    <t>خطابات الضمان</t>
  </si>
  <si>
    <t>عهد العاملين</t>
  </si>
  <si>
    <t>الأصول الثابتة</t>
  </si>
  <si>
    <t xml:space="preserve">مجمع إهلاك الأصول </t>
  </si>
  <si>
    <t>المصروفات المستحقة</t>
  </si>
  <si>
    <t>ذمم العاملين الدائنة</t>
  </si>
  <si>
    <t>مخصص الزكاة الشرعية</t>
  </si>
  <si>
    <t>رأس المال</t>
  </si>
  <si>
    <t>الأرباح / الخسائر المرحلة</t>
  </si>
  <si>
    <t>م</t>
  </si>
  <si>
    <t xml:space="preserve">الأصول </t>
  </si>
  <si>
    <t>الإهلاك</t>
  </si>
  <si>
    <t xml:space="preserve">صافي قيمة الأصول </t>
  </si>
  <si>
    <t>رصيد أول المدة</t>
  </si>
  <si>
    <t xml:space="preserve">إجمالي الأصول 
في </t>
  </si>
  <si>
    <t>مجمع إهلاك 
أول المدة</t>
  </si>
  <si>
    <t>أثاث ومفروشات</t>
  </si>
  <si>
    <t>الأجمالي</t>
  </si>
  <si>
    <t>سيارات التشغيل</t>
  </si>
  <si>
    <t>سيارات الركوب</t>
  </si>
  <si>
    <t>الحاويات</t>
  </si>
  <si>
    <t>بيوت جاهزة</t>
  </si>
  <si>
    <t>المكابس الأرضية</t>
  </si>
  <si>
    <t>رقم القيد</t>
  </si>
  <si>
    <t>الأصل</t>
  </si>
  <si>
    <t>المالك</t>
  </si>
  <si>
    <t>مجموعة الاصول</t>
  </si>
  <si>
    <t>المشروع</t>
  </si>
  <si>
    <t>الإدارة</t>
  </si>
  <si>
    <t>المستخدم</t>
  </si>
  <si>
    <t>المورد</t>
  </si>
  <si>
    <t>الكمية</t>
  </si>
  <si>
    <t>رقم الفاتورة</t>
  </si>
  <si>
    <t>سعر/الحبة</t>
  </si>
  <si>
    <t>العمر الافتراضي</t>
  </si>
  <si>
    <t>كود الاصل</t>
  </si>
  <si>
    <t>حالة الاصل</t>
  </si>
  <si>
    <t>خزنة</t>
  </si>
  <si>
    <t>أثاث و مفروشات</t>
  </si>
  <si>
    <t>الرياض</t>
  </si>
  <si>
    <t xml:space="preserve">الحسابات </t>
  </si>
  <si>
    <t>محمد مهدي</t>
  </si>
  <si>
    <t>في التشغيل</t>
  </si>
  <si>
    <t>حاويات 02 ياردة</t>
  </si>
  <si>
    <t>حاويات نفايات</t>
  </si>
  <si>
    <t>مصنع الفهاد</t>
  </si>
  <si>
    <t>10223-10228</t>
  </si>
  <si>
    <t>مكيف LG 1800</t>
  </si>
  <si>
    <t>محولات مكابس أرضية</t>
  </si>
  <si>
    <t>مدارس الرواد</t>
  </si>
  <si>
    <t xml:space="preserve">مؤسسة الرمال </t>
  </si>
  <si>
    <t>مكتب خشبي</t>
  </si>
  <si>
    <t>الإدارية</t>
  </si>
  <si>
    <t>أحمد الشاعر</t>
  </si>
  <si>
    <t>رموز المستقبل للتجارة</t>
  </si>
  <si>
    <t>طابعة</t>
  </si>
  <si>
    <t>إكسترا</t>
  </si>
  <si>
    <t xml:space="preserve">سيارة أكسنت </t>
  </si>
  <si>
    <t>سيارات سيدان</t>
  </si>
  <si>
    <t>التشغيل</t>
  </si>
  <si>
    <t>شاحنة هينو</t>
  </si>
  <si>
    <t>ب.ح.ك
6835</t>
  </si>
  <si>
    <t>جمجوم للسيارات و المعدات</t>
  </si>
  <si>
    <t>ب.ح.ك
6836</t>
  </si>
  <si>
    <t>ب.ح.ك
6838</t>
  </si>
  <si>
    <t>ب.ح.ك
6840</t>
  </si>
  <si>
    <t>ب.ح.ك
6842</t>
  </si>
  <si>
    <t>ثلاجة دانسات</t>
  </si>
  <si>
    <t>المدينة</t>
  </si>
  <si>
    <t>مؤسسة غسان للتجارة</t>
  </si>
  <si>
    <t>غسالة سامسونج 50 حوضين</t>
  </si>
  <si>
    <t>جهاز بصمة موديل f18</t>
  </si>
  <si>
    <t>الحماية المتكاملة للتجارة</t>
  </si>
  <si>
    <t>محمد خليل محمد خليل</t>
  </si>
  <si>
    <t xml:space="preserve">شركة تركي عبد العزيز الحميضي </t>
  </si>
  <si>
    <t>محمد السعيد</t>
  </si>
  <si>
    <t>التحصيل</t>
  </si>
  <si>
    <t>محمد خميس</t>
  </si>
  <si>
    <t>شركة الفهاد</t>
  </si>
  <si>
    <t>ب.ح.ص
4108</t>
  </si>
  <si>
    <t>ب.ح.ص
4106</t>
  </si>
  <si>
    <t>حاويات 06 ياردة بغطاء</t>
  </si>
  <si>
    <t>ضاغط ميتسوبيشي</t>
  </si>
  <si>
    <t>الأحساء</t>
  </si>
  <si>
    <t>أ.ي.ك
4531</t>
  </si>
  <si>
    <t>أ.ي.ك
4212</t>
  </si>
  <si>
    <t>حاويات 04 ياردة</t>
  </si>
  <si>
    <t>حاويات 06ياردة</t>
  </si>
  <si>
    <t>مكبس نفايات أرضي</t>
  </si>
  <si>
    <t>مكابس أرضية</t>
  </si>
  <si>
    <t>ب.أ.ص
3453</t>
  </si>
  <si>
    <t>أ.د.ه
1215</t>
  </si>
  <si>
    <t>غمارتين</t>
  </si>
  <si>
    <t>أ.ن.م
7174</t>
  </si>
  <si>
    <t>بيت جاهز 2 شاور + 2 حمام + 2 مغاسل</t>
  </si>
  <si>
    <t>الساطعة الحديثة للمقاولات 
شيك 1907 من الفهاد</t>
  </si>
  <si>
    <t>المزايا الخضراء 
أعتماد 6001681</t>
  </si>
  <si>
    <t>روول أون روول أوف</t>
  </si>
  <si>
    <t>العيسائي</t>
  </si>
  <si>
    <t>ربوع كلادة للتشغيل</t>
  </si>
  <si>
    <t>حاويات 06 ياردة</t>
  </si>
  <si>
    <t>حاويات مكبس 30 ياردة</t>
  </si>
  <si>
    <t>المطار</t>
  </si>
  <si>
    <t>حاويات 30 ياردة مفتوحة</t>
  </si>
  <si>
    <t>حاويات 02 ياردة بغطاء</t>
  </si>
  <si>
    <t>حاويات 04 ياردة بغطاء</t>
  </si>
  <si>
    <t>أغطية حاويات 06 ياردة</t>
  </si>
  <si>
    <t>أغطية حاويات 04 ياردة</t>
  </si>
  <si>
    <t xml:space="preserve">مؤسسة ألوان الشموس </t>
  </si>
  <si>
    <t>حائل</t>
  </si>
  <si>
    <t>عنيزة</t>
  </si>
  <si>
    <t>ضاغط هينو</t>
  </si>
  <si>
    <t xml:space="preserve">حاويات 02 ياردة </t>
  </si>
  <si>
    <t>جده</t>
  </si>
  <si>
    <t xml:space="preserve">هيونداي أكسنت </t>
  </si>
  <si>
    <t>ح.ب.د
4859</t>
  </si>
  <si>
    <t>الوعلان</t>
  </si>
  <si>
    <t>ضاغطة هينو</t>
  </si>
  <si>
    <t>أ.ص.ح
1307</t>
  </si>
  <si>
    <t>أ.ع.ص
4103</t>
  </si>
  <si>
    <t>أ.ع.ص
4106</t>
  </si>
  <si>
    <t xml:space="preserve">شاحنة إيسوزو </t>
  </si>
  <si>
    <t>أ.ل.ح
4502</t>
  </si>
  <si>
    <t>ضاغط إيسوزو</t>
  </si>
  <si>
    <t>تحسينات</t>
  </si>
  <si>
    <t>أ.ك.ل
2262</t>
  </si>
  <si>
    <t>أ.ل.ب
9281</t>
  </si>
  <si>
    <t>أ.م.د
9305</t>
  </si>
  <si>
    <t>أ.م.د
9306</t>
  </si>
  <si>
    <t>أ.م.د
9308</t>
  </si>
  <si>
    <t>أ.م.د
9213</t>
  </si>
  <si>
    <t>أ.م.د
9216</t>
  </si>
  <si>
    <t>أ.م.د
9223</t>
  </si>
  <si>
    <t>أ.م.د
9220</t>
  </si>
  <si>
    <t>أ.م.ح
9602</t>
  </si>
  <si>
    <t>شاحنة</t>
  </si>
  <si>
    <t>ب.أ.ص
3889</t>
  </si>
  <si>
    <t>ب.أ.ص
5959</t>
  </si>
  <si>
    <t xml:space="preserve">شفورلية تاهو </t>
  </si>
  <si>
    <t>ح.ل.أ
9685</t>
  </si>
  <si>
    <t>شفورولية كابريس</t>
  </si>
  <si>
    <t>أ.ي.س
7915</t>
  </si>
  <si>
    <t>ياسر صبري</t>
  </si>
  <si>
    <t>ب.ح.ك
6834</t>
  </si>
  <si>
    <t>ب.ح.ك
6837</t>
  </si>
  <si>
    <t>ب.ح.ك
6839</t>
  </si>
  <si>
    <t>ب.ح.ك
6841</t>
  </si>
  <si>
    <t>ب.ح.ك
6843</t>
  </si>
  <si>
    <t>وايت مياه</t>
  </si>
  <si>
    <t>ب.ب.ن
6797</t>
  </si>
  <si>
    <t>ب.ب.ن
6796</t>
  </si>
  <si>
    <t>ب.ب.ن
6795</t>
  </si>
  <si>
    <t>ينبع</t>
  </si>
  <si>
    <t>متوقفة بالسكن</t>
  </si>
  <si>
    <t>أ.ي.هـ
6239</t>
  </si>
  <si>
    <t>أ.ي.هـ
6177</t>
  </si>
  <si>
    <t>أ.ي.هـ
6180</t>
  </si>
  <si>
    <t>أ.ي.هـ
6181</t>
  </si>
  <si>
    <t>تويوتا فورتشنر</t>
  </si>
  <si>
    <t>ب.س.ن
4565</t>
  </si>
  <si>
    <t>ب.س.ن
4643</t>
  </si>
  <si>
    <t>إضافات لوايت مياه</t>
  </si>
  <si>
    <t>إضافات لروول أون روول أوف</t>
  </si>
  <si>
    <t xml:space="preserve">ب.ب.ن
6797
6796
</t>
  </si>
  <si>
    <t>بوم ترك</t>
  </si>
  <si>
    <t>أ.م.م
6277</t>
  </si>
  <si>
    <t>أ.م.د
2439</t>
  </si>
  <si>
    <t>تجهيزات تانك مياه</t>
  </si>
  <si>
    <t>ضاغط 22 ياردة</t>
  </si>
  <si>
    <t>أ.ح.و
1957</t>
  </si>
  <si>
    <t>أ.ح.و
1987</t>
  </si>
  <si>
    <t>لود لوجر</t>
  </si>
  <si>
    <t>أ.ح.و
1990</t>
  </si>
  <si>
    <t>أ.ح.و
2641</t>
  </si>
  <si>
    <t>بكب وانيت</t>
  </si>
  <si>
    <t>أ.ع.س
4696</t>
  </si>
  <si>
    <t>أ.ح.و
1960</t>
  </si>
  <si>
    <t>أ.ح.و
7077</t>
  </si>
  <si>
    <t>إيسوزو غمارتين</t>
  </si>
  <si>
    <t>أ.م.ن
7091</t>
  </si>
  <si>
    <t>أ.م.د
9307</t>
  </si>
  <si>
    <t>لاب توب + طابعة</t>
  </si>
  <si>
    <t>محمد جمعة</t>
  </si>
  <si>
    <t>كارفور</t>
  </si>
  <si>
    <t>طفاية حريق</t>
  </si>
  <si>
    <t>عدد 1 مكتب + 1 دولاب + 2 كرسي</t>
  </si>
  <si>
    <t>خزان 10 الاف لتر بولي إيثلين</t>
  </si>
  <si>
    <t>خزانات الوطني المهيدب</t>
  </si>
  <si>
    <t>مكيفات للعمالة</t>
  </si>
  <si>
    <t>صالح الخريف للتجارة</t>
  </si>
  <si>
    <t>أبواب حديد</t>
  </si>
  <si>
    <t xml:space="preserve">مولد كهرباء برافو </t>
  </si>
  <si>
    <t xml:space="preserve">خزان مياه 15000 لتر </t>
  </si>
  <si>
    <t>بيت جاهز +وحدتين مطبخ +وحدتين حمام</t>
  </si>
  <si>
    <t>كونتر مستودع مقاس 20 قدم</t>
  </si>
  <si>
    <t>مولد كهرباء مستعمل مشترى من قسم الفلاتر</t>
  </si>
  <si>
    <t>ثلاجة + سلندر غاز</t>
  </si>
  <si>
    <t xml:space="preserve">تلاجة </t>
  </si>
  <si>
    <t xml:space="preserve">الساطعة الحديثة للمقاولات </t>
  </si>
  <si>
    <t>الساطعة الحديثة للمقاولات</t>
  </si>
  <si>
    <t>محول كهربائي</t>
  </si>
  <si>
    <t>عدد و أدوات ميكانيكية</t>
  </si>
  <si>
    <t>مدارس بن خلدون</t>
  </si>
  <si>
    <t>شرائح تتبع</t>
  </si>
  <si>
    <t>عدد و أدوات أخرى</t>
  </si>
  <si>
    <t>الرصيد</t>
  </si>
  <si>
    <t xml:space="preserve">شيكات صادرة ولم تصرف </t>
  </si>
  <si>
    <t>المدير المالي</t>
  </si>
  <si>
    <t>مصرف الإنماء</t>
  </si>
  <si>
    <t>شيكات واردة ولم تحصل</t>
  </si>
  <si>
    <t>ذمم العاملين</t>
  </si>
  <si>
    <t>جاري المالك</t>
  </si>
  <si>
    <t>الإيرادات</t>
  </si>
  <si>
    <t>مصاريف العمليات</t>
  </si>
  <si>
    <t>المصروفات الإدارية</t>
  </si>
  <si>
    <t>إهلاك العام</t>
  </si>
  <si>
    <t>الدائنون التجاريون</t>
  </si>
  <si>
    <t xml:space="preserve">مؤسسة ربوع كلادة </t>
  </si>
  <si>
    <t>شركة جمجوم للسيارات</t>
  </si>
  <si>
    <t>شركة الفهاد للمعدات والسيارات</t>
  </si>
  <si>
    <t>د</t>
  </si>
  <si>
    <t>current assets</t>
  </si>
  <si>
    <t>current liabilities</t>
  </si>
  <si>
    <t>al madinoon</t>
  </si>
  <si>
    <t>cash &amp; bank</t>
  </si>
  <si>
    <t>other debit accounts</t>
  </si>
  <si>
    <t>Fixed asset</t>
  </si>
  <si>
    <t>Fixed Asset</t>
  </si>
  <si>
    <t>owners equity</t>
  </si>
  <si>
    <t>Expenses</t>
  </si>
  <si>
    <t>Revenues</t>
  </si>
  <si>
    <t>Other credit Accounts</t>
  </si>
  <si>
    <t>Allowances</t>
  </si>
  <si>
    <t>credit accounts</t>
  </si>
  <si>
    <t>مؤسسة فردية - سعودية</t>
  </si>
  <si>
    <t>الإيضاح</t>
  </si>
  <si>
    <t>عام 2016</t>
  </si>
  <si>
    <t>عام 2015</t>
  </si>
  <si>
    <t>الموجودات</t>
  </si>
  <si>
    <t xml:space="preserve">الموجودات المتداولة </t>
  </si>
  <si>
    <t>النقدية وما في حكمها</t>
  </si>
  <si>
    <t>إيرادات مستحقة وأرصدة مدينة أخري</t>
  </si>
  <si>
    <t xml:space="preserve">إجمالي الموجودات المتداولة </t>
  </si>
  <si>
    <t xml:space="preserve">الموجودات الغير متداولة </t>
  </si>
  <si>
    <t>إجمالي الموجودات غير المتداولة</t>
  </si>
  <si>
    <t>إجمالي الموجودات</t>
  </si>
  <si>
    <t>المطلوبات</t>
  </si>
  <si>
    <t xml:space="preserve">المطلوبات المتداولة </t>
  </si>
  <si>
    <t>مصروفات مستحقة وأرصدة دائنة آخري</t>
  </si>
  <si>
    <t xml:space="preserve">إجمالي المطلوبات المتداولة </t>
  </si>
  <si>
    <t xml:space="preserve">المطلوبات غير المتداولة </t>
  </si>
  <si>
    <t>مخصص مكافئة نهاية الخدمة</t>
  </si>
  <si>
    <t>أطراف ذات علاقة دائنة</t>
  </si>
  <si>
    <t>إجمالي المطلوبات غير المتداولة</t>
  </si>
  <si>
    <t>إجمالي المطلوبات</t>
  </si>
  <si>
    <t>حقوق الملكية</t>
  </si>
  <si>
    <t>الخسائر المرحلة</t>
  </si>
  <si>
    <t>إجمالي حقوق الملكية</t>
  </si>
  <si>
    <t>إجمالي المطلوبات وحقوق الملكية</t>
  </si>
  <si>
    <t>تكلفة الإيرادات</t>
  </si>
  <si>
    <t>مجمل الربح</t>
  </si>
  <si>
    <t>المصروفات الإدارية والعومية</t>
  </si>
  <si>
    <t xml:space="preserve">خسائر رأسمالية </t>
  </si>
  <si>
    <t>مجموع المصروفات والأعباء</t>
  </si>
  <si>
    <t>إيرادات آخري</t>
  </si>
  <si>
    <t xml:space="preserve">صافي الربح قبل خصم الزكاة الشرعية </t>
  </si>
  <si>
    <t xml:space="preserve">الزكاة الشرعية </t>
  </si>
  <si>
    <t xml:space="preserve">صافي الربح </t>
  </si>
  <si>
    <t>صافي الربح المعدل</t>
  </si>
  <si>
    <t>إجمالي البنود الموجبة</t>
  </si>
  <si>
    <t>إجمالي البنود السالبة</t>
  </si>
  <si>
    <t>تتلخص حركة مخصص الزكاة كما يلي:-</t>
  </si>
  <si>
    <t>رصيد أول السنة</t>
  </si>
  <si>
    <t xml:space="preserve">الإضافات خلال السنة </t>
  </si>
  <si>
    <t xml:space="preserve">المسدد خلال السنة </t>
  </si>
  <si>
    <t>الرصيد في نهاية السنة</t>
  </si>
  <si>
    <t>وعاء الزكاة الشرعية - صافي الربح المعدل</t>
  </si>
  <si>
    <t>مصروف زكاة العام</t>
  </si>
  <si>
    <t>أرباح العام</t>
  </si>
  <si>
    <t>الانشطة التشغيلية</t>
  </si>
  <si>
    <t>التعديلات في البنود غير النقدية :</t>
  </si>
  <si>
    <t>إستهلاك الموجودات الثابتة</t>
  </si>
  <si>
    <t>التغير في الموجودات والمطلوبات التشغيلية:</t>
  </si>
  <si>
    <t>التغير في إيرادات مستحقه والأرصدة مدينة أخري</t>
  </si>
  <si>
    <t>التغير في المصروفات  المستحقه والأرصدة الدائنة  أخري</t>
  </si>
  <si>
    <t>التغير في مخصص الزكاة الشرعية</t>
  </si>
  <si>
    <t>التغير في مخصص مكافأة نهاية الخدمة</t>
  </si>
  <si>
    <t>صافي التدفقات النقدية من الأنشطة التشغيلية</t>
  </si>
  <si>
    <t>التدفقات النقدية من الأنشطة الأستثمارية</t>
  </si>
  <si>
    <t>الأضافات للموجودات الثابتة</t>
  </si>
  <si>
    <t>استبعادات الموجودات الثابتة</t>
  </si>
  <si>
    <t>صافي التدفقات النقدية من الأنشطة الأستثمارية</t>
  </si>
  <si>
    <t>التدفقات النقدية من الأنشطة التمويلية</t>
  </si>
  <si>
    <t>التغير في أطراف زوي علاقة</t>
  </si>
  <si>
    <t>صافي التدفقات النقدية من الأنشطة التمويليه</t>
  </si>
  <si>
    <t>صافي التدفقات النقدية  خلال العام</t>
  </si>
  <si>
    <t>النقد أول المدة</t>
  </si>
  <si>
    <t>النقد في نهاية المدة</t>
  </si>
  <si>
    <t>صافي الربح</t>
  </si>
  <si>
    <t>مجمع إهلاك الأصول المستبعدة</t>
  </si>
  <si>
    <t>الرصيد في 1/1/2016 م</t>
  </si>
  <si>
    <t xml:space="preserve">الرصيد في 31/12/2016 </t>
  </si>
  <si>
    <t>موجودات ثابتة  ( صافي )</t>
  </si>
  <si>
    <t>(7)</t>
  </si>
  <si>
    <t xml:space="preserve">قائمة المركز المالي </t>
  </si>
  <si>
    <t>تشكل الإيضاحات المرفقة من (1) إلى (14) جزءً لا يتجزأ من القوائم المالية .</t>
  </si>
  <si>
    <t>قائمة الدخل</t>
  </si>
  <si>
    <t xml:space="preserve">كما هي عليه في 31 ديسمبر 2016  م </t>
  </si>
  <si>
    <t>(10)</t>
  </si>
  <si>
    <t>(11)</t>
  </si>
  <si>
    <t>قائمة التدفقات النقدية</t>
  </si>
  <si>
    <t>قائمة التغير في حقوق الملكية</t>
  </si>
  <si>
    <t xml:space="preserve">مؤسسة الرسين للصيانة </t>
  </si>
  <si>
    <t>3- النقد و ما في حكمه :</t>
  </si>
  <si>
    <t>يتمثل النقد و ما في حكمه كما في 31 ديسمبر فيما يلي :</t>
  </si>
  <si>
    <t>النقد لدى البنوك</t>
  </si>
  <si>
    <t>النقد في الصندوق</t>
  </si>
  <si>
    <t xml:space="preserve">الإجمالـــي </t>
  </si>
  <si>
    <t>4- إيرادات مستحقة و أرصدة مدينة أخرى :</t>
  </si>
  <si>
    <t>تتمثل الايرادات المستحقة و الارصدة المدينة الاخرى  كما في 31 ديسمبر فيما يلي :</t>
  </si>
  <si>
    <t xml:space="preserve">إيرادات مستحقة </t>
  </si>
  <si>
    <t>أرصدة مدينة أخرى</t>
  </si>
  <si>
    <t xml:space="preserve">الرصيد في 31-12-2016 </t>
  </si>
  <si>
    <t>إجمالي الحركة حتي 31-12-2016</t>
  </si>
  <si>
    <t>5- الموجودات الثابتة بالصافي :</t>
  </si>
  <si>
    <t>البيــــــــان</t>
  </si>
  <si>
    <t>6- مصروفات مستحقة و الأرصدة الدائنة الأخرى :</t>
  </si>
  <si>
    <t>تتمثل المصروفات المستحقة و الأرصدة الدائنة الاخرى  كما في 31 ديسمبر فيما يلي :</t>
  </si>
  <si>
    <t>مصروفات مستحقة</t>
  </si>
  <si>
    <t>ذمم عاملين دائنة</t>
  </si>
  <si>
    <t>7- مخصص الزكاة الشرعية :</t>
  </si>
  <si>
    <t>يتمثل مخصص الزكاة الشرعية للسنة المالية المنتهية  في 31 ديسمبر فيما يلي :</t>
  </si>
  <si>
    <t>البنود الموجبة</t>
  </si>
  <si>
    <t xml:space="preserve">رأس المال </t>
  </si>
  <si>
    <t>الربح المعدل</t>
  </si>
  <si>
    <t>المخصصات</t>
  </si>
  <si>
    <t>تتلخص حركة مخصص الزكاة كما يلي :-</t>
  </si>
  <si>
    <t xml:space="preserve">رصيد أول العام </t>
  </si>
  <si>
    <t>الزكاة الشرعية (2.5%)</t>
  </si>
  <si>
    <t>الإضافات خلال السنة</t>
  </si>
  <si>
    <t>المسدد خلال السنة</t>
  </si>
  <si>
    <t>8- مخصص مكافأة نهاية الخدمة :</t>
  </si>
  <si>
    <t>تتمثل حركة مخصص مكافأة نهاية الخدمة للسنة المالية المنتهية في 31 ديسمبر فيما يلي :</t>
  </si>
  <si>
    <t xml:space="preserve">الرصيد في نهاية السنة </t>
  </si>
  <si>
    <t>إن الأطراف ذات العلاقة هي الجهات المرتبطة بالمنشأة و الموظفين الرئيسسسن بها و المنشأت الأخرى المسيطر عليها بالكامل أو بشكل مشترك من قبل هذه الأطراف أو التي تمارس نفوذا هاما عليها و تتمثل أطراف ذات علاقة دائنة كما في 31 ديسمبر 2016 فيما يلي :</t>
  </si>
  <si>
    <t xml:space="preserve">شركة أحمد سليمان الفهاد </t>
  </si>
  <si>
    <t>السيد / أحمد سليمان الفهاد</t>
  </si>
  <si>
    <t>الأفتتاحي</t>
  </si>
  <si>
    <t>حركة مدينة</t>
  </si>
  <si>
    <t>حركة دائنة</t>
  </si>
  <si>
    <t>مؤسسة ألوان الشموس</t>
  </si>
  <si>
    <t>9- مخصص مكافأة نهاية الخدمة :</t>
  </si>
  <si>
    <t>تتمثل تكاليف الإيرادات للسنة المالية المنتهية في 31 ديسمبر فيما يلي :</t>
  </si>
  <si>
    <t>10- تكاليف الإيرادات:</t>
  </si>
  <si>
    <t xml:space="preserve">رواتب و أجور و ما في حكمها </t>
  </si>
  <si>
    <t>قطع غيار و صيانة سيارات</t>
  </si>
  <si>
    <t>زيوت و محروقات</t>
  </si>
  <si>
    <t>إيجارات</t>
  </si>
  <si>
    <t>إيجار معدات خارجيه</t>
  </si>
  <si>
    <t>إستهلاك الوجودات الثابتة</t>
  </si>
  <si>
    <t xml:space="preserve">لوازم و مهمات </t>
  </si>
  <si>
    <t xml:space="preserve">صيانة عامة </t>
  </si>
  <si>
    <t>رسوم و إشتراكات</t>
  </si>
  <si>
    <t xml:space="preserve">تأمين سيارات </t>
  </si>
  <si>
    <t>تأمين صحي و علاج</t>
  </si>
  <si>
    <t>هاتف</t>
  </si>
  <si>
    <t>نظافة</t>
  </si>
  <si>
    <t>سفر و انتقالات</t>
  </si>
  <si>
    <t>المصروفات المتنوعة</t>
  </si>
  <si>
    <t>كفرات</t>
  </si>
  <si>
    <t>أ.مكتبية</t>
  </si>
  <si>
    <t>مخالفات</t>
  </si>
  <si>
    <t>تصديقات</t>
  </si>
  <si>
    <t>حقوق و اجازات</t>
  </si>
  <si>
    <t>مياه للسكن</t>
  </si>
  <si>
    <t>دعاية واعلان</t>
  </si>
  <si>
    <t xml:space="preserve">عمولات </t>
  </si>
  <si>
    <t>صيانة مواقع + سكن</t>
  </si>
  <si>
    <t>تأمينات إجتماعية</t>
  </si>
  <si>
    <t>11- المصاريف العمومية و الإدارية :</t>
  </si>
  <si>
    <t>تتمثل المصاريف الإدارية و العمومية للسنة المالية المنتهية في 31 ديسمبر فيما يلي :</t>
  </si>
  <si>
    <t>الحسابات</t>
  </si>
  <si>
    <t xml:space="preserve">ميزان المراجعة عن السنة المالية المنتهية في 31-12-2016 م </t>
  </si>
  <si>
    <r>
      <t xml:space="preserve">الحسابات </t>
    </r>
    <r>
      <rPr>
        <b/>
        <sz val="14"/>
        <color theme="1"/>
        <rFont val="Calibri"/>
        <family val="2"/>
        <scheme val="minor"/>
      </rPr>
      <t xml:space="preserve">                        </t>
    </r>
    <r>
      <rPr>
        <b/>
        <u/>
        <sz val="14"/>
        <color theme="1"/>
        <rFont val="Calibri"/>
        <family val="2"/>
        <scheme val="minor"/>
      </rPr>
      <t xml:space="preserve"> رئيس الحسابات </t>
    </r>
  </si>
  <si>
    <t xml:space="preserve">محمد جمعة حامد </t>
  </si>
  <si>
    <t>طارق فريد - محاسب جده</t>
  </si>
  <si>
    <t>وليد صلاح - أنقاض الرياض</t>
  </si>
  <si>
    <t>شفيق الاسلام</t>
  </si>
  <si>
    <t>عزيز علام</t>
  </si>
  <si>
    <t xml:space="preserve">جسيم </t>
  </si>
  <si>
    <t>جمعان حمد عبد الله</t>
  </si>
  <si>
    <t>مناحي مجول خفران</t>
  </si>
  <si>
    <t>محمد خميس - تحصيل الرياض</t>
  </si>
  <si>
    <t>أحمد أشرف الشاعر</t>
  </si>
  <si>
    <t>مؤمن فوزي شركس</t>
  </si>
  <si>
    <t>أمان بيتسينج - 84871</t>
  </si>
  <si>
    <t>بهيوتين بصيو - 84867</t>
  </si>
  <si>
    <t>بيلا بكار ابيعور - 890713</t>
  </si>
  <si>
    <t>محمد محمد أكابار - 84619</t>
  </si>
  <si>
    <t xml:space="preserve">محمد السعيد عبد العظيم </t>
  </si>
  <si>
    <t>مالك الجابري - مشروع الاحساء</t>
  </si>
  <si>
    <t>أسامة السعيد مغازي</t>
  </si>
  <si>
    <t>أشرف الشربيني</t>
  </si>
  <si>
    <t>محمد عبد الرووف</t>
  </si>
  <si>
    <t>حساب البرنامج</t>
  </si>
  <si>
    <t>الأسم</t>
  </si>
  <si>
    <t>المبلغ</t>
  </si>
  <si>
    <t>الإجمـــالي</t>
  </si>
  <si>
    <t>#</t>
  </si>
  <si>
    <t>الشراء</t>
  </si>
  <si>
    <t>المستبعد</t>
  </si>
  <si>
    <t>الصافي بالتكلفة</t>
  </si>
  <si>
    <t>القطاع</t>
  </si>
  <si>
    <t>plate</t>
  </si>
  <si>
    <t>تاريخ الشراء-الاستلام</t>
  </si>
  <si>
    <t>التاريخ</t>
  </si>
  <si>
    <t>العدد</t>
  </si>
  <si>
    <t>عن طريق</t>
  </si>
  <si>
    <t>السعر الافرادي</t>
  </si>
  <si>
    <t>إجمالي المستبعد</t>
  </si>
  <si>
    <t>العدد2</t>
  </si>
  <si>
    <t>الحبة</t>
  </si>
  <si>
    <t>الإجمالي الصافي</t>
  </si>
  <si>
    <t>نفايات</t>
  </si>
  <si>
    <t>إدارية</t>
  </si>
  <si>
    <t xml:space="preserve">شاحنة ميتسوبيشي روول أون روول أوف </t>
  </si>
  <si>
    <t>أنقاض</t>
  </si>
  <si>
    <t>مشروع المطار الرياض</t>
  </si>
  <si>
    <t>نفايات
الشبك</t>
  </si>
  <si>
    <t>إبراهيم عبد الله الباحوث</t>
  </si>
  <si>
    <t xml:space="preserve">تويوتا فورتشنر </t>
  </si>
  <si>
    <t>شركة الفهاد - الرسين</t>
  </si>
  <si>
    <t>إضافات ميتسوبيشي روول أون و روول أوف</t>
  </si>
  <si>
    <t>الوان الشموس</t>
  </si>
  <si>
    <t>الساطعة الحديثة تحويل من الوان الشموس</t>
  </si>
  <si>
    <t>أ.ح.و
1992</t>
  </si>
  <si>
    <t>حاوية 20 ياردة</t>
  </si>
  <si>
    <t>حاويات أنقاض</t>
  </si>
  <si>
    <t>حاوية 10 ياردة</t>
  </si>
  <si>
    <t xml:space="preserve">سيارة كابريس - أ د و 9277 </t>
  </si>
  <si>
    <t>حاويات 20 ياردة</t>
  </si>
  <si>
    <t>حاويات 16 ياردة</t>
  </si>
  <si>
    <t>حاويات 10 ياردة</t>
  </si>
  <si>
    <t xml:space="preserve">إجمالي مج  الإهلاك </t>
  </si>
  <si>
    <t>√</t>
  </si>
  <si>
    <t>مصروفات سنوات سابقة</t>
  </si>
  <si>
    <t>المدينون المتنوعون ( المطار )</t>
  </si>
  <si>
    <t>المدينون المتنوعون ( الرفاد )</t>
  </si>
  <si>
    <t>المدينون المتنوعون ( أزميل )</t>
  </si>
  <si>
    <t xml:space="preserve">أرصدة مدينة اخرى (إيرادات مستحقة)  </t>
  </si>
  <si>
    <t>أرصدة مدينة اخرى ( خطابات الضمان )</t>
  </si>
  <si>
    <t>أرصدة مدينة أخرى  (م.مدفوعة مقدما) - (إيجار كامب دله )</t>
  </si>
  <si>
    <t>الذمم الدائنة ( الدائنون التجاريون )</t>
  </si>
  <si>
    <t>الذمم الدائنة ( ذمم العاملين الدائنة )</t>
  </si>
  <si>
    <t>الذمم الدائنة (الدائنون المتنوعون "الفهاد" )</t>
  </si>
  <si>
    <t>الذمم الدائنة (أطراف ذوي علاقة (الفهاد+الحراسات+ الوان )</t>
  </si>
  <si>
    <t>مخصص ديون مشكوك في تحصيلها</t>
  </si>
  <si>
    <t>مصرف الراجحي</t>
  </si>
  <si>
    <t>البنك الآهلي التجاري</t>
  </si>
  <si>
    <t>البنك السعودي الهولندي</t>
  </si>
  <si>
    <t>مصرف الراجحي للحراسات الأمنية</t>
  </si>
  <si>
    <t>بنك الرياض مؤسسة الرسين للمقاولات</t>
  </si>
  <si>
    <t>التصنيف</t>
  </si>
  <si>
    <t>ذمم</t>
  </si>
  <si>
    <t>عهد</t>
  </si>
  <si>
    <t>أ.ح.و
2644</t>
  </si>
  <si>
    <t>أ.ح.و
7211</t>
  </si>
  <si>
    <t>ضاغط 22 ياردة ميتسوبيشي</t>
  </si>
  <si>
    <t>أ.ه.أ
6110</t>
  </si>
  <si>
    <t>جازان</t>
  </si>
  <si>
    <t>بيكب اب غمارتين</t>
  </si>
  <si>
    <t>أ.ح.و
7201</t>
  </si>
  <si>
    <t>7665
 أ.ن.أ</t>
  </si>
  <si>
    <t>حريق</t>
  </si>
  <si>
    <t>100-12-2017</t>
  </si>
  <si>
    <t>أثاثات سكنية</t>
  </si>
  <si>
    <t>تكييف</t>
  </si>
  <si>
    <t>38-12-2017</t>
  </si>
  <si>
    <t>أجهزة حاسب و الكترونيات</t>
  </si>
  <si>
    <t>أجهزة حاسب والكترونيات</t>
  </si>
  <si>
    <t xml:space="preserve">طابعة ليزر 277 </t>
  </si>
  <si>
    <t>علي الزرير</t>
  </si>
  <si>
    <t xml:space="preserve">جهاز كمبيوتر مكتبي أي 7 + شاشة بينك </t>
  </si>
  <si>
    <t>13-12-2017</t>
  </si>
  <si>
    <t>جوال</t>
  </si>
  <si>
    <t>47-11-2017</t>
  </si>
  <si>
    <t>جهاز لاب توب للإدارية</t>
  </si>
  <si>
    <t>38-11-2017</t>
  </si>
  <si>
    <t>جهاز لاب توب للإدارة المالية</t>
  </si>
  <si>
    <t>22-05-2017</t>
  </si>
  <si>
    <t>جهاز جوال جلاكسي جراند</t>
  </si>
  <si>
    <t>03-05-2017</t>
  </si>
  <si>
    <t xml:space="preserve">جهاز لاب توب </t>
  </si>
  <si>
    <t>17-01-2017</t>
  </si>
  <si>
    <t>شاشة جهاز كمبيوتر ديل مكتب الرسين الفهاد</t>
  </si>
  <si>
    <t>77-12-2017</t>
  </si>
  <si>
    <t>برامج محاسبية</t>
  </si>
  <si>
    <t>برامج محاسبية و برمجيات</t>
  </si>
  <si>
    <t>كارت شاشة لجهاز الباحوث</t>
  </si>
  <si>
    <t>13-10-2017</t>
  </si>
  <si>
    <t>تانكر مستعمل</t>
  </si>
  <si>
    <t>مكيف  مستعمل</t>
  </si>
  <si>
    <t>ثلاجة</t>
  </si>
  <si>
    <t>مكيف جديد سبيلت</t>
  </si>
  <si>
    <t>13-04-2017</t>
  </si>
  <si>
    <t>خزان مياه 1250 جالون</t>
  </si>
  <si>
    <t>15-03-2017</t>
  </si>
  <si>
    <t xml:space="preserve">ثلاجة يوجن </t>
  </si>
  <si>
    <t>فرن كهربئي</t>
  </si>
  <si>
    <t xml:space="preserve">غسالةسامسونج 5 كيلو </t>
  </si>
  <si>
    <t>13-03-2017</t>
  </si>
  <si>
    <t>مكيف مستعمل</t>
  </si>
  <si>
    <t>07-02-2017</t>
  </si>
  <si>
    <t>ثلاجة هام</t>
  </si>
  <si>
    <t>غسالة هام حوضين</t>
  </si>
  <si>
    <t>بيت جاهز عدد 4 غرف</t>
  </si>
  <si>
    <t>أثاثات مكتبية</t>
  </si>
  <si>
    <t>ماكينة البار كوود</t>
  </si>
  <si>
    <t>07-12-2017</t>
  </si>
  <si>
    <t>خزينة مكتب الباحوث</t>
  </si>
  <si>
    <t>08-11-2017
10-12-2017</t>
  </si>
  <si>
    <t>الة طباعة كبيرة</t>
  </si>
  <si>
    <t>80-12-2017</t>
  </si>
  <si>
    <t>دولاب 3 دلف</t>
  </si>
  <si>
    <t>فلتر مياه للشرب بالإدارة العامة</t>
  </si>
  <si>
    <t>كرسي مكتبي الزرير</t>
  </si>
  <si>
    <t>دولاب 2 دلفة مكتب الزرير</t>
  </si>
  <si>
    <t>23-11-2017</t>
  </si>
  <si>
    <t>خزن ملفات مستعملة للإدارية</t>
  </si>
  <si>
    <t>05-11-2017</t>
  </si>
  <si>
    <t>04-10-2017</t>
  </si>
  <si>
    <t>كرسي دوار قصير شبك</t>
  </si>
  <si>
    <t>بارتيشن ثنائي تي 3</t>
  </si>
  <si>
    <t>كرسي ثابت شبك الباحوث</t>
  </si>
  <si>
    <t>كرسي دوار طويل شبك الباحوث</t>
  </si>
  <si>
    <t>طقم مكتب 240 كارمين الباحوث</t>
  </si>
  <si>
    <t>06-10-2017
05-10-2017</t>
  </si>
  <si>
    <t>كاميرا داخلية 4 ميجا</t>
  </si>
  <si>
    <t>كاميرا خارجية 4 ميجا</t>
  </si>
  <si>
    <t>18-01-2017</t>
  </si>
  <si>
    <t xml:space="preserve">دولاب خشب زجاج 2 دلفة </t>
  </si>
  <si>
    <t>كرسي شبك أنتظار ثابت</t>
  </si>
  <si>
    <t>كرسي شبك ظهر عالي متحرك</t>
  </si>
  <si>
    <t>مكتب زجاج مع ملحق وطاولة شاي</t>
  </si>
  <si>
    <t>29-07-2017</t>
  </si>
  <si>
    <t>حاوية سعة 02 ياردة</t>
  </si>
  <si>
    <t>مظلة حديد للورشة</t>
  </si>
  <si>
    <t>27-03-2017</t>
  </si>
  <si>
    <t>كمبروسور هواء 300 لتر بنزينتصريف 500 لتر</t>
  </si>
  <si>
    <t>الشرق الأوسط الحديث</t>
  </si>
  <si>
    <t>كمبروسور هواء 500 لتر 7.5 حصان</t>
  </si>
  <si>
    <t>ماكينة تشحيم + 2مسدس دهان</t>
  </si>
  <si>
    <t>70-12-2017</t>
  </si>
  <si>
    <t>مصنع وسائط النقل</t>
  </si>
  <si>
    <t>حاوية سعة 06 ياردة  بغطاء</t>
  </si>
  <si>
    <t>حاوية سعة 06 ياردة</t>
  </si>
  <si>
    <t>حاوية سعة 04 ياردة</t>
  </si>
  <si>
    <t>حاوية 06 ياردة بغطاء</t>
  </si>
  <si>
    <t>45-11-2017</t>
  </si>
  <si>
    <t>شركة بيت التطور</t>
  </si>
  <si>
    <t>28-10-2017</t>
  </si>
  <si>
    <t>ربوع كلاده</t>
  </si>
  <si>
    <t>حاويات سعة 20 ياردة انقاض</t>
  </si>
  <si>
    <t>17-06-2017</t>
  </si>
  <si>
    <t>14-06-2017</t>
  </si>
  <si>
    <t>مؤسسة سعيد الغامدي</t>
  </si>
  <si>
    <t>35-05-2017</t>
  </si>
  <si>
    <t>31-04-2017</t>
  </si>
  <si>
    <t>صاج حاويات 20 ياردة</t>
  </si>
  <si>
    <t>مؤسسة الرفاد</t>
  </si>
  <si>
    <t>حاوية 06 ياردة</t>
  </si>
  <si>
    <t>حاوية 02 ياردة</t>
  </si>
  <si>
    <t>حاويات سعة 06 ياردة بدون غطاء</t>
  </si>
  <si>
    <t>18-04-2017
21-05-2017</t>
  </si>
  <si>
    <t>ورشة عبد الخالق الزهراني</t>
  </si>
  <si>
    <t>31-02-2017</t>
  </si>
  <si>
    <t>حاويات 02  ياردة</t>
  </si>
  <si>
    <t>حاويات سعة 04 ياردة بدون غطاء</t>
  </si>
  <si>
    <t>شحن حاويات</t>
  </si>
  <si>
    <t>حاويات سعة 02 ياردة بدون غطاء</t>
  </si>
  <si>
    <t>حاويات سعة 02 ياردة</t>
  </si>
  <si>
    <t>31-01-2017</t>
  </si>
  <si>
    <t>حاوية 06 ياردة بدون غطاء</t>
  </si>
  <si>
    <t>براميل سعة 240 لتر</t>
  </si>
  <si>
    <t>1001/2017</t>
  </si>
  <si>
    <t>مصنع مقاييس الدقة</t>
  </si>
  <si>
    <t>19-03-2017</t>
  </si>
  <si>
    <t>شركة الفلاح</t>
  </si>
  <si>
    <t>8435
8437</t>
  </si>
  <si>
    <t>التسويق</t>
  </si>
  <si>
    <t>سيارة توسان</t>
  </si>
  <si>
    <t>05-02-2017</t>
  </si>
  <si>
    <t>8433
8434
8436</t>
  </si>
  <si>
    <t>31-12-2017</t>
  </si>
  <si>
    <t xml:space="preserve">7592
7967
7598
2348
7599
7597
7595
7590
2350
7596
7589
7594
7591
7593
</t>
  </si>
  <si>
    <t>6836
6842
6835
6838
6840</t>
  </si>
  <si>
    <t>جهاز روول أون روول أوف</t>
  </si>
  <si>
    <t>الحبتور للسيارات</t>
  </si>
  <si>
    <t>شاحنة سكس كبيرة</t>
  </si>
  <si>
    <t>SALE</t>
  </si>
  <si>
    <t>95-12-2017</t>
  </si>
  <si>
    <t>10-10-2017</t>
  </si>
  <si>
    <t>شركة تصنيع المعادن</t>
  </si>
  <si>
    <t>ضواغط 32 ياردة على سيارات</t>
  </si>
  <si>
    <t>52-07-2017</t>
  </si>
  <si>
    <t>23-04-2017</t>
  </si>
  <si>
    <t>05-01-2017</t>
  </si>
  <si>
    <t>3495
6796</t>
  </si>
  <si>
    <t>25-01-2017</t>
  </si>
  <si>
    <t>6796
6795</t>
  </si>
  <si>
    <t>08-12-2017
13-12-2017</t>
  </si>
  <si>
    <t xml:space="preserve">معرض السنيدي </t>
  </si>
  <si>
    <t>معدات ثقيلة</t>
  </si>
  <si>
    <t>كرين بلوكرين</t>
  </si>
  <si>
    <t>56-12-2017</t>
  </si>
  <si>
    <t>زيد العبودي</t>
  </si>
  <si>
    <t>01-12-17</t>
  </si>
  <si>
    <t>أراضي</t>
  </si>
  <si>
    <t>أرض الرسين</t>
  </si>
  <si>
    <t>محولات المكابس</t>
  </si>
  <si>
    <t>13-11-2017
31-11-2017
5-11-2017</t>
  </si>
  <si>
    <t>سابتك</t>
  </si>
  <si>
    <t>21-09-2017</t>
  </si>
  <si>
    <t>44-12-2016</t>
  </si>
  <si>
    <t>15-11-2016</t>
  </si>
  <si>
    <t>أ.أ.ح
7132</t>
  </si>
  <si>
    <t>37-12-2016</t>
  </si>
  <si>
    <t>07-06-2016</t>
  </si>
  <si>
    <t>37-12-2017</t>
  </si>
  <si>
    <t>12-06-2016</t>
  </si>
  <si>
    <t>20-12-2016</t>
  </si>
  <si>
    <t>القيمة الدفترية 
في 31-12-2017</t>
  </si>
  <si>
    <t>مجمع الاهلاك
في 31-12-2017</t>
  </si>
  <si>
    <t>رقم قيد الأهلاك</t>
  </si>
  <si>
    <t>الربح/الخسارة من الاستبعاد</t>
  </si>
  <si>
    <t>مجمع إهلاك المستبعد 
بتاريخ الأستبعاد</t>
  </si>
  <si>
    <t>مجمع إهلاك المستبعد 
01-01-2017</t>
  </si>
  <si>
    <t>مصروف الاهلاك 2017</t>
  </si>
  <si>
    <t>القيمة الدفترية 
في 01-01-2017</t>
  </si>
  <si>
    <t>مجمع الاهلاك 
في 01-01-2017</t>
  </si>
  <si>
    <t>اهلاك المستبعد
في 2017</t>
  </si>
  <si>
    <t>قيد الاثبات</t>
  </si>
  <si>
    <t>Column1</t>
  </si>
  <si>
    <t>في 31-12-2017</t>
  </si>
  <si>
    <t>إستبعادات 2017</t>
  </si>
  <si>
    <t>إضافات 2017</t>
  </si>
  <si>
    <t>في 31-12-2016</t>
  </si>
  <si>
    <t>المعدات الثقيلة</t>
  </si>
  <si>
    <t>أجهزة حاسب و الكترونيات و برامج</t>
  </si>
  <si>
    <t>في 1/1/2017</t>
  </si>
  <si>
    <t>إضافات الفترة 
من 1/1/2017</t>
  </si>
  <si>
    <t>إستبعادات الفترة
 من 1/1/2017</t>
  </si>
  <si>
    <t>إهلاك الفترة 
من 1/1/2017</t>
  </si>
  <si>
    <t>إستبعاد إهلاك الفترة 
من 1/1/2017</t>
  </si>
  <si>
    <t>þ</t>
  </si>
  <si>
    <t>الذمم و العهد المدينة 2016</t>
  </si>
  <si>
    <t>الذمم و العهد الدائنة 2016</t>
  </si>
  <si>
    <t>الذمم و العهد المدينة 2017</t>
  </si>
  <si>
    <t>الذمم و العهد الدائنة 2017</t>
  </si>
  <si>
    <t>حسني عثمان - عنيزة</t>
  </si>
  <si>
    <t>محمد عدنان - أنقاض الرياض</t>
  </si>
  <si>
    <t>أسامة مغازي</t>
  </si>
  <si>
    <t>محمد نبيل الكاتب</t>
  </si>
  <si>
    <t>محمد صلاح محمد علي غنيم</t>
  </si>
  <si>
    <t xml:space="preserve">أشرف حسين حسين </t>
  </si>
  <si>
    <t>محمد عبد الرحمن حاج يوسف</t>
  </si>
  <si>
    <t xml:space="preserve">محمد حسن وحيد </t>
  </si>
  <si>
    <t>شريف محمد السيد أبو جريشة</t>
  </si>
  <si>
    <t>خرج و لم يعد</t>
  </si>
  <si>
    <t xml:space="preserve">أحمد سامي محمد عمر </t>
  </si>
  <si>
    <t xml:space="preserve">عمرو حسين جمال </t>
  </si>
  <si>
    <t>محمد عبد الجليل مختار</t>
  </si>
  <si>
    <t>ياسر صبري الملاح</t>
  </si>
  <si>
    <t>محمد ربيع ذكي</t>
  </si>
  <si>
    <t>أيمن أحمد محمد الكمار</t>
  </si>
  <si>
    <t>محمد أشرف الشاعر</t>
  </si>
  <si>
    <t>طارق علي أحمد</t>
  </si>
  <si>
    <t>أمتيار أمتياز سير الرحمن</t>
  </si>
  <si>
    <t>مصطفى عبده مندوب تسويق</t>
  </si>
  <si>
    <t>عابد حسين   690266</t>
  </si>
  <si>
    <t xml:space="preserve">عبد الله خالد القصير </t>
  </si>
  <si>
    <t xml:space="preserve">بشار سيف الدين الزبير محمد </t>
  </si>
  <si>
    <t xml:space="preserve">صالح عبد العزيز السنيدي </t>
  </si>
  <si>
    <t xml:space="preserve">أحمد محروس علي </t>
  </si>
  <si>
    <t>عبد المالك خالق</t>
  </si>
  <si>
    <t>مد حسين 85596</t>
  </si>
  <si>
    <t xml:space="preserve">بلاش كومار ساريكر </t>
  </si>
  <si>
    <t>محمد جيبون خان</t>
  </si>
  <si>
    <t xml:space="preserve">كمال حسين </t>
  </si>
  <si>
    <t xml:space="preserve">أنفار حسين أجيج </t>
  </si>
  <si>
    <t xml:space="preserve">محمد شوقي المنسي </t>
  </si>
  <si>
    <t>عابد حسن   900533</t>
  </si>
  <si>
    <t>جيانغيرانصاري 690 186</t>
  </si>
  <si>
    <t>مصطفى ذر موريتج 690176</t>
  </si>
  <si>
    <t>الأمين انوار الدين  901585</t>
  </si>
  <si>
    <t>مجمول منتاج 901586</t>
  </si>
  <si>
    <t>محم سومان ميا 901587</t>
  </si>
  <si>
    <t>محمد خاتشون 901588</t>
  </si>
  <si>
    <t>محمد روبيان 901589</t>
  </si>
  <si>
    <t>المزمل يوسف أبو البراء</t>
  </si>
  <si>
    <t>محمد محمد السيد الشرقاوي</t>
  </si>
  <si>
    <t>صديق الرحمن أبو القاسم</t>
  </si>
  <si>
    <t xml:space="preserve">أرصدة مدينة اخرى (دفعات مقدمة موردين) يوسف العمران </t>
  </si>
  <si>
    <t>مدين</t>
  </si>
  <si>
    <t>في 01-01-2017</t>
  </si>
  <si>
    <t xml:space="preserve">شركة الفهاد </t>
  </si>
  <si>
    <t xml:space="preserve">شركة الحراسات </t>
  </si>
  <si>
    <t>ألوان الشموس ( الجون )</t>
  </si>
  <si>
    <t>الإيرادات المقدمة</t>
  </si>
  <si>
    <t>مركز التوفيق البترولية</t>
  </si>
  <si>
    <t>شركة الحبتور للسيارات</t>
  </si>
  <si>
    <t>شركة الدهانات السعودية المحدودة</t>
  </si>
  <si>
    <t xml:space="preserve">شركة مصنع وسائط النقل </t>
  </si>
  <si>
    <t>شركة أساس السعودية لأعمال التقنية</t>
  </si>
  <si>
    <t>البــــــــــــــــــــــــــــــــــــــــــــيان</t>
  </si>
  <si>
    <t>الإفتتاحي</t>
  </si>
  <si>
    <t>حركة العام</t>
  </si>
  <si>
    <t>الختامي</t>
  </si>
  <si>
    <t>المطابقة</t>
  </si>
  <si>
    <t>قيد الأسكون</t>
  </si>
  <si>
    <t>البيــــــــــــــــــــــــــــــــــــــــــــــــــــــــــــــــــــــــــــــــــــــــــــــــــــــــان</t>
  </si>
  <si>
    <t>نوع الحركة</t>
  </si>
  <si>
    <t>الرقم</t>
  </si>
  <si>
    <t>الجهه</t>
  </si>
  <si>
    <t>ملاحظات</t>
  </si>
  <si>
    <t>المدين (إيداع)</t>
  </si>
  <si>
    <t>الدائن (السحب)</t>
  </si>
  <si>
    <t>إفتتاحي</t>
  </si>
  <si>
    <t>الرصيد الإفتتاحي</t>
  </si>
  <si>
    <t>رصيد افتتاحي</t>
  </si>
  <si>
    <t>رصيد مدين</t>
  </si>
  <si>
    <t>ok</t>
  </si>
  <si>
    <t>29-02-2017</t>
  </si>
  <si>
    <t>إيداع نقدي</t>
  </si>
  <si>
    <t>حسني عثمان عبد القادر</t>
  </si>
  <si>
    <t>تحت التحصيل</t>
  </si>
  <si>
    <t>61-12-2017</t>
  </si>
  <si>
    <t>محمد عبد العال رشاد السايح</t>
  </si>
  <si>
    <t>عهدة مالك الجابري</t>
  </si>
  <si>
    <t>46-12-2017</t>
  </si>
  <si>
    <t>رسوم طبع كشف حساب</t>
  </si>
  <si>
    <t>رسوم كشف حساب</t>
  </si>
  <si>
    <t xml:space="preserve">مصرف الراجحي </t>
  </si>
  <si>
    <t>24-07-2017</t>
  </si>
  <si>
    <t>حوالة مصنع نور الماسه</t>
  </si>
  <si>
    <t>حوالة واردة</t>
  </si>
  <si>
    <t>سند قبض عهدة رقم 7914</t>
  </si>
  <si>
    <t>مصنع نور الماسة</t>
  </si>
  <si>
    <t>عهدة محمد خميس</t>
  </si>
  <si>
    <t xml:space="preserve">إيداع شيك مقاصة </t>
  </si>
  <si>
    <t>إيداع شيك</t>
  </si>
  <si>
    <t>شركة الابتكارات العقارية</t>
  </si>
  <si>
    <t>مطاعم سيزلر هاوس</t>
  </si>
  <si>
    <t>فندق المدار</t>
  </si>
  <si>
    <t>شركة الشريف للبلاستيك</t>
  </si>
  <si>
    <t>81-12-2017</t>
  </si>
  <si>
    <t>حوالة</t>
  </si>
  <si>
    <t>سعد مزعل عائض المكي الغامدي</t>
  </si>
  <si>
    <t>عهدة محمد صلاح</t>
  </si>
  <si>
    <t>أنس عبد العزيز محمد المحيميد</t>
  </si>
  <si>
    <t>سحب شيك</t>
  </si>
  <si>
    <t>مؤسسة  ربوع كلادة الدولية للأشغال الحديديه</t>
  </si>
  <si>
    <t>خالد أحمد البج</t>
  </si>
  <si>
    <t>27-01-2017</t>
  </si>
  <si>
    <t>حوالة من شركة كراكر للمقاولات</t>
  </si>
  <si>
    <t>شركة كراكر للمقاولات</t>
  </si>
  <si>
    <t>عهدة يناير ينبع</t>
  </si>
  <si>
    <t>07-01-2017</t>
  </si>
  <si>
    <t>الزاهد للوحدات السكنية</t>
  </si>
  <si>
    <t>عهدة محمد خليل</t>
  </si>
  <si>
    <t>حوالة أسواق بساتين القصيم</t>
  </si>
  <si>
    <t>سند قبض عهدة رقم 15080</t>
  </si>
  <si>
    <t>أسواق بساتين القصيم</t>
  </si>
  <si>
    <t>سند قبض عهدة رقم 13825</t>
  </si>
  <si>
    <t>حوالة شقق سهول الخالدية للوحدات السكنية</t>
  </si>
  <si>
    <t>سندات قبض عهدة  7922 - 7959</t>
  </si>
  <si>
    <t>شقق سهول الخالدية للوحدات السكنية</t>
  </si>
  <si>
    <t>سندات قبض عهدة  7876 - 7958</t>
  </si>
  <si>
    <t>حوالة صادرة</t>
  </si>
  <si>
    <t>التوفيقية للديزل ناصر فهد الجريس</t>
  </si>
  <si>
    <t>حوالة الديزل</t>
  </si>
  <si>
    <t>28-01-2017</t>
  </si>
  <si>
    <t>حوالة المطار</t>
  </si>
  <si>
    <t>الشركة السعودية للتموين ( المطار )</t>
  </si>
  <si>
    <t>التموين السعودية المطار</t>
  </si>
  <si>
    <t xml:space="preserve">حوالة مطعم لقرية العراقية </t>
  </si>
  <si>
    <t>سند عهدة رقم 13826</t>
  </si>
  <si>
    <t>مطعم القصر للمشويات العراقية</t>
  </si>
  <si>
    <t>23-01-2017</t>
  </si>
  <si>
    <t>وائل التويجري</t>
  </si>
  <si>
    <t>إيداع شيك مقاصة</t>
  </si>
  <si>
    <t>المسكن الاقتصادي للأستثمار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</si>
  <si>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7916</t>
    </r>
  </si>
  <si>
    <t>شركة ميداس</t>
  </si>
  <si>
    <t>مطعم أوشال الوادي - محمد الكاتب</t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</si>
  <si>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7925</t>
    </r>
  </si>
  <si>
    <t>دار الضيافة سيزلر هاوس</t>
  </si>
  <si>
    <t>11-01-2017</t>
  </si>
  <si>
    <t xml:space="preserve">عهدة حسني عثمان </t>
  </si>
  <si>
    <t>74-12-2017</t>
  </si>
  <si>
    <t>مخبز حول المدينة -مدينة الأحساء</t>
  </si>
  <si>
    <t>إيرادات أخرى</t>
  </si>
  <si>
    <t>31-08-2017</t>
  </si>
  <si>
    <t>علي محمد المديفع</t>
  </si>
  <si>
    <t>شركة الغذاء الصحي المحدودة</t>
  </si>
  <si>
    <t>15-01-2017</t>
  </si>
  <si>
    <t>الرسين المدينة المنورة - محمد جمعه حامد</t>
  </si>
  <si>
    <t>عهدة محمد جمعة حامد</t>
  </si>
  <si>
    <t>شركة تنسيق المدن</t>
  </si>
  <si>
    <t>29-01-2017</t>
  </si>
  <si>
    <t>حوالة شركة مصنع أطياف التكنولوجيا</t>
  </si>
  <si>
    <t>سند قبض عهدة رقم 10806</t>
  </si>
  <si>
    <t>شركة مصنع أطياف التكنولولجيا</t>
  </si>
  <si>
    <t>01-07-2017</t>
  </si>
  <si>
    <t>عهدة أسامة مغازي</t>
  </si>
  <si>
    <t>سعيد محمد الأحمر</t>
  </si>
  <si>
    <t>عبده بجاش سعيد يحي</t>
  </si>
  <si>
    <t>حوالة شركة المرشد للأستثمار</t>
  </si>
  <si>
    <t>شركة مجموعة المرشد للأستثمار</t>
  </si>
  <si>
    <t>شركة تمبين السعودية</t>
  </si>
  <si>
    <t>26-07-2017</t>
  </si>
  <si>
    <r>
      <t xml:space="preserve">حوالة سند قبض رقم </t>
    </r>
    <r>
      <rPr>
        <b/>
        <u val="double"/>
        <sz val="16"/>
        <color rgb="FFC00000"/>
        <rFont val="Calibri"/>
        <family val="2"/>
        <scheme val="minor"/>
      </rPr>
      <t>9981</t>
    </r>
  </si>
  <si>
    <t>سند قبض عهدة رقم 9981</t>
  </si>
  <si>
    <t>شركة المطاعم الراقية - بينهانا</t>
  </si>
  <si>
    <t>30-01-2017</t>
  </si>
  <si>
    <t>عبد العزيز عبد الماجد أسماعيل</t>
  </si>
  <si>
    <t>مؤسسة ولاء و براء للتجارة</t>
  </si>
  <si>
    <t>22-06-2017</t>
  </si>
  <si>
    <t>JANA AL RIYADH</t>
  </si>
  <si>
    <t>MOHAMED SALAH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</si>
  <si>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7946</t>
    </r>
  </si>
  <si>
    <t>أسواق سكاي مول</t>
  </si>
  <si>
    <t>30-04-2017</t>
  </si>
  <si>
    <t>شركة الرسالة الواضحة العالمية - فواتير 136-138</t>
  </si>
  <si>
    <t>علي عبد الله الجربوع</t>
  </si>
  <si>
    <t>50-12-2017</t>
  </si>
  <si>
    <t>إيداع نقدي مشروع جازان</t>
  </si>
  <si>
    <t>تسوية عهدة ديسمبر 2016</t>
  </si>
  <si>
    <t>عهدة أشرف الشربيني</t>
  </si>
  <si>
    <t>إبراهيم عبد الله علي الباحوث</t>
  </si>
  <si>
    <t>عهدة إبراهيم عبد الله الباحوث</t>
  </si>
  <si>
    <t>01-02-2017</t>
  </si>
  <si>
    <t xml:space="preserve">حوالة مستشفى الموسى </t>
  </si>
  <si>
    <t>مستشفى الموسى - الأحساء</t>
  </si>
  <si>
    <t>عهدة محمد السعيد</t>
  </si>
  <si>
    <t>27-02-2017</t>
  </si>
  <si>
    <t>عهدة فبراير ينبع</t>
  </si>
  <si>
    <t>فندق نرسيس</t>
  </si>
  <si>
    <t>19-02-2017</t>
  </si>
  <si>
    <t>مؤسسة ربوع كلاده للأشغال الحديديه</t>
  </si>
  <si>
    <t>26-03-2017</t>
  </si>
  <si>
    <t>25-07-2017</t>
  </si>
  <si>
    <t>سند قبض عهدة رقم 9776</t>
  </si>
  <si>
    <t>24-02-2017</t>
  </si>
  <si>
    <t>82-12-2017</t>
  </si>
  <si>
    <t>رسوم خطاب ضمان</t>
  </si>
  <si>
    <t>خطاب ضمان</t>
  </si>
  <si>
    <t>17OGTE48801190   2
20170216162022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</si>
  <si>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10838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</si>
  <si>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9758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</si>
  <si>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9767</t>
    </r>
  </si>
  <si>
    <t>مجموعة بن لادن</t>
  </si>
  <si>
    <t>حمدان عويد البدر</t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</si>
  <si>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9764</t>
    </r>
  </si>
  <si>
    <t>أوراد للوحدات السكنية - محمد الكاتب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</si>
  <si>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9752</t>
    </r>
  </si>
  <si>
    <t>حوالة مشروع جازان</t>
  </si>
  <si>
    <t>عهدة يناير 2017</t>
  </si>
  <si>
    <t>21-02-2017</t>
  </si>
  <si>
    <t>دفعة للقطاع التجاري للفهاد</t>
  </si>
  <si>
    <t>شركة الفهاد للمعدات و السيارات</t>
  </si>
  <si>
    <t>28-02-2017</t>
  </si>
  <si>
    <t>24-03-2017</t>
  </si>
  <si>
    <t>أحمد سالم بقشان (بغشان)</t>
  </si>
  <si>
    <t>yanbua march 2017</t>
  </si>
  <si>
    <t>07-05-2017</t>
  </si>
  <si>
    <t>20-02-2017</t>
  </si>
  <si>
    <t>03-02-2017</t>
  </si>
  <si>
    <t>شركة جازولين للخدمات البتروليه</t>
  </si>
  <si>
    <t>شراء عدد 4 سيارات أكسنت</t>
  </si>
  <si>
    <t>شركة الفلاح للسيارات</t>
  </si>
  <si>
    <t>أصول</t>
  </si>
  <si>
    <t>12-02-2017</t>
  </si>
  <si>
    <t>مرشد للأستثمار</t>
  </si>
  <si>
    <t>49-07-2017</t>
  </si>
  <si>
    <t>سند قبض عهدة رقم 9982</t>
  </si>
  <si>
    <t xml:space="preserve">خالد عبد الله ناصر </t>
  </si>
  <si>
    <t>11-03-2017</t>
  </si>
  <si>
    <t xml:space="preserve">حوالة مصنع اللوحة الذكية </t>
  </si>
  <si>
    <t>سند قبض عهدة رقم 9989</t>
  </si>
  <si>
    <t>مصنع اللوحة الذكية</t>
  </si>
  <si>
    <t>شراء عدد 2 سيارة هيونداي توسان</t>
  </si>
  <si>
    <t>حوالة من البيت البلدي</t>
  </si>
  <si>
    <t>سند عهدة رقم 9980</t>
  </si>
  <si>
    <t>مطعم البيت البلدي</t>
  </si>
  <si>
    <t>21-03-2017</t>
  </si>
  <si>
    <t xml:space="preserve">حوالة </t>
  </si>
  <si>
    <t>ممدوح عبد اللطيف الحميدان</t>
  </si>
  <si>
    <t>18-03-2017</t>
  </si>
  <si>
    <t>القسط الأول لجمجوم للسيارات</t>
  </si>
  <si>
    <t>شركة جمجوم للسيارات و المعدات</t>
  </si>
  <si>
    <t xml:space="preserve">القسط الأول </t>
  </si>
  <si>
    <t>25-03-2017</t>
  </si>
  <si>
    <t>إيداع نقدي محمد مهدي</t>
  </si>
  <si>
    <t>محمد أحمد مهدي (صندوق الرسين)</t>
  </si>
  <si>
    <t>عهدة الصندوق</t>
  </si>
  <si>
    <t>30-02-2017</t>
  </si>
  <si>
    <t>ناصر فهد الجريس</t>
  </si>
  <si>
    <t>إيداع نقدي محمد جمعة المدينة</t>
  </si>
  <si>
    <t>محمد جمعة حامد المدينة المنورة</t>
  </si>
  <si>
    <t>22-03-2017</t>
  </si>
  <si>
    <t>حوالة من مشاري العمران</t>
  </si>
  <si>
    <t>مشاري بن خالد بن عبد الرحمن العمران</t>
  </si>
  <si>
    <t>حوالة من حساب حسني عثمان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</si>
  <si>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9800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</si>
  <si>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9967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</si>
  <si>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9975</t>
    </r>
  </si>
  <si>
    <t>مصنع الإبتكارات للالمونيوم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</si>
  <si>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9976</t>
    </r>
  </si>
  <si>
    <t>حوالة من عادل</t>
  </si>
  <si>
    <t>عادل</t>
  </si>
  <si>
    <t>73-12-2017</t>
  </si>
  <si>
    <t>سند قبض عهدة رقم بدون 01-2017</t>
  </si>
  <si>
    <t>سند قبض عهدة رقم بدون 02-2017</t>
  </si>
  <si>
    <t>عبد الرحمن محمد إبراهيم العمار</t>
  </si>
  <si>
    <t>17-02-2017</t>
  </si>
  <si>
    <t>عهدة شهر فبراير 2017</t>
  </si>
  <si>
    <t>خالد حسين علي أحمد</t>
  </si>
  <si>
    <t>طارق صابر بركي الشلاجي المطيري</t>
  </si>
  <si>
    <t>فيصل محمد سعيد الأحمري</t>
  </si>
  <si>
    <t>حسام عبد الله يوسف المطلق</t>
  </si>
  <si>
    <t>سليمان عبد العزيز سليمان العباد</t>
  </si>
  <si>
    <t>إيداع نقدي مشروع عنيزة</t>
  </si>
  <si>
    <t>رابية</t>
  </si>
  <si>
    <t>إيرادات نفايات</t>
  </si>
  <si>
    <t xml:space="preserve">KANAT AL OMRAN </t>
  </si>
  <si>
    <r>
      <t xml:space="preserve">إيداع شيك مقاصة  سند عهدة </t>
    </r>
    <r>
      <rPr>
        <b/>
        <u val="double"/>
        <sz val="16"/>
        <color rgb="FFC00000"/>
        <rFont val="Calibri"/>
        <family val="2"/>
        <scheme val="minor"/>
      </rPr>
      <t>13813</t>
    </r>
  </si>
  <si>
    <t>شقق أمواج الوسطى</t>
  </si>
  <si>
    <t>28-04-2017</t>
  </si>
  <si>
    <t>27-07-2017</t>
  </si>
  <si>
    <t>حوالة واردة من مؤسسة</t>
  </si>
  <si>
    <t>سند عهدة رقم 13850</t>
  </si>
  <si>
    <t>مؤسسة المنزل الفضي للتجارة</t>
  </si>
  <si>
    <t xml:space="preserve">مؤسسة </t>
  </si>
  <si>
    <t>24-04-2017</t>
  </si>
  <si>
    <t xml:space="preserve">إيداع نقدي من خالد عبد الرحمن </t>
  </si>
  <si>
    <t>خالد عبد الرحمن عبد الله العبدان</t>
  </si>
  <si>
    <t>21-04-2017</t>
  </si>
  <si>
    <t>شيك كلاده رقم 403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</si>
  <si>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1771</t>
    </r>
  </si>
  <si>
    <t>مطعم يمال الشام</t>
  </si>
  <si>
    <t>سحب شيك الغامدي</t>
  </si>
  <si>
    <t>سعيد محمد هادي الغامدي</t>
  </si>
  <si>
    <t>yanbua april 2017</t>
  </si>
  <si>
    <t>القسط الثاني لجمجوم للسيارات</t>
  </si>
  <si>
    <t>القسط الثاني</t>
  </si>
  <si>
    <t>سندات قبض عهدة 9974 - 14782</t>
  </si>
  <si>
    <t>عهدة شهر مارس 2017</t>
  </si>
  <si>
    <t>08-09-2017</t>
  </si>
  <si>
    <t>حوالة من الحكير</t>
  </si>
  <si>
    <t>فندق دبل ثري هيلتون</t>
  </si>
  <si>
    <t>عهدة أحمد سامي</t>
  </si>
  <si>
    <t>سندات عهدة  9973 - 14784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</si>
  <si>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13842</t>
    </r>
  </si>
  <si>
    <t>26-04-2017</t>
  </si>
  <si>
    <t>سحب شيك القطاع التجاري</t>
  </si>
  <si>
    <t>عبده عفيفي عبده</t>
  </si>
  <si>
    <t>حوالة خالد البج</t>
  </si>
  <si>
    <t>16-03-2017</t>
  </si>
  <si>
    <t>شركة أحمد سالم بقشان</t>
  </si>
  <si>
    <t>طارق فريد عبد الحميد هيكل</t>
  </si>
  <si>
    <t>11-04-2017</t>
  </si>
  <si>
    <t>حوالة احمد الجربوع</t>
  </si>
  <si>
    <t>عبد العزيز أحمد سليمان الجربوع</t>
  </si>
  <si>
    <t>عهدة مؤمن فوزي شركس</t>
  </si>
  <si>
    <t>29-04-2017</t>
  </si>
  <si>
    <t>حوالة مطعم جنى اللذائذ</t>
  </si>
  <si>
    <t>سند عهدة رقم 16524</t>
  </si>
  <si>
    <t>مطعم جنى اللذائذ</t>
  </si>
  <si>
    <t>16-07-2017</t>
  </si>
  <si>
    <t>مركز التأهيل الشامل</t>
  </si>
  <si>
    <t>سند قبض عهدة رقم 16535</t>
  </si>
  <si>
    <t>14-04-2017</t>
  </si>
  <si>
    <t>AL MASKEN AL EQTESADY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</si>
  <si>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13824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</si>
  <si>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16502</t>
    </r>
  </si>
  <si>
    <r>
      <t xml:space="preserve">إيداع شيك مقاصة سند عهدة رقم </t>
    </r>
    <r>
      <rPr>
        <b/>
        <u/>
        <sz val="16"/>
        <color rgb="FFC00000"/>
        <rFont val="Calibri"/>
        <family val="2"/>
        <scheme val="minor"/>
      </rPr>
      <t>13849</t>
    </r>
  </si>
  <si>
    <t>شركة أبناء إبراهيم السلمان</t>
  </si>
  <si>
    <t>02-03-2017</t>
  </si>
  <si>
    <r>
      <t xml:space="preserve">إيداع شيك مقاصة سند عهدة رقم </t>
    </r>
    <r>
      <rPr>
        <b/>
        <u/>
        <sz val="16"/>
        <color rgb="FFC00000"/>
        <rFont val="Calibri"/>
        <family val="2"/>
        <scheme val="minor"/>
      </rPr>
      <t>13844</t>
    </r>
  </si>
  <si>
    <t>شركة إتحاد ميار للخدمات المساندة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</si>
  <si>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16514</t>
    </r>
  </si>
  <si>
    <t>حوالة من حصة علي الحامد</t>
  </si>
  <si>
    <t>حصة علي محمد الحامد</t>
  </si>
  <si>
    <t>12-05-2017</t>
  </si>
  <si>
    <t>عهدة شهر إبريل 2017</t>
  </si>
  <si>
    <t>04-04-2017</t>
  </si>
  <si>
    <t>حوالة الموسى</t>
  </si>
  <si>
    <t>حوالة من طرفة عقيل العنزي</t>
  </si>
  <si>
    <t>طرفة عقيل العنزي</t>
  </si>
  <si>
    <t>حوالة من برشه محمد حمدي الجميلي</t>
  </si>
  <si>
    <t>برشة محمد حمدي الجميلي</t>
  </si>
  <si>
    <t>09-05-2017</t>
  </si>
  <si>
    <t>حوالة من مطابخ المنجف</t>
  </si>
  <si>
    <t>مطابخ المنجف أم الحمام</t>
  </si>
  <si>
    <t>OK</t>
  </si>
  <si>
    <t>19-12-2017</t>
  </si>
  <si>
    <t>18-05-2017</t>
  </si>
  <si>
    <t>إيداع نقدي مشروع المدينة</t>
  </si>
  <si>
    <t>31-05-2017</t>
  </si>
  <si>
    <t>الفرسان للاغذية</t>
  </si>
  <si>
    <t>33-05-2017</t>
  </si>
  <si>
    <t>حوالة ركن هاشم</t>
  </si>
  <si>
    <t>حوالة واردة من ركن هاشم</t>
  </si>
  <si>
    <t>حوالة من فهد</t>
  </si>
  <si>
    <t>حوالة من  فهد</t>
  </si>
  <si>
    <t>34-05-2017</t>
  </si>
  <si>
    <t>حولة واردة</t>
  </si>
  <si>
    <t>إيداع نقدي خالد العبدان</t>
  </si>
  <si>
    <t>14-05-2017</t>
  </si>
  <si>
    <t>حوالة عواد</t>
  </si>
  <si>
    <t>حوالة عهدة مؤمن فوزي</t>
  </si>
  <si>
    <t xml:space="preserve">حوالة واردة </t>
  </si>
  <si>
    <t>يوسف علي محمد الحامد</t>
  </si>
  <si>
    <t>سند قبض عهدة رقم 14789</t>
  </si>
  <si>
    <t>سليمان محمد جهاد قرقور</t>
  </si>
  <si>
    <t>شركة عبد الحكيم العضيب</t>
  </si>
  <si>
    <t>16-05-2017</t>
  </si>
  <si>
    <t>79-12-2017</t>
  </si>
  <si>
    <t>حوالة مدارس الرواد</t>
  </si>
  <si>
    <t>عهدة أحمد الشاعر</t>
  </si>
  <si>
    <t>حوالة واردة سليمان عبد العزيز سليمان</t>
  </si>
  <si>
    <t>سحب شيك ميتال وورك تصنيع المعادن</t>
  </si>
  <si>
    <t>17-05-2017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</si>
  <si>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14756</t>
    </r>
  </si>
  <si>
    <t>أسواق شارة</t>
  </si>
  <si>
    <t>71-12-2017</t>
  </si>
  <si>
    <t>02-08-2017</t>
  </si>
  <si>
    <t>حوالة من فندق موفنبيك</t>
  </si>
  <si>
    <t>القسط الثالث لجمجوم للسيارات</t>
  </si>
  <si>
    <t>القسط الثالث</t>
  </si>
  <si>
    <t>إيجار كامب الرسين من 01-06 حتى 31-12</t>
  </si>
  <si>
    <t>فهد بن زيد حمد العبودي</t>
  </si>
  <si>
    <t>إيجار سكن الرسين</t>
  </si>
  <si>
    <t>عهدة شهر مايو 2017</t>
  </si>
  <si>
    <t>19-06-2017</t>
  </si>
  <si>
    <t xml:space="preserve">عهدة ينبع يونيو 2017 </t>
  </si>
  <si>
    <t>حوالة روش روتانا</t>
  </si>
  <si>
    <t>فندق روش روتانا</t>
  </si>
  <si>
    <t>مرفوض</t>
  </si>
  <si>
    <t>شيك مرفوض</t>
  </si>
  <si>
    <t>25-06-2017</t>
  </si>
  <si>
    <t>حوالة من مصنع مياه الجوف الصحية</t>
  </si>
  <si>
    <t>مصنع مياه الجوف الصحية</t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</si>
  <si>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16522</t>
    </r>
  </si>
  <si>
    <r>
      <t xml:space="preserve">إيداع شيك أسواق سكاي مول سند عهدة رقم </t>
    </r>
    <r>
      <rPr>
        <b/>
        <u/>
        <sz val="16"/>
        <color rgb="FFC00000"/>
        <rFont val="Calibri"/>
        <family val="2"/>
        <scheme val="minor"/>
      </rPr>
      <t>14768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</si>
  <si>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14763</t>
    </r>
  </si>
  <si>
    <r>
      <t xml:space="preserve">إيداع شيك مقاصة سند عهدة رقم  </t>
    </r>
    <r>
      <rPr>
        <b/>
        <u/>
        <sz val="16"/>
        <color rgb="FFC00000"/>
        <rFont val="Calibri"/>
        <family val="2"/>
        <scheme val="minor"/>
      </rPr>
      <t>14751</t>
    </r>
  </si>
  <si>
    <t>فندق نارسيس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</si>
  <si>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16536</t>
    </r>
  </si>
  <si>
    <t>فندق الشروق دلمون</t>
  </si>
  <si>
    <t>AGWAD ALMUNIUM</t>
  </si>
  <si>
    <t>فندق التنفيذين</t>
  </si>
  <si>
    <t>عهدة أشرف حسين</t>
  </si>
  <si>
    <t>مدارس جسور المعرفة العالمية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</si>
  <si>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16537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</si>
  <si>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14771</t>
    </r>
  </si>
  <si>
    <t>عبد الرحمن عماش السبيعي العنزي</t>
  </si>
  <si>
    <t>القسط الرابع لجمجوم للسيارات</t>
  </si>
  <si>
    <t>القسط الرابع</t>
  </si>
  <si>
    <t>06-06-2017</t>
  </si>
  <si>
    <t>مصنع الوسائط المتعددة</t>
  </si>
  <si>
    <t>شركة مصنع وسائط النقل</t>
  </si>
  <si>
    <t>21-06-2017</t>
  </si>
  <si>
    <t>63-12-2017</t>
  </si>
  <si>
    <t>23-05-2017</t>
  </si>
  <si>
    <t>04-06-2017</t>
  </si>
  <si>
    <t>تنسيق المدن</t>
  </si>
  <si>
    <t>حوالة من اسواق يساتين القصيم</t>
  </si>
  <si>
    <t>رسوم طباعة كشف حساب</t>
  </si>
  <si>
    <t>09-06-2017</t>
  </si>
  <si>
    <t>عهدة المدينة المنورة</t>
  </si>
  <si>
    <t>إيداع نقدي من محمد جمعة حامد</t>
  </si>
  <si>
    <t>57-07-2017</t>
  </si>
  <si>
    <t>عهدة ينبع يوليو 2017</t>
  </si>
  <si>
    <t xml:space="preserve">عهدة ينبع يوليو 2017 </t>
  </si>
  <si>
    <t>58-07-2017</t>
  </si>
  <si>
    <t>33-07-2017</t>
  </si>
  <si>
    <t>مطعم أوشال الوادي</t>
  </si>
  <si>
    <t>مطعم ركن هاشم</t>
  </si>
  <si>
    <t>حوالة سهول الخالدية</t>
  </si>
  <si>
    <t>حوالة إتحاد ميار</t>
  </si>
  <si>
    <t>22-07-2017</t>
  </si>
  <si>
    <t>سند قبض عهدة رقم 15057</t>
  </si>
  <si>
    <t>50-07-2017</t>
  </si>
  <si>
    <t xml:space="preserve">حوالة واردة سلانا </t>
  </si>
  <si>
    <t>سند قبض عهدة رقم 15058-15059</t>
  </si>
  <si>
    <t>حوالة واردة من محسن</t>
  </si>
  <si>
    <t>حوالة واردة من المؤسسة</t>
  </si>
  <si>
    <t>عبد الله سعد عبد الله داوود</t>
  </si>
  <si>
    <t>19-07-2017</t>
  </si>
  <si>
    <t>سندات قبض عهدة  ارقام 14783 - 16505</t>
  </si>
  <si>
    <t>حوالة سلانا للشقق المفروشة</t>
  </si>
  <si>
    <r>
      <t xml:space="preserve">إيداع شيك مقاصة  سند قبض </t>
    </r>
    <r>
      <rPr>
        <b/>
        <u val="double"/>
        <sz val="16"/>
        <color rgb="FFC00000"/>
        <rFont val="Calibri"/>
        <family val="2"/>
        <scheme val="minor"/>
      </rPr>
      <t>14798</t>
    </r>
  </si>
  <si>
    <t>شركة نمر العقارية</t>
  </si>
  <si>
    <t>مؤسسة الحياة الإبداعية للمقاولات</t>
  </si>
  <si>
    <t>عمر إبراهيم محمد الزغبي</t>
  </si>
  <si>
    <t>08-06-2017</t>
  </si>
  <si>
    <t>06-09-2017</t>
  </si>
  <si>
    <t>سندات قبض عهدة  ارقام 14790 - 16504</t>
  </si>
  <si>
    <t>فندق موفنبيك الرياض</t>
  </si>
  <si>
    <t>شركة الصفوة العقارية</t>
  </si>
  <si>
    <t>جعفر الشناف</t>
  </si>
  <si>
    <r>
      <t xml:space="preserve">إيداع شيك مقاصة  سند عهدة رقم  </t>
    </r>
    <r>
      <rPr>
        <b/>
        <u val="double"/>
        <sz val="16"/>
        <color rgb="FFC00000"/>
        <rFont val="Calibri"/>
        <family val="2"/>
        <scheme val="minor"/>
      </rPr>
      <t>16127</t>
    </r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</si>
  <si>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16128</t>
    </r>
  </si>
  <si>
    <r>
      <t xml:space="preserve">إيداع شيك مقاصة سند عهدة </t>
    </r>
    <r>
      <rPr>
        <b/>
        <sz val="16"/>
        <color rgb="FFC00000"/>
        <rFont val="Calibri"/>
        <family val="2"/>
        <scheme val="minor"/>
      </rPr>
      <t>1606</t>
    </r>
  </si>
  <si>
    <r>
      <t xml:space="preserve">إيداع شيك مقاصة  سند قبض </t>
    </r>
    <r>
      <rPr>
        <b/>
        <u val="double"/>
        <sz val="16"/>
        <color rgb="FFC00000"/>
        <rFont val="Calibri"/>
        <family val="2"/>
        <scheme val="minor"/>
      </rPr>
      <t>14799</t>
    </r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</si>
  <si>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16117</t>
    </r>
  </si>
  <si>
    <t>خالد وفا إبراهيم</t>
  </si>
  <si>
    <t xml:space="preserve">سحب شيك 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</si>
  <si>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16078</t>
    </r>
  </si>
  <si>
    <t>فندق التفيذين</t>
  </si>
  <si>
    <t>دائنون متنوعون (الفهاد)</t>
  </si>
  <si>
    <t>26-10-2017</t>
  </si>
  <si>
    <t>ياسر صبري محمد الملاح</t>
  </si>
  <si>
    <t>تصفية بالمدين لعامل 690211</t>
  </si>
  <si>
    <t>65-12-2017</t>
  </si>
  <si>
    <t>حوالة شركة الفهاد</t>
  </si>
  <si>
    <t>شركة أحمد سليمان الفهاد</t>
  </si>
  <si>
    <t>17OGTE48807168</t>
  </si>
  <si>
    <t>عهدة شهر يونيو 2017</t>
  </si>
  <si>
    <t>07-08-2017</t>
  </si>
  <si>
    <t>38-07-2017</t>
  </si>
  <si>
    <t>27-08-2017</t>
  </si>
  <si>
    <t xml:space="preserve">عهدة ينبع أغسطس 2017 </t>
  </si>
  <si>
    <t>24-10-2017</t>
  </si>
  <si>
    <t>عهدة ينبع أكتوبر 2017</t>
  </si>
  <si>
    <t>30-08-2017</t>
  </si>
  <si>
    <t>AL AREEL</t>
  </si>
  <si>
    <t>06-12-2017</t>
  </si>
  <si>
    <r>
      <t xml:space="preserve">إيداع شيك مقاصة سند عهدة رقم </t>
    </r>
    <r>
      <rPr>
        <b/>
        <u val="double"/>
        <sz val="16"/>
        <color rgb="FFC00000"/>
        <rFont val="Calibri"/>
        <family val="2"/>
        <scheme val="minor"/>
      </rPr>
      <t>15079</t>
    </r>
  </si>
  <si>
    <t>52-12-2017</t>
  </si>
  <si>
    <t>19-08-2017</t>
  </si>
  <si>
    <t>عبيدة عبد الرحمن علي المفلح</t>
  </si>
  <si>
    <t>12-08-2017</t>
  </si>
  <si>
    <t>عهدة شهر يوليو 2017</t>
  </si>
  <si>
    <t>01-10-2017</t>
  </si>
  <si>
    <t>هاني مصطفى صلاح فوده</t>
  </si>
  <si>
    <t>هشام فرج محمد شحاته</t>
  </si>
  <si>
    <t>محمد عماد جبر</t>
  </si>
  <si>
    <t>شركة دار الزهراوي</t>
  </si>
  <si>
    <t>أسواق عبد الله العثيم</t>
  </si>
  <si>
    <t>53-12-2017</t>
  </si>
  <si>
    <t>حوالة من عبد اللطيف جميل</t>
  </si>
  <si>
    <t>شركة عبد اللطيف جميل من 1-1 حتى 30-06-2017</t>
  </si>
  <si>
    <t>68-12-2017</t>
  </si>
  <si>
    <t>طلال ناصر سليمان الرصيص</t>
  </si>
  <si>
    <t>فايز فتيح الحسين</t>
  </si>
  <si>
    <t>18-08-2017</t>
  </si>
  <si>
    <t>محمد أبو العلا غنيم</t>
  </si>
  <si>
    <t>36-07-2017</t>
  </si>
  <si>
    <t>43-11-2017</t>
  </si>
  <si>
    <t>مشروع ينبع</t>
  </si>
  <si>
    <t>شركة مصنع الابتكارات</t>
  </si>
  <si>
    <t>عهدة احمد سامي</t>
  </si>
  <si>
    <t>عبد الله محمد الجربوع</t>
  </si>
  <si>
    <t>شركة فرسان للأغذية</t>
  </si>
  <si>
    <t>10-08-2017</t>
  </si>
  <si>
    <t>عهدة شهر أغسطس 2017</t>
  </si>
  <si>
    <t>48-07-2017</t>
  </si>
  <si>
    <t>الشركة العربية للتجارة - جده</t>
  </si>
  <si>
    <t>عهدة بلدية جازان</t>
  </si>
  <si>
    <t>05-08-2017</t>
  </si>
  <si>
    <t>مطعم الراقي</t>
  </si>
  <si>
    <t>15-08-2017</t>
  </si>
  <si>
    <t>سائر عبد العزيز تقلس</t>
  </si>
  <si>
    <t>18-11-2017</t>
  </si>
  <si>
    <t>عبيدة</t>
  </si>
  <si>
    <t>شركة عبد اللطيف جميل - شهر 7</t>
  </si>
  <si>
    <t>09-08-2017</t>
  </si>
  <si>
    <t>02-09-2017</t>
  </si>
  <si>
    <t>عهدة شهر سبتمبر 2017</t>
  </si>
  <si>
    <t>55-12-2017</t>
  </si>
  <si>
    <t xml:space="preserve"> مكابس - KASEB UNITED سكاي مول </t>
  </si>
  <si>
    <t xml:space="preserve"> مكابس -MEDAS</t>
  </si>
  <si>
    <r>
      <t xml:space="preserve">إيداع شيك مقاصة  سند عهدة رقم </t>
    </r>
    <r>
      <rPr>
        <b/>
        <u val="double"/>
        <sz val="16"/>
        <color rgb="FFC00000"/>
        <rFont val="Calibri"/>
        <family val="2"/>
        <scheme val="minor"/>
      </rPr>
      <t>14733</t>
    </r>
  </si>
  <si>
    <t>أوقاف عبدالله تركي الضحيان</t>
  </si>
  <si>
    <t>عهدة أيمن الكمار</t>
  </si>
  <si>
    <t>28-08-2017</t>
  </si>
  <si>
    <t>عهدة ينبع سبتمبر 2017</t>
  </si>
  <si>
    <t>22-09-2017</t>
  </si>
  <si>
    <t>دفعة تحت الحساب</t>
  </si>
  <si>
    <t>32-09-2017</t>
  </si>
  <si>
    <t>شركة سابتك</t>
  </si>
  <si>
    <t>دفعة 50 % قيمة شراء عدد 2 مكبس كرتون</t>
  </si>
  <si>
    <t>23-09-2017</t>
  </si>
  <si>
    <t>مطعم عبد الله نويجع جابر</t>
  </si>
  <si>
    <t>24-09-2017</t>
  </si>
  <si>
    <t>07-09-2017</t>
  </si>
  <si>
    <t>فندق التنفذيين</t>
  </si>
  <si>
    <t>16OGTE48805140   4
20170928081722</t>
  </si>
  <si>
    <t>مؤسسة المشاري الغالي للمقاولات</t>
  </si>
  <si>
    <t>17-11-2017</t>
  </si>
  <si>
    <t>أحمد إبراهيم السيد أيوب</t>
  </si>
  <si>
    <t>شركة زهران للتجارة</t>
  </si>
  <si>
    <t>17-09-2017</t>
  </si>
  <si>
    <t>11-10-2017</t>
  </si>
  <si>
    <t>سعد محمود الفهد</t>
  </si>
  <si>
    <t xml:space="preserve">تسوية المتبقي من عهدة أغسطس و سبتمبر </t>
  </si>
  <si>
    <t xml:space="preserve">عهدة احمد سعد </t>
  </si>
  <si>
    <t>BOUDL</t>
  </si>
  <si>
    <t>شركة مسك للأغذية</t>
  </si>
  <si>
    <t>فندق التنفيذيين</t>
  </si>
  <si>
    <t>14-09-2017</t>
  </si>
  <si>
    <t>29-12-2017</t>
  </si>
  <si>
    <t>41-11-2017</t>
  </si>
  <si>
    <t>عهدة ينبع نوفمبر 2017</t>
  </si>
  <si>
    <t>47-07-2017</t>
  </si>
  <si>
    <t>القسط الخامس لجمجوم للسيارات</t>
  </si>
  <si>
    <t>القسط الخامس</t>
  </si>
  <si>
    <t>43-12-2017</t>
  </si>
  <si>
    <t>شركة</t>
  </si>
  <si>
    <t>الشركة</t>
  </si>
  <si>
    <t>شركة العربية الفاخرة - مشروع جده</t>
  </si>
  <si>
    <t>محل متاجر المملكة - مشروع جده</t>
  </si>
  <si>
    <t>شركة ابناء إبراهيم السلمان</t>
  </si>
  <si>
    <t>04-09-2017</t>
  </si>
  <si>
    <t>قصر بيوت الثلج</t>
  </si>
  <si>
    <t>مساعد الموسى</t>
  </si>
  <si>
    <t>46-11-2017</t>
  </si>
  <si>
    <t>14-10-2017</t>
  </si>
  <si>
    <t>شركة الدواجن الوطنية</t>
  </si>
  <si>
    <t>مطعم</t>
  </si>
  <si>
    <t>IBN KHALDOON SCHOOLS CO.</t>
  </si>
  <si>
    <t>شركة مدارس بن خلدن</t>
  </si>
  <si>
    <t>شركة عبد اللطيف جميل شهر 8</t>
  </si>
  <si>
    <t>01-11-2017</t>
  </si>
  <si>
    <t>مؤسسة شارة الأستثمار للتجارة</t>
  </si>
  <si>
    <t>09-10-2017</t>
  </si>
  <si>
    <t>02-12-2017</t>
  </si>
  <si>
    <t>شركة الصفوة الغذائية</t>
  </si>
  <si>
    <t>سكاي مول</t>
  </si>
  <si>
    <t>مطعم بيت المسك - عهدة محمد السعيد</t>
  </si>
  <si>
    <t>مخبز حول المدينة</t>
  </si>
  <si>
    <t>19-11-2017</t>
  </si>
  <si>
    <t>06-11-2017</t>
  </si>
  <si>
    <t>18-02-2017</t>
  </si>
  <si>
    <t>مؤسسة سامر حسين غراب</t>
  </si>
  <si>
    <t>عهدة مشروع جده</t>
  </si>
  <si>
    <t>17OGTE48809484    2</t>
  </si>
  <si>
    <t>17OGTE48809784    2</t>
  </si>
  <si>
    <t>17OGTE48809786    2</t>
  </si>
  <si>
    <t>مطعم ارياب ينبع</t>
  </si>
  <si>
    <t>18-12-2017</t>
  </si>
  <si>
    <t>القسط السادس لجمجوم للسيارات</t>
  </si>
  <si>
    <t>القسط السادس</t>
  </si>
  <si>
    <t>محمد شفيق فيلان</t>
  </si>
  <si>
    <t>متاجر و مخابز رابية المملكة</t>
  </si>
  <si>
    <t>16OGTE48806373   4</t>
  </si>
  <si>
    <t>16OGTE48806374   4</t>
  </si>
  <si>
    <t>41-07-2017</t>
  </si>
  <si>
    <t xml:space="preserve">فندق و مطاعم الديار </t>
  </si>
  <si>
    <t>13-09-2017</t>
  </si>
  <si>
    <t>مطعم بيت مسك</t>
  </si>
  <si>
    <t>مجمع عيادات المحيش</t>
  </si>
  <si>
    <t>26-11-2017</t>
  </si>
  <si>
    <t>زامل يحيى للملابس</t>
  </si>
  <si>
    <t>42-11-2017</t>
  </si>
  <si>
    <t>شركة عبد اللطيف جميل شهر 9</t>
  </si>
  <si>
    <t>11-11-2017</t>
  </si>
  <si>
    <t>القسط السابع لجمجوم للسيارات</t>
  </si>
  <si>
    <t>القسط السابع</t>
  </si>
  <si>
    <t>أيرادات أخرى</t>
  </si>
  <si>
    <t>الماسم للوحدات السكنية</t>
  </si>
  <si>
    <t>عهدة طارق علي</t>
  </si>
  <si>
    <t>حوالة من شركة الدواجن الوطنية</t>
  </si>
  <si>
    <t>حسين أحمد حكوم</t>
  </si>
  <si>
    <t>22-11-2017</t>
  </si>
  <si>
    <t>شركة أطياف التكنولوجيا - رغد سابقا</t>
  </si>
  <si>
    <t>12-11-2017</t>
  </si>
  <si>
    <t>القسط الثامن لجمجوم للسيارات</t>
  </si>
  <si>
    <t>القسط الثامن</t>
  </si>
  <si>
    <t>شركة عبد اللطيف جميل</t>
  </si>
  <si>
    <t>حسام فواز محمد محمد</t>
  </si>
  <si>
    <t>15-11-2017</t>
  </si>
  <si>
    <t>16OGTE48806649</t>
  </si>
  <si>
    <t>54-12-2017</t>
  </si>
  <si>
    <t xml:space="preserve">إيداع نقدي </t>
  </si>
  <si>
    <t>البنك الاسلامي للتنمية</t>
  </si>
  <si>
    <t>عهدة طارق فريد</t>
  </si>
  <si>
    <t>شركة مدارس بن خلدون التعليمية</t>
  </si>
  <si>
    <t>58-12-2017</t>
  </si>
  <si>
    <t>13-11-2017</t>
  </si>
  <si>
    <t>sabtek</t>
  </si>
  <si>
    <t>50 % down payment for cartoon compactor</t>
  </si>
  <si>
    <t>17-12-2017</t>
  </si>
  <si>
    <t>القسط التاسع لجمجوم للسيارات</t>
  </si>
  <si>
    <t>القسط التاسع</t>
  </si>
  <si>
    <t>21-11-2017</t>
  </si>
  <si>
    <t>عهدة شهر أكتوبر 2017</t>
  </si>
  <si>
    <t>تسوية عهدة أكتوبر و نوفمبر 2017</t>
  </si>
  <si>
    <t>12-10-2017</t>
  </si>
  <si>
    <t>حامد حسين الحماد</t>
  </si>
  <si>
    <t>49-12-2017</t>
  </si>
  <si>
    <t>عهدة ينبع ديسمبر 2017</t>
  </si>
  <si>
    <t>15-12-2017</t>
  </si>
  <si>
    <t>57-12-2017</t>
  </si>
  <si>
    <t>23-12-2017</t>
  </si>
  <si>
    <t>الفهاد</t>
  </si>
  <si>
    <r>
      <t xml:space="preserve">كشف حساب عن الفترة من  </t>
    </r>
    <r>
      <rPr>
        <b/>
        <u/>
        <sz val="18"/>
        <color theme="1"/>
        <rFont val="Calibri"/>
        <family val="2"/>
        <scheme val="minor"/>
      </rPr>
      <t>01-01-2017م</t>
    </r>
    <r>
      <rPr>
        <b/>
        <sz val="18"/>
        <color theme="1"/>
        <rFont val="Calibri"/>
        <family val="2"/>
        <scheme val="minor"/>
      </rPr>
      <t xml:space="preserve">  حتى  </t>
    </r>
    <r>
      <rPr>
        <b/>
        <u/>
        <sz val="18"/>
        <color theme="1"/>
        <rFont val="Calibri"/>
        <family val="2"/>
        <scheme val="minor"/>
      </rPr>
      <t>31-12-2017 م</t>
    </r>
    <r>
      <rPr>
        <b/>
        <sz val="18"/>
        <color theme="1"/>
        <rFont val="Calibri"/>
        <family val="2"/>
        <scheme val="minor"/>
      </rPr>
      <t xml:space="preserve">
</t>
    </r>
    <r>
      <rPr>
        <b/>
        <u/>
        <sz val="16"/>
        <color theme="1"/>
        <rFont val="Calibri"/>
        <family val="2"/>
        <scheme val="minor"/>
      </rPr>
      <t>شركة أحمد سليمان الفهاد وأولادة للمعدات والسيارات</t>
    </r>
  </si>
  <si>
    <t>التاريخ
Date</t>
  </si>
  <si>
    <t>الشهر
Month</t>
  </si>
  <si>
    <t>رقم 
القيد
ASCON</t>
  </si>
  <si>
    <t>البيان 
Description</t>
  </si>
  <si>
    <t>رقم 
المستند</t>
  </si>
  <si>
    <t>ملاحظات
Notes</t>
  </si>
  <si>
    <t>المشروع
Project</t>
  </si>
  <si>
    <t>الرصيد 
Balance</t>
  </si>
  <si>
    <t>الرصيد في 1/1/2017</t>
  </si>
  <si>
    <t>قيمة عدد 81 حاوية 6 ياردة بالفاتورة رقم 10340</t>
  </si>
  <si>
    <t>قيمة دهان 20 حاوية بالفاتورة رقم 10320</t>
  </si>
  <si>
    <t>صيانة حاويات</t>
  </si>
  <si>
    <t>21-01-2017</t>
  </si>
  <si>
    <t>شيك رقم 76 بدل السكن لإبراهيم الباحوث</t>
  </si>
  <si>
    <t>م.إدارية</t>
  </si>
  <si>
    <t>قيمة تركيب عدد 2 روا أون / أوف بالفاتورة رقم 10313</t>
  </si>
  <si>
    <t>30-12-2017</t>
  </si>
  <si>
    <t>قيمة الزيوت بالفاتورة رقم 69 نظام 68 يدوي</t>
  </si>
  <si>
    <t>زيوت</t>
  </si>
  <si>
    <t xml:space="preserve"> الشيك رقم 271 من مؤسسة الرسين دفعة من الحساب بالبنك العربي</t>
  </si>
  <si>
    <t>دائنون</t>
  </si>
  <si>
    <t>إيداع الشيك رقم 272 دفعة من مؤسسة الرسين</t>
  </si>
  <si>
    <t>مسحوبات الزيوت خلال شهر مارس 2017</t>
  </si>
  <si>
    <t>قيمة عدد 6 ضاغط 22 ياردة بالفاتورة رقم 10317</t>
  </si>
  <si>
    <t>شيك رقم 94 الدفعة المقدمة لشراء 5 سيارات كبيرة من الحبتور</t>
  </si>
  <si>
    <t>شيك رقم 280 دفعة تحت الحساب شركة سالم بقشان</t>
  </si>
  <si>
    <t>شيك رقم 281 عهدة للصرف علي المصنع طارف فريد</t>
  </si>
  <si>
    <t>شيك رقم 279 عهدة للصرف علي المصنع عبدة عفيفي</t>
  </si>
  <si>
    <t>مبيعات زيوت بالفاتورة رقم 80+130+140 نظام</t>
  </si>
  <si>
    <t>130-140-80</t>
  </si>
  <si>
    <t xml:space="preserve">قيمة قطع الغيار المعدات بالفاتورة رقم 2705  </t>
  </si>
  <si>
    <t>قطع غيار</t>
  </si>
  <si>
    <t>قيمة الضاغط بالفاتورة رقم 10400</t>
  </si>
  <si>
    <t>قيمة الفاتورة رقم 10337 ياردة عدد 100 حاوية 2 ياردة</t>
  </si>
  <si>
    <t>قيمة أعمال صيانة معدات بالفواتير أرقام 2820+2835 خلال شهر يونيو 2017 م</t>
  </si>
  <si>
    <t>2820-2835</t>
  </si>
  <si>
    <t>صيانة معدات</t>
  </si>
  <si>
    <t>مبيعات الزيوت بالفاتورة رقم 209</t>
  </si>
  <si>
    <t>43-07-2017</t>
  </si>
  <si>
    <t>سعي ناجي فهمي إيجار الهنجر و المصنع للقطاع التجاري</t>
  </si>
  <si>
    <t>شيك رقم 292 من مسسة الرسين صرف مبلغ أبوسليمان</t>
  </si>
  <si>
    <t>292</t>
  </si>
  <si>
    <t>قيمة فاتورة صيانة رقم 2919 بمصنع المعدات</t>
  </si>
  <si>
    <t>مسحوبات زيوت بالفاتورة رقم 258</t>
  </si>
  <si>
    <t>17-10-2017</t>
  </si>
  <si>
    <t>حساب القطاع التجاري من حفر البئر سندات صرف صندوق 4711-4728-4498</t>
  </si>
  <si>
    <t>4711-4728-4498</t>
  </si>
  <si>
    <t>مبيعات الزيوت بالفواتير أرقام 279</t>
  </si>
  <si>
    <t>شيك رقم 354 قيمة 3 سيارات لبلدية مليجة من العيسي</t>
  </si>
  <si>
    <t>إيداع الشيك رقم 301 دفعة من الحساب</t>
  </si>
  <si>
    <t>11-12-2017</t>
  </si>
  <si>
    <t>الجزء الأخير من حفر بئر بمصنع الكرفانات سند صرف صندوق 1783</t>
  </si>
  <si>
    <t>فاتورة بيع زيت رقم 727</t>
  </si>
  <si>
    <t>قيمة خدمة التتبع لعدد 17 سيارة عن الفترة من 19/10/2017حتي 18/10/2018</t>
  </si>
  <si>
    <t>رسوم تتبع</t>
  </si>
  <si>
    <t>فاتورة رقم 10 تجديد رسوم خدمة التتبع عن 17 جهاز عن الفترة من إ19/10/2017إلي 18/10/2018</t>
  </si>
  <si>
    <t>فاتورة صيانة معدات رقم 3121 والفاتورة رقم 3124</t>
  </si>
  <si>
    <t>3121-3124</t>
  </si>
  <si>
    <t>قيمة الصيانة بالفواتير أرقام 3302+3313</t>
  </si>
  <si>
    <t>3313-3302</t>
  </si>
  <si>
    <t>صيانة بالفاتورة رقم 4970 بورشة الصيانة قسم المعدات</t>
  </si>
  <si>
    <t>فاتورة رقم 10406 قيمة عدد 15ضاغط 22 ياردة</t>
  </si>
  <si>
    <t>مسحوبات   الزيوت خلال شهر ديسمبر 2017</t>
  </si>
  <si>
    <t>الإجـــــــــــــــــــــــــــــــــــــــــــــمالي</t>
  </si>
  <si>
    <t>الرصــــــــــــــــــــــــــــــــــــــــــــــيد</t>
  </si>
  <si>
    <t>المحاسب</t>
  </si>
  <si>
    <t>الحساء</t>
  </si>
  <si>
    <t>عام 2017</t>
  </si>
  <si>
    <t>رقم الإيضاح</t>
  </si>
  <si>
    <t>جج</t>
  </si>
  <si>
    <t>مصروفات مدفوعة مقدما</t>
  </si>
  <si>
    <t>-</t>
  </si>
  <si>
    <t>أرصدة دائنة أخرى</t>
  </si>
  <si>
    <t>الدمام</t>
  </si>
  <si>
    <t xml:space="preserve">الإيرادات المستحقة في 31-10-2017 م </t>
  </si>
  <si>
    <r>
      <t xml:space="preserve">الحسابات </t>
    </r>
    <r>
      <rPr>
        <b/>
        <sz val="14"/>
        <color theme="1"/>
        <rFont val="Calibri"/>
        <family val="2"/>
        <scheme val="minor"/>
      </rPr>
      <t xml:space="preserve">                                                       </t>
    </r>
    <r>
      <rPr>
        <b/>
        <u/>
        <sz val="14"/>
        <color theme="1"/>
        <rFont val="Calibri"/>
        <family val="2"/>
        <scheme val="minor"/>
      </rPr>
      <t xml:space="preserve"> رئيس الحسابات      </t>
    </r>
    <r>
      <rPr>
        <b/>
        <sz val="14"/>
        <color theme="1"/>
        <rFont val="Calibri"/>
        <family val="2"/>
        <scheme val="minor"/>
      </rPr>
      <t xml:space="preserve">                                                                           </t>
    </r>
    <r>
      <rPr>
        <b/>
        <u/>
        <sz val="14"/>
        <color theme="1"/>
        <rFont val="Calibri"/>
        <family val="2"/>
        <scheme val="minor"/>
      </rPr>
      <t xml:space="preserve"> المدير المالي</t>
    </r>
  </si>
  <si>
    <t>يتمثل صافي الموجودات الثابتة كما في 30 أكتوبر 2017 فيما يلي :</t>
  </si>
  <si>
    <t>إلي 30/10/2017</t>
  </si>
  <si>
    <t>في 30/10/2017</t>
  </si>
  <si>
    <t>تذاكر</t>
  </si>
  <si>
    <t>ضيافة</t>
  </si>
  <si>
    <t>عمولات بنكية</t>
  </si>
  <si>
    <t>كراسات شروط</t>
  </si>
  <si>
    <t>بدل سكن</t>
  </si>
  <si>
    <t>اتعاب ميزانيات</t>
  </si>
  <si>
    <t xml:space="preserve">بريد و ارساليات </t>
  </si>
  <si>
    <t>كهرباء</t>
  </si>
  <si>
    <t>نقل و شحن</t>
  </si>
  <si>
    <t>مطبوعات</t>
  </si>
  <si>
    <t>غرامات اخرى</t>
  </si>
  <si>
    <t>بريد و برق</t>
  </si>
  <si>
    <t xml:space="preserve">نقل كفالات </t>
  </si>
  <si>
    <t>حوادث</t>
  </si>
  <si>
    <t>رسوم دخول مرمى</t>
  </si>
  <si>
    <t>أجور عمالة خارجية</t>
  </si>
  <si>
    <t>رقم السجل</t>
  </si>
  <si>
    <t>النوع</t>
  </si>
  <si>
    <t>الأسم التجاري</t>
  </si>
  <si>
    <t>الرئيسي</t>
  </si>
  <si>
    <t>الفرعي</t>
  </si>
  <si>
    <t>تاريخ الإصدار الهجري</t>
  </si>
  <si>
    <t>تاريخ الإصدار الميلادي</t>
  </si>
  <si>
    <t>نهاية الفترة المالية الحالية</t>
  </si>
  <si>
    <t xml:space="preserve">يسجل / لا </t>
  </si>
  <si>
    <t>مؤسسة انجاز التسهيلات للتجارة</t>
  </si>
  <si>
    <t>مركز أجيال الفرسان للتدريب</t>
  </si>
  <si>
    <t>مؤسسة الرسين للمقاولات</t>
  </si>
  <si>
    <t>بريده</t>
  </si>
  <si>
    <t>مصنع احمد سليمان الفهاد للمياه</t>
  </si>
  <si>
    <t>جيزان</t>
  </si>
  <si>
    <t>مؤسسة احمد سليمان الفهاد للحراسات الأمنية</t>
  </si>
  <si>
    <t>رئيسي</t>
  </si>
  <si>
    <t>فرعي رئيسي</t>
  </si>
  <si>
    <t>مكتب تيسير انجاز للعقارات</t>
  </si>
  <si>
    <t>جديد خلال الفترة الحالية</t>
  </si>
  <si>
    <t>فرع فرعي</t>
  </si>
  <si>
    <t>السجل التجاري</t>
  </si>
  <si>
    <t>سعر/ الحبة</t>
  </si>
  <si>
    <t>الدفعة المقدمة</t>
  </si>
  <si>
    <t xml:space="preserve">المتبقي </t>
  </si>
  <si>
    <t>الفائدة</t>
  </si>
  <si>
    <t>الإجمالي بالفائدة</t>
  </si>
  <si>
    <t>عدد الاقساط</t>
  </si>
  <si>
    <t>قيمة القسط الواحد</t>
  </si>
  <si>
    <t>بداية الاقساط</t>
  </si>
  <si>
    <t>عدد الاقساط المسدده</t>
  </si>
  <si>
    <t>رقم القسط</t>
  </si>
  <si>
    <t>المبلغ الاساسي</t>
  </si>
  <si>
    <t>نسبة الفائدة</t>
  </si>
  <si>
    <t>المبلغ بالفائدة</t>
  </si>
  <si>
    <t>عدد الاقساط المتبقية</t>
  </si>
  <si>
    <t>قيمة الاقساط المتبقية</t>
  </si>
  <si>
    <t>قيمة الفائدة</t>
  </si>
  <si>
    <t>اجمالي الاقساط المتبقية بالفائدة</t>
  </si>
  <si>
    <t>ملاحظات السداد</t>
  </si>
  <si>
    <t>شيك رقم 285 راجحي</t>
  </si>
  <si>
    <t>شيك رقم 288 راجحي</t>
  </si>
  <si>
    <r>
      <t xml:space="preserve">طلبية هينو
</t>
    </r>
    <r>
      <rPr>
        <b/>
        <u/>
        <sz val="14"/>
        <color rgb="FF002060"/>
        <rFont val="Calibri"/>
        <family val="2"/>
        <scheme val="minor"/>
      </rPr>
      <t>جمجوم</t>
    </r>
  </si>
  <si>
    <r>
      <t xml:space="preserve">طلبية الشاحنات الهينو موديل </t>
    </r>
    <r>
      <rPr>
        <b/>
        <u/>
        <sz val="20"/>
        <color rgb="FFC00000"/>
        <rFont val="Calibri"/>
        <family val="2"/>
        <scheme val="minor"/>
      </rPr>
      <t>2016</t>
    </r>
    <r>
      <rPr>
        <b/>
        <sz val="20"/>
        <color theme="1"/>
        <rFont val="Calibri"/>
        <family val="2"/>
        <scheme val="minor"/>
      </rPr>
      <t xml:space="preserve"> من جمجوم</t>
    </r>
  </si>
  <si>
    <t>شيك رقم 293 راجحي</t>
  </si>
  <si>
    <t>شيك رقم 303 راجحي</t>
  </si>
  <si>
    <t>شيك رقم 304 راجحي</t>
  </si>
  <si>
    <t>شيك رقم 305 راجحي</t>
  </si>
  <si>
    <t>شيك رقم 306 راجحي</t>
  </si>
  <si>
    <r>
      <t xml:space="preserve">شيك رقم </t>
    </r>
    <r>
      <rPr>
        <b/>
        <u val="singleAccounting"/>
        <sz val="14"/>
        <color rgb="FFC00000"/>
        <rFont val="Calibri"/>
        <family val="2"/>
        <scheme val="minor"/>
      </rPr>
      <t>277</t>
    </r>
    <r>
      <rPr>
        <b/>
        <sz val="14"/>
        <color theme="1"/>
        <rFont val="Calibri"/>
        <family val="2"/>
        <scheme val="minor"/>
      </rPr>
      <t xml:space="preserve"> راجحي</t>
    </r>
  </si>
  <si>
    <r>
      <t xml:space="preserve">شيك رقم </t>
    </r>
    <r>
      <rPr>
        <b/>
        <u val="singleAccounting"/>
        <sz val="14"/>
        <color rgb="FFC00000"/>
        <rFont val="Calibri"/>
        <family val="2"/>
        <scheme val="minor"/>
      </rPr>
      <t>404</t>
    </r>
    <r>
      <rPr>
        <b/>
        <sz val="14"/>
        <color theme="1"/>
        <rFont val="Calibri"/>
        <family val="2"/>
        <scheme val="minor"/>
      </rPr>
      <t xml:space="preserve"> راجحي</t>
    </r>
  </si>
  <si>
    <t>home</t>
  </si>
  <si>
    <t>ذمم العملاء</t>
  </si>
  <si>
    <t>ذمم العملاء ( المطار )</t>
  </si>
  <si>
    <t>ذمم العملاء ( الرفاد )</t>
  </si>
  <si>
    <t xml:space="preserve">ذمم العملاء (تسويات الفهاد)  </t>
  </si>
  <si>
    <t>20-21</t>
  </si>
  <si>
    <t>22</t>
  </si>
  <si>
    <t>9- أطراف ذات علاقة :</t>
  </si>
  <si>
    <t>إن الأطراف ذات العلاقة هي الجهات المرتبطة بالمنشأة و الموظفين الرئيسين بها و المنشأت الأخرى المسيطر عليها بالكامل أو بشكل مشترك من قبل هذه الأطراف أو التي تمارس نفوذا هاما عليها و تتمثل أطراف ذات علاقة دائنة كما في 31 ديسمبر 2016 فيما يلي :</t>
  </si>
  <si>
    <t>أطراف ذات علاقة 2017</t>
  </si>
  <si>
    <t>17</t>
  </si>
  <si>
    <t>18-19</t>
  </si>
  <si>
    <t>الموردون ( الدائنون التجاريون )</t>
  </si>
  <si>
    <t>الموردون (الدائنون المتنوعون "الفهاد" )</t>
  </si>
  <si>
    <t>تسويات دائنه شركة الفهاد</t>
  </si>
  <si>
    <t>23</t>
  </si>
  <si>
    <t>24</t>
  </si>
  <si>
    <t>إيرادات مقدمة</t>
  </si>
  <si>
    <t>25</t>
  </si>
  <si>
    <t>يتمثل مخصص الزكاة الشرعية للسنة المالية المنتهية  في 29 أكتوبر 2017 فيما يلي :</t>
  </si>
  <si>
    <t xml:space="preserve">زكاة ما يخص 2017 فقط من 01-01-2017 حتى 29-10-2017 و باقي العام بالميزانية الجديدة القادمة لتغيير االمؤسسة إلى شركة في تاريخ 29 أكتوبر 2017 </t>
  </si>
  <si>
    <t>حساب الزكاة</t>
  </si>
  <si>
    <t>=</t>
  </si>
  <si>
    <t>12 شهر</t>
  </si>
  <si>
    <t>*</t>
  </si>
  <si>
    <t>ريال فقط .</t>
  </si>
  <si>
    <t>26</t>
  </si>
  <si>
    <t>أرباح (خسائر) المرحلة</t>
  </si>
  <si>
    <t>تشكل الإيضاحات المرفقة من (  ) إلى (  ) جزءً لا يتجزأ من القوائم المالية .</t>
  </si>
  <si>
    <t>الرقم العام القديم</t>
  </si>
  <si>
    <t>الرقم العام الجديد</t>
  </si>
  <si>
    <t xml:space="preserve">ميزان المراجعة عن السنة المالية المنتهية في 31-12-2017 م </t>
  </si>
  <si>
    <t>إجمالي الحركة حتي 31-12-2017</t>
  </si>
  <si>
    <t xml:space="preserve">الرصيد في 31-12-2017 </t>
  </si>
  <si>
    <t xml:space="preserve">كما في 31 ديسمبر 2017  م </t>
  </si>
  <si>
    <t xml:space="preserve">الشركة السعودية للتموين </t>
  </si>
  <si>
    <t xml:space="preserve">مؤسسة الرفاد - هوابذ سابقا </t>
  </si>
  <si>
    <t>شركة أحمد سليمان الفهاد و أولاده</t>
  </si>
  <si>
    <t>دفعات مقدمة موردين</t>
  </si>
  <si>
    <t>مصروفات مدفوعه مقدما</t>
  </si>
  <si>
    <t>ذمم العملاء :</t>
  </si>
  <si>
    <t>شيك رقم 1 الراجحي</t>
  </si>
  <si>
    <t>شيك رقم 2 الراجحي</t>
  </si>
  <si>
    <t>شيك رقم 3 الراجحي</t>
  </si>
  <si>
    <t>مستحق</t>
  </si>
  <si>
    <t>غير مستحق</t>
  </si>
  <si>
    <t>تاريخ الأستحقاق</t>
  </si>
  <si>
    <t>مسدد</t>
  </si>
  <si>
    <t>عدد الأقساط المستحقة</t>
  </si>
  <si>
    <t>فقط خمسة و سبعون ألف و ستمائة و ثمانية وستون ريال و ستة و ثلاثون هلله</t>
  </si>
  <si>
    <t>تسوية البنك في 31-12-2017 م</t>
  </si>
  <si>
    <t>رصيد البنوك بكشوف حسابات البنوك في 31-12-2017 م</t>
  </si>
  <si>
    <t>رصيد الدفتري للبنوك في 31-12-2017 م</t>
  </si>
  <si>
    <t>مصرف الراجحي في 31-12-2017</t>
  </si>
  <si>
    <t>البنك السعودي الهولندي في 31-12-2017 م</t>
  </si>
  <si>
    <t>البنك الآهلي التجاري في 31-12-2017 م</t>
  </si>
  <si>
    <t>مصرف الراجحي للحراسات الأمنية في 31-12-2017</t>
  </si>
  <si>
    <t>قائمة الدخل'!A1</t>
  </si>
  <si>
    <t>أزميل</t>
  </si>
  <si>
    <t>حاويات نفايات 04 yrd</t>
  </si>
  <si>
    <t>حاويات نفايات 06 yrds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</si>
</sst>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3" formatCode="_(* #,##0.00_);_(* \(#,##0.00\);_(* &quot;-&quot;??_);_(@_)"/>
    <numFmt numFmtId="164" formatCode="_-* #,##0\ _ر_._س_._‏_-;\-* #,##0\ _ر_._س_._‏_-;_-* &quot;-&quot;\ _ر_._س_._‏_-;_-@_-"/>
    <numFmt numFmtId="165" formatCode="_-* #,##0.00\ _ر_._س_._‏_-;\-* #,##0.00\ _ر_._س_._‏_-;_-* &quot;-&quot;??\ _ر_._س_._‏_-;_-@_-"/>
    <numFmt numFmtId="166" formatCode="_-* #,##0.00_-;_-* #,##0.00\-;_-* &quot;-&quot;??_-;_-@_-"/>
    <numFmt numFmtId="167" formatCode="_-* #,##0_-;_-* #,##0\-;_-* &quot;-&quot;??_-;_-@_-"/>
    <numFmt numFmtId="168" formatCode="#,##0_ ;\-#,##0\ "/>
    <numFmt numFmtId="169" formatCode="_-* #,##0.000_-;_-* #,##0.000\-;_-* &quot;-&quot;??_-;_-@_-"/>
    <numFmt numFmtId="170" formatCode="yyyy\-mm\-dd;@"/>
    <numFmt numFmtId="171" formatCode="[$-409]d\-mmm\-yy;@"/>
    <numFmt numFmtId="172" formatCode="_(* #,##0_);_(* \(#,##0\);_(* &quot;-&quot;??_);_(@_)"/>
    <numFmt numFmtId="173" formatCode="[$-1970000]B2d/mm/yyyy;@"/>
    <numFmt numFmtId="174" formatCode="[$-1010000]d/m/yyyy;@"/>
  </numFmts>
  <fonts count="1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rgb="FF000000"/>
      <name val="Times New Roman"/>
      <family val="1"/>
    </font>
    <font>
      <sz val="16"/>
      <name val="Arial"/>
      <family val="2"/>
    </font>
    <font>
      <u/>
      <sz val="16"/>
      <name val="Arial"/>
      <family val="2"/>
    </font>
    <font>
      <b/>
      <sz val="16"/>
      <name val="Arial"/>
      <family val="2"/>
    </font>
    <font>
      <b/>
      <sz val="16"/>
      <color rgb="FF0070C0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2"/>
      <name val="宋体"/>
      <charset val="134"/>
    </font>
    <font>
      <b/>
      <sz val="16"/>
      <color theme="1"/>
      <name val="Calisto MT"/>
      <family val="1"/>
    </font>
    <font>
      <sz val="16"/>
      <color theme="1"/>
      <name val="Calibri"/>
      <family val="2"/>
      <charset val="178"/>
      <scheme val="minor"/>
    </font>
    <font>
      <u/>
      <sz val="11"/>
      <color theme="10"/>
      <name val="Calibri"/>
      <family val="2"/>
      <charset val="178"/>
    </font>
    <font>
      <sz val="14"/>
      <color theme="1"/>
      <name val="Calibri"/>
      <family val="2"/>
      <charset val="178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8"/>
      <color theme="1"/>
      <name val="Calibri"/>
      <family val="2"/>
      <scheme val="minor"/>
    </font>
    <font>
      <b/>
      <sz val="16"/>
      <color theme="1"/>
      <name val="Akhbar MT"/>
      <charset val="178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70C0"/>
      <name val="PT Bold Heading"/>
      <charset val="178"/>
    </font>
    <font>
      <sz val="12"/>
      <color theme="1"/>
      <name val="Akhbar MT"/>
      <charset val="178"/>
    </font>
    <font>
      <sz val="14"/>
      <color theme="1"/>
      <name val="Akhbar MT"/>
      <charset val="178"/>
    </font>
    <font>
      <b/>
      <sz val="14"/>
      <color theme="1"/>
      <name val="Akhbar MT"/>
      <charset val="178"/>
    </font>
    <font>
      <b/>
      <sz val="11"/>
      <color theme="1"/>
      <name val="Akhbar MT"/>
      <charset val="178"/>
    </font>
    <font>
      <b/>
      <sz val="12"/>
      <color theme="1"/>
      <name val="Akhbar MT"/>
      <charset val="178"/>
    </font>
    <font>
      <u val="double"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8"/>
      <color theme="1"/>
      <name val="Akhbar MT"/>
      <charset val="178"/>
    </font>
    <font>
      <b/>
      <sz val="20"/>
      <color theme="1"/>
      <name val="Akhbar MT"/>
      <charset val="178"/>
    </font>
    <font>
      <sz val="18"/>
      <color theme="1"/>
      <name val="Akhbar MT"/>
      <charset val="178"/>
    </font>
    <font>
      <b/>
      <sz val="26"/>
      <name val="Arial"/>
      <family val="2"/>
    </font>
    <font>
      <b/>
      <sz val="15"/>
      <color theme="1"/>
      <name val="Akhbar MT"/>
      <charset val="178"/>
    </font>
    <font>
      <b/>
      <u/>
      <sz val="11"/>
      <color theme="1"/>
      <name val="Akhbar MT"/>
      <charset val="178"/>
    </font>
    <font>
      <b/>
      <sz val="18"/>
      <color rgb="FF0070C0"/>
      <name val="Akhbar MT"/>
      <charset val="178"/>
    </font>
    <font>
      <b/>
      <u/>
      <sz val="26"/>
      <name val="Akhbar MT"/>
      <charset val="178"/>
    </font>
    <font>
      <b/>
      <sz val="16"/>
      <color rgb="FF000000"/>
      <name val="Simple Bold Jut Out"/>
      <charset val="178"/>
    </font>
    <font>
      <b/>
      <sz val="20"/>
      <name val="Akhbar MT"/>
      <charset val="178"/>
    </font>
    <font>
      <sz val="20"/>
      <name val="Akhbar MT"/>
      <charset val="178"/>
    </font>
    <font>
      <b/>
      <sz val="11"/>
      <color theme="1"/>
      <name val="Arial Black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Akhbar MT"/>
      <charset val="178"/>
    </font>
    <font>
      <b/>
      <u/>
      <sz val="14"/>
      <color theme="1"/>
      <name val="Akhbar MT"/>
      <charset val="178"/>
    </font>
    <font>
      <b/>
      <u/>
      <sz val="24"/>
      <color theme="1"/>
      <name val="Akhbar MT"/>
      <charset val="178"/>
    </font>
    <font>
      <b/>
      <sz val="10"/>
      <color theme="1"/>
      <name val="Arial Black"/>
      <family val="2"/>
    </font>
    <font>
      <b/>
      <u/>
      <sz val="12"/>
      <color theme="1"/>
      <name val="Calibri"/>
      <family val="2"/>
      <scheme val="minor"/>
    </font>
    <font>
      <b/>
      <u val="singleAccounting"/>
      <sz val="16"/>
      <color theme="1"/>
      <name val="Arial Black"/>
      <family val="2"/>
    </font>
    <font>
      <b/>
      <u val="singleAccounting"/>
      <sz val="16"/>
      <color theme="1"/>
      <name val="Calibri"/>
      <family val="2"/>
      <scheme val="minor"/>
    </font>
    <font>
      <b/>
      <sz val="20"/>
      <color theme="1"/>
      <name val="Arial Black"/>
      <family val="2"/>
    </font>
    <font>
      <b/>
      <sz val="16"/>
      <color theme="1"/>
      <name val="Arial Black"/>
      <family val="2"/>
    </font>
    <font>
      <b/>
      <u/>
      <sz val="36"/>
      <color theme="1"/>
      <name val="Sakkal Majalla"/>
    </font>
    <font>
      <b/>
      <sz val="26"/>
      <color theme="1"/>
      <name val="Microsoft Uighur"/>
    </font>
    <font>
      <b/>
      <u/>
      <sz val="26"/>
      <color theme="1"/>
      <name val="Microsoft Uighur"/>
    </font>
    <font>
      <b/>
      <sz val="48"/>
      <color theme="1"/>
      <name val="Microsoft Uighur"/>
    </font>
    <font>
      <b/>
      <u val="singleAccounting"/>
      <sz val="48"/>
      <color rgb="FFC00000"/>
      <name val="Microsoft Uighur"/>
    </font>
    <font>
      <b/>
      <u val="doubleAccounting"/>
      <sz val="48"/>
      <color rgb="FF002060"/>
      <name val="Microsoft Uighur"/>
    </font>
    <font>
      <sz val="26"/>
      <color theme="1"/>
      <name val="Calibri"/>
      <family val="2"/>
      <charset val="178"/>
      <scheme val="minor"/>
    </font>
    <font>
      <b/>
      <i/>
      <u/>
      <sz val="26"/>
      <color theme="1"/>
      <name val="Calibri"/>
      <family val="2"/>
      <charset val="178"/>
      <scheme val="minor"/>
    </font>
    <font>
      <b/>
      <u/>
      <sz val="16"/>
      <color rgb="FFFF0000"/>
      <name val="Arial"/>
      <family val="2"/>
    </font>
    <font>
      <b/>
      <u val="singleAccounting"/>
      <sz val="48"/>
      <color rgb="FFFF0000"/>
      <name val="Microsoft Uighur"/>
    </font>
    <font>
      <b/>
      <sz val="26"/>
      <color rgb="FFC00000"/>
      <name val="Calibri"/>
      <family val="2"/>
      <scheme val="minor"/>
    </font>
    <font>
      <b/>
      <sz val="26"/>
      <color rgb="FF314D44"/>
      <name val="Calibri"/>
      <family val="2"/>
      <scheme val="minor"/>
    </font>
    <font>
      <sz val="15"/>
      <color theme="0"/>
      <name val="Calibri"/>
      <family val="2"/>
      <charset val="178"/>
      <scheme val="minor"/>
    </font>
    <font>
      <b/>
      <u/>
      <sz val="15"/>
      <color theme="0"/>
      <name val="PT Bold Heading"/>
      <charset val="178"/>
    </font>
    <font>
      <b/>
      <u/>
      <sz val="20"/>
      <color theme="0"/>
      <name val="Calibri"/>
      <family val="2"/>
      <scheme val="minor"/>
    </font>
    <font>
      <b/>
      <u/>
      <sz val="24"/>
      <color theme="0"/>
      <name val="Calibri"/>
      <family val="2"/>
      <scheme val="minor"/>
    </font>
    <font>
      <b/>
      <u/>
      <sz val="22"/>
      <color theme="0"/>
      <name val="PT Bold Heading"/>
      <charset val="178"/>
    </font>
    <font>
      <b/>
      <u/>
      <sz val="48"/>
      <color theme="1"/>
      <name val="Calibri"/>
      <family val="2"/>
      <scheme val="minor"/>
    </font>
    <font>
      <b/>
      <u val="singleAccounting"/>
      <sz val="16"/>
      <color rgb="FFC00000"/>
      <name val="Arial Black"/>
      <family val="2"/>
    </font>
    <font>
      <b/>
      <u/>
      <sz val="18"/>
      <color rgb="FF002060"/>
      <name val="Arial Black"/>
      <family val="2"/>
    </font>
    <font>
      <b/>
      <u/>
      <sz val="18"/>
      <color rgb="FFC00000"/>
      <name val="Arial Black"/>
      <family val="2"/>
    </font>
    <font>
      <b/>
      <u/>
      <sz val="18"/>
      <color theme="1"/>
      <name val="Arial Black"/>
      <family val="2"/>
    </font>
    <font>
      <b/>
      <u val="double"/>
      <sz val="24"/>
      <color rgb="FF002060"/>
      <name val="Akhbar MT"/>
      <charset val="178"/>
    </font>
    <font>
      <b/>
      <u val="double"/>
      <sz val="22"/>
      <color rgb="FFC00000"/>
      <name val="Akhbar MT"/>
      <charset val="178"/>
    </font>
    <font>
      <b/>
      <u val="double"/>
      <sz val="22"/>
      <color theme="1"/>
      <name val="Akhbar MT"/>
      <charset val="178"/>
    </font>
    <font>
      <b/>
      <sz val="18"/>
      <color indexed="81"/>
      <name val="Calibri"/>
      <family val="2"/>
      <scheme val="minor"/>
    </font>
    <font>
      <b/>
      <u val="singleAccounting"/>
      <sz val="18"/>
      <color rgb="FF00B0F0"/>
      <name val="Arial Black"/>
      <family val="2"/>
    </font>
    <font>
      <sz val="16"/>
      <color rgb="FFC00000"/>
      <name val="Wingdings"/>
      <charset val="2"/>
    </font>
    <font>
      <b/>
      <sz val="11"/>
      <color theme="1"/>
      <name val="Calibri"/>
      <family val="2"/>
      <charset val="178"/>
      <scheme val="minor"/>
    </font>
    <font>
      <b/>
      <u/>
      <sz val="18"/>
      <color theme="1"/>
      <name val="Akhbar MT"/>
      <charset val="178"/>
    </font>
    <font>
      <b/>
      <sz val="14"/>
      <color theme="1"/>
      <name val="Calibri"/>
      <family val="2"/>
      <charset val="178"/>
      <scheme val="minor"/>
    </font>
    <font>
      <b/>
      <sz val="14"/>
      <color theme="1"/>
      <name val="Arial Black"/>
      <family val="2"/>
    </font>
    <font>
      <b/>
      <u/>
      <sz val="20"/>
      <color theme="1"/>
      <name val="Akhbar MT"/>
      <charset val="178"/>
    </font>
    <font>
      <b/>
      <sz val="20"/>
      <color theme="0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8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color rgb="FF002060"/>
      <name val="Calibri"/>
      <family val="2"/>
      <scheme val="minor"/>
    </font>
    <font>
      <b/>
      <u/>
      <sz val="18"/>
      <color rgb="FF006600"/>
      <name val="Calibri"/>
      <family val="2"/>
      <scheme val="minor"/>
    </font>
    <font>
      <b/>
      <u/>
      <sz val="18"/>
      <color rgb="FFC00000"/>
      <name val="Calibri"/>
      <family val="2"/>
      <scheme val="minor"/>
    </font>
    <font>
      <b/>
      <u/>
      <sz val="18"/>
      <color rgb="FF7030A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u val="double"/>
      <sz val="16"/>
      <color rgb="FFC00000"/>
      <name val="Calibri"/>
      <family val="2"/>
      <scheme val="minor"/>
    </font>
    <font>
      <b/>
      <u/>
      <sz val="16"/>
      <color rgb="FFC00000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2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6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u/>
      <sz val="14"/>
      <color theme="10"/>
      <name val="Calibri"/>
      <family val="2"/>
    </font>
    <font>
      <u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i/>
      <u/>
      <sz val="9"/>
      <color indexed="81"/>
      <name val="Tahoma"/>
      <family val="2"/>
    </font>
    <font>
      <b/>
      <sz val="24"/>
      <color indexed="81"/>
      <name val="Akhbar MT"/>
      <charset val="178"/>
    </font>
    <font>
      <b/>
      <sz val="9"/>
      <color indexed="81"/>
      <name val="Calibri"/>
      <family val="2"/>
    </font>
    <font>
      <b/>
      <u/>
      <sz val="20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rgb="FFC00000"/>
      <name val="Calibri"/>
      <family val="2"/>
      <scheme val="minor"/>
    </font>
    <font>
      <b/>
      <u val="singleAccounting"/>
      <sz val="14"/>
      <color rgb="FFC00000"/>
      <name val="Calibri"/>
      <family val="2"/>
      <scheme val="minor"/>
    </font>
    <font>
      <b/>
      <u/>
      <sz val="12"/>
      <color theme="10"/>
      <name val="Calibri"/>
      <family val="2"/>
    </font>
    <font>
      <b/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6"/>
      <color theme="10"/>
      <name val="Calibri"/>
      <family val="2"/>
    </font>
    <font>
      <sz val="24"/>
      <color rgb="FF000000"/>
      <name val="PT Bold Heading"/>
      <charset val="178"/>
    </font>
    <font>
      <b/>
      <u/>
      <sz val="16"/>
      <color theme="1"/>
      <name val="Akhbar MT"/>
      <charset val="178"/>
    </font>
    <font>
      <b/>
      <u/>
      <sz val="11"/>
      <color theme="10"/>
      <name val="Calibri"/>
      <family val="2"/>
    </font>
    <font>
      <b/>
      <u val="double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Arial"/>
      <family val="2"/>
    </font>
    <font>
      <sz val="16"/>
      <color theme="0"/>
      <name val="Calibri"/>
      <family val="2"/>
      <scheme val="minor"/>
    </font>
    <font>
      <b/>
      <u/>
      <sz val="26"/>
      <name val="Calibri"/>
      <family val="2"/>
      <scheme val="minor"/>
    </font>
    <font>
      <b/>
      <sz val="26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6" tint="0.79998168889431442"/>
      </patternFill>
    </fill>
    <fill>
      <patternFill patternType="solid">
        <fgColor theme="0"/>
        <bgColor indexed="64"/>
      </patternFill>
    </fill>
  </fills>
  <borders count="1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auto="1"/>
      </top>
      <bottom style="medium">
        <color indexed="64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C00000"/>
      </left>
      <right style="thick">
        <color rgb="FFC00000"/>
      </right>
      <top style="thin">
        <color rgb="FFC00000"/>
      </top>
      <bottom style="thick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ck">
        <color rgb="FFC00000"/>
      </bottom>
      <diagonal/>
    </border>
    <border>
      <left style="thin">
        <color rgb="FF00B050"/>
      </left>
      <right style="thick">
        <color rgb="FFC00000"/>
      </right>
      <top style="thin">
        <color rgb="FF00B050"/>
      </top>
      <bottom style="thick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ck">
        <color rgb="FF00B050"/>
      </bottom>
      <diagonal/>
    </border>
    <border>
      <left style="thin">
        <color rgb="FFC00000"/>
      </left>
      <right style="thick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00B050"/>
      </left>
      <right style="thick">
        <color rgb="FFC0000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00000"/>
      </left>
      <right style="thick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ck">
        <color rgb="FFC00000"/>
      </left>
      <right style="thin">
        <color rgb="FFC00000"/>
      </right>
      <top style="thick">
        <color rgb="FFC00000"/>
      </top>
      <bottom style="thin">
        <color rgb="FFC00000"/>
      </bottom>
      <diagonal/>
    </border>
    <border>
      <left style="thin">
        <color rgb="FF00B050"/>
      </left>
      <right style="thick">
        <color rgb="FFC00000"/>
      </right>
      <top style="thick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ck">
        <color rgb="FF00B050"/>
      </top>
      <bottom style="thin">
        <color rgb="FF00B050"/>
      </bottom>
      <diagonal/>
    </border>
    <border>
      <left style="thick">
        <color rgb="FF00B050"/>
      </left>
      <right style="thin">
        <color rgb="FF00B050"/>
      </right>
      <top style="thick">
        <color rgb="FF00B050"/>
      </top>
      <bottom style="thin">
        <color rgb="FF00B050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double">
        <color rgb="FF0070C0"/>
      </right>
      <top/>
      <bottom style="double">
        <color rgb="FF0070C0"/>
      </bottom>
      <diagonal/>
    </border>
    <border>
      <left style="double">
        <color rgb="FF0070C0"/>
      </left>
      <right style="double">
        <color rgb="FF0070C0"/>
      </right>
      <top/>
      <bottom style="double">
        <color rgb="FF0070C0"/>
      </bottom>
      <diagonal/>
    </border>
    <border>
      <left style="double">
        <color rgb="FF0070C0"/>
      </left>
      <right style="double">
        <color rgb="FF0070C0"/>
      </right>
      <top/>
      <bottom/>
      <diagonal/>
    </border>
    <border>
      <left style="double">
        <color rgb="FF0070C0"/>
      </left>
      <right/>
      <top/>
      <bottom style="double">
        <color rgb="FF0070C0"/>
      </bottom>
      <diagonal/>
    </border>
    <border>
      <left/>
      <right style="dashed">
        <color rgb="FF0070C0"/>
      </right>
      <top style="dashed">
        <color rgb="FF0070C0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dashed">
        <color rgb="FF0070C0"/>
      </bottom>
      <diagonal/>
    </border>
    <border>
      <left/>
      <right/>
      <top/>
      <bottom style="dashed">
        <color rgb="FF0070C0"/>
      </bottom>
      <diagonal/>
    </border>
    <border>
      <left style="dashed">
        <color rgb="FF0070C0"/>
      </left>
      <right/>
      <top style="dashed">
        <color rgb="FF0070C0"/>
      </top>
      <bottom style="dashed">
        <color rgb="FF0070C0"/>
      </bottom>
      <diagonal/>
    </border>
    <border>
      <left style="medium">
        <color rgb="FFC00000"/>
      </left>
      <right style="medium">
        <color rgb="FFC00000"/>
      </right>
      <top style="dashed">
        <color rgb="FF0070C0"/>
      </top>
      <bottom/>
      <diagonal/>
    </border>
    <border>
      <left/>
      <right/>
      <top style="dashed">
        <color rgb="FF0070C0"/>
      </top>
      <bottom/>
      <diagonal/>
    </border>
    <border>
      <left style="dashed">
        <color rgb="FF0070C0"/>
      </left>
      <right/>
      <top style="dashed">
        <color rgb="FF0070C0"/>
      </top>
      <bottom/>
      <diagonal/>
    </border>
    <border>
      <left style="medium">
        <color rgb="FFC0000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/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medium">
        <color rgb="FFC00000"/>
      </right>
      <top style="dashed">
        <color rgb="FF0070C0"/>
      </top>
      <bottom style="dashed">
        <color rgb="FF0070C0"/>
      </bottom>
      <diagonal/>
    </border>
    <border>
      <left style="medium">
        <color rgb="FFC00000"/>
      </left>
      <right style="medium">
        <color rgb="FFC00000"/>
      </right>
      <top style="dashed">
        <color rgb="FF0070C0"/>
      </top>
      <bottom style="dashed">
        <color theme="3" tint="0.59996337778862885"/>
      </bottom>
      <diagonal/>
    </border>
    <border>
      <left style="medium">
        <color rgb="FFC00000"/>
      </left>
      <right style="medium">
        <color rgb="FFC00000"/>
      </right>
      <top style="dashed">
        <color theme="3" tint="0.59996337778862885"/>
      </top>
      <bottom style="dashed">
        <color theme="3" tint="0.59996337778862885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/>
      <diagonal/>
    </border>
    <border>
      <left style="medium">
        <color rgb="FFC00000"/>
      </left>
      <right style="medium">
        <color rgb="FFC00000"/>
      </right>
      <top style="dashed">
        <color theme="3" tint="0.59996337778862885"/>
      </top>
      <bottom/>
      <diagonal/>
    </border>
    <border>
      <left style="medium">
        <color rgb="FFC00000"/>
      </left>
      <right style="dashed">
        <color rgb="FF0070C0"/>
      </right>
      <top style="dashed">
        <color rgb="FF0070C0"/>
      </top>
      <bottom/>
      <diagonal/>
    </border>
    <border>
      <left style="dashed">
        <color rgb="FF0070C0"/>
      </left>
      <right style="medium">
        <color rgb="FFC00000"/>
      </right>
      <top style="dashed">
        <color rgb="FF0070C0"/>
      </top>
      <bottom/>
      <diagonal/>
    </border>
    <border>
      <left/>
      <right/>
      <top/>
      <bottom style="double">
        <color rgb="FF0070C0"/>
      </bottom>
      <diagonal/>
    </border>
    <border>
      <left/>
      <right/>
      <top style="double">
        <color rgb="FF0070C0"/>
      </top>
      <bottom style="double">
        <color rgb="FF0070C0"/>
      </bottom>
      <diagonal/>
    </border>
  </borders>
  <cellStyleXfs count="21">
    <xf numFmtId="171" fontId="0" fillId="0" borderId="0"/>
    <xf numFmtId="171" fontId="5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171" fontId="11" fillId="0" borderId="0"/>
    <xf numFmtId="171" fontId="3" fillId="0" borderId="0">
      <alignment vertical="center"/>
    </xf>
    <xf numFmtId="171" fontId="12" fillId="0" borderId="0"/>
    <xf numFmtId="9" fontId="11" fillId="0" borderId="0" applyFont="0" applyFill="0" applyBorder="0" applyAlignment="0" applyProtection="0"/>
    <xf numFmtId="171" fontId="13" fillId="0" borderId="0"/>
    <xf numFmtId="171" fontId="16" fillId="0" borderId="0" applyNumberFormat="0" applyFill="0" applyBorder="0" applyAlignment="0" applyProtection="0">
      <alignment vertical="top"/>
      <protection locked="0"/>
    </xf>
    <xf numFmtId="171" fontId="3" fillId="0" borderId="0"/>
    <xf numFmtId="171" fontId="22" fillId="0" borderId="0">
      <alignment vertical="top"/>
    </xf>
    <xf numFmtId="166" fontId="11" fillId="0" borderId="0" applyFont="0" applyFill="0" applyBorder="0" applyAlignment="0" applyProtection="0"/>
    <xf numFmtId="166" fontId="3" fillId="0" borderId="0" applyFont="0" applyFill="0" applyBorder="0" applyAlignment="0" applyProtection="0"/>
    <xf numFmtId="171" fontId="2" fillId="0" borderId="0"/>
    <xf numFmtId="166" fontId="2" fillId="0" borderId="0" applyFont="0" applyFill="0" applyBorder="0" applyAlignment="0" applyProtection="0"/>
    <xf numFmtId="171" fontId="1" fillId="0" borderId="0"/>
    <xf numFmtId="165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71" fontId="3" fillId="0" borderId="0"/>
    <xf numFmtId="43" fontId="3" fillId="0" borderId="0" applyFont="0" applyFill="0" applyBorder="0" applyAlignment="0" applyProtection="0"/>
    <xf numFmtId="174" fontId="1" fillId="0" borderId="0"/>
  </cellStyleXfs>
  <cellXfs count="784">
    <xf numFmtId="171" fontId="0" fillId="0" borderId="0" xfId="0"/>
    <xf numFmtId="171" fontId="7" fillId="0" borderId="0" xfId="0" applyFont="1" applyAlignment="1">
      <alignment horizontal="center" vertical="center" shrinkToFit="1"/>
    </xf>
    <xf numFmtId="171" fontId="9" fillId="0" borderId="0" xfId="0" applyFont="1" applyAlignment="1">
      <alignment horizontal="center" vertical="center" shrinkToFit="1"/>
    </xf>
    <xf numFmtId="4" fontId="7" fillId="0" borderId="0" xfId="0" applyNumberFormat="1" applyFont="1" applyAlignment="1">
      <alignment horizontal="right" vertical="center" shrinkToFit="1"/>
    </xf>
    <xf numFmtId="171" fontId="7" fillId="0" borderId="0" xfId="0" applyFont="1" applyAlignment="1">
      <alignment horizontal="right" vertical="center" shrinkToFit="1"/>
    </xf>
    <xf numFmtId="171" fontId="11" fillId="0" borderId="0" xfId="3"/>
    <xf numFmtId="171" fontId="14" fillId="0" borderId="0" xfId="3" applyFont="1" applyAlignment="1">
      <alignment vertical="center" wrapText="1"/>
    </xf>
    <xf numFmtId="171" fontId="14" fillId="0" borderId="0" xfId="3" applyFont="1" applyAlignment="1">
      <alignment horizontal="center" vertical="center" wrapText="1"/>
    </xf>
    <xf numFmtId="171" fontId="11" fillId="0" borderId="0" xfId="3" applyAlignment="1">
      <alignment horizontal="center" vertical="center"/>
    </xf>
    <xf numFmtId="171" fontId="17" fillId="0" borderId="29" xfId="3" applyFont="1" applyBorder="1" applyAlignment="1">
      <alignment horizontal="center" vertical="center"/>
    </xf>
    <xf numFmtId="171" fontId="17" fillId="0" borderId="20" xfId="3" applyFont="1" applyBorder="1" applyAlignment="1">
      <alignment horizontal="center" vertical="center"/>
    </xf>
    <xf numFmtId="14" fontId="17" fillId="0" borderId="20" xfId="3" applyNumberFormat="1" applyFont="1" applyBorder="1" applyAlignment="1">
      <alignment horizontal="center" vertical="center"/>
    </xf>
    <xf numFmtId="171" fontId="17" fillId="0" borderId="30" xfId="3" applyFont="1" applyBorder="1" applyAlignment="1">
      <alignment horizontal="center" vertical="center"/>
    </xf>
    <xf numFmtId="171" fontId="17" fillId="0" borderId="31" xfId="3" applyFont="1" applyBorder="1" applyAlignment="1">
      <alignment horizontal="center" vertical="center"/>
    </xf>
    <xf numFmtId="171" fontId="17" fillId="0" borderId="35" xfId="3" applyFont="1" applyBorder="1" applyAlignment="1">
      <alignment vertical="center"/>
    </xf>
    <xf numFmtId="3" fontId="17" fillId="0" borderId="35" xfId="3" applyNumberFormat="1" applyFont="1" applyBorder="1" applyAlignment="1">
      <alignment vertical="center"/>
    </xf>
    <xf numFmtId="3" fontId="20" fillId="0" borderId="37" xfId="3" applyNumberFormat="1" applyFont="1" applyBorder="1" applyAlignment="1">
      <alignment horizontal="center" vertical="center"/>
    </xf>
    <xf numFmtId="171" fontId="17" fillId="0" borderId="11" xfId="3" applyFont="1" applyBorder="1" applyAlignment="1">
      <alignment horizontal="center" vertical="center"/>
    </xf>
    <xf numFmtId="171" fontId="17" fillId="0" borderId="43" xfId="3" applyFont="1" applyBorder="1" applyAlignment="1">
      <alignment horizontal="center" vertical="center"/>
    </xf>
    <xf numFmtId="171" fontId="17" fillId="0" borderId="44" xfId="3" applyFont="1" applyBorder="1" applyAlignment="1">
      <alignment horizontal="center" vertical="center"/>
    </xf>
    <xf numFmtId="171" fontId="17" fillId="0" borderId="0" xfId="3" applyFont="1" applyAlignment="1">
      <alignment horizontal="center" vertical="center"/>
    </xf>
    <xf numFmtId="171" fontId="17" fillId="0" borderId="45" xfId="3" applyFont="1" applyBorder="1" applyAlignment="1">
      <alignment horizontal="center" vertical="center"/>
    </xf>
    <xf numFmtId="171" fontId="17" fillId="0" borderId="46" xfId="3" applyFont="1" applyBorder="1" applyAlignment="1">
      <alignment horizontal="right" vertical="center"/>
    </xf>
    <xf numFmtId="4" fontId="17" fillId="0" borderId="46" xfId="3" applyNumberFormat="1" applyFont="1" applyBorder="1" applyAlignment="1">
      <alignment horizontal="center" vertical="center"/>
    </xf>
    <xf numFmtId="4" fontId="17" fillId="0" borderId="47" xfId="3" applyNumberFormat="1" applyFont="1" applyBorder="1" applyAlignment="1">
      <alignment horizontal="center" vertical="center"/>
    </xf>
    <xf numFmtId="171" fontId="17" fillId="0" borderId="8" xfId="3" applyFont="1" applyBorder="1" applyAlignment="1">
      <alignment horizontal="right" vertical="center"/>
    </xf>
    <xf numFmtId="171" fontId="17" fillId="0" borderId="5" xfId="3" applyFont="1" applyBorder="1" applyAlignment="1">
      <alignment horizontal="center" vertical="center"/>
    </xf>
    <xf numFmtId="171" fontId="17" fillId="0" borderId="6" xfId="3" applyFont="1" applyBorder="1" applyAlignment="1">
      <alignment horizontal="right" vertical="center"/>
    </xf>
    <xf numFmtId="4" fontId="17" fillId="0" borderId="48" xfId="3" applyNumberFormat="1" applyFont="1" applyBorder="1" applyAlignment="1">
      <alignment horizontal="center" vertical="center"/>
    </xf>
    <xf numFmtId="4" fontId="17" fillId="0" borderId="44" xfId="3" applyNumberFormat="1" applyFont="1" applyBorder="1" applyAlignment="1">
      <alignment horizontal="center" vertical="center"/>
    </xf>
    <xf numFmtId="171" fontId="17" fillId="0" borderId="42" xfId="3" applyFont="1" applyBorder="1" applyAlignment="1">
      <alignment horizontal="right" vertical="center"/>
    </xf>
    <xf numFmtId="4" fontId="17" fillId="0" borderId="41" xfId="3" applyNumberFormat="1" applyFont="1" applyBorder="1" applyAlignment="1">
      <alignment horizontal="center" vertical="center"/>
    </xf>
    <xf numFmtId="4" fontId="17" fillId="0" borderId="52" xfId="3" applyNumberFormat="1" applyFont="1" applyBorder="1" applyAlignment="1">
      <alignment horizontal="center" vertical="center"/>
    </xf>
    <xf numFmtId="4" fontId="0" fillId="0" borderId="0" xfId="0" applyNumberFormat="1"/>
    <xf numFmtId="171" fontId="10" fillId="5" borderId="1" xfId="0" applyFont="1" applyFill="1" applyBorder="1" applyAlignment="1">
      <alignment horizontal="center" vertical="center" shrinkToFit="1"/>
    </xf>
    <xf numFmtId="171" fontId="0" fillId="0" borderId="38" xfId="0" applyBorder="1" applyAlignment="1">
      <alignment horizontal="center" vertical="center"/>
    </xf>
    <xf numFmtId="4" fontId="9" fillId="11" borderId="53" xfId="0" applyNumberFormat="1" applyFont="1" applyFill="1" applyBorder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1" fontId="0" fillId="0" borderId="0" xfId="0" applyAlignment="1">
      <alignment horizontal="right" vertical="center"/>
    </xf>
    <xf numFmtId="37" fontId="0" fillId="0" borderId="0" xfId="0" applyNumberFormat="1" applyAlignment="1">
      <alignment horizontal="center" vertical="center"/>
    </xf>
    <xf numFmtId="171" fontId="0" fillId="0" borderId="56" xfId="0" applyBorder="1"/>
    <xf numFmtId="1" fontId="17" fillId="0" borderId="34" xfId="3" applyNumberFormat="1" applyFont="1" applyBorder="1" applyAlignment="1">
      <alignment horizontal="center" vertical="center"/>
    </xf>
    <xf numFmtId="171" fontId="27" fillId="0" borderId="0" xfId="0" applyFont="1"/>
    <xf numFmtId="171" fontId="19" fillId="0" borderId="56" xfId="0" applyFont="1" applyBorder="1" applyAlignment="1">
      <alignment horizontal="right" vertical="center"/>
    </xf>
    <xf numFmtId="171" fontId="19" fillId="0" borderId="0" xfId="0" applyFont="1" applyAlignment="1">
      <alignment horizontal="right" vertical="center"/>
    </xf>
    <xf numFmtId="171" fontId="4" fillId="0" borderId="56" xfId="0" applyFont="1" applyBorder="1" applyAlignment="1">
      <alignment horizontal="center" vertical="center"/>
    </xf>
    <xf numFmtId="171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55" xfId="0" applyNumberFormat="1" applyFont="1" applyBorder="1" applyAlignment="1">
      <alignment horizontal="center" vertical="center"/>
    </xf>
    <xf numFmtId="37" fontId="4" fillId="0" borderId="0" xfId="0" applyNumberFormat="1" applyFont="1" applyAlignment="1">
      <alignment horizontal="center" vertical="center"/>
    </xf>
    <xf numFmtId="171" fontId="19" fillId="0" borderId="0" xfId="0" applyFont="1"/>
    <xf numFmtId="171" fontId="19" fillId="0" borderId="56" xfId="0" applyFont="1" applyBorder="1"/>
    <xf numFmtId="171" fontId="19" fillId="0" borderId="56" xfId="0" applyFont="1" applyBorder="1" applyAlignment="1">
      <alignment horizontal="center" vertical="center"/>
    </xf>
    <xf numFmtId="171" fontId="20" fillId="0" borderId="56" xfId="0" applyFont="1" applyBorder="1" applyAlignment="1">
      <alignment horizontal="right" vertical="center"/>
    </xf>
    <xf numFmtId="171" fontId="4" fillId="0" borderId="0" xfId="0" applyFont="1"/>
    <xf numFmtId="37" fontId="4" fillId="0" borderId="54" xfId="0" applyNumberFormat="1" applyFont="1" applyBorder="1" applyAlignment="1">
      <alignment horizontal="center" vertical="center"/>
    </xf>
    <xf numFmtId="171" fontId="4" fillId="0" borderId="56" xfId="0" applyFont="1" applyBorder="1"/>
    <xf numFmtId="171" fontId="19" fillId="0" borderId="55" xfId="0" applyFont="1" applyBorder="1" applyAlignment="1">
      <alignment horizontal="right" vertical="center"/>
    </xf>
    <xf numFmtId="37" fontId="4" fillId="0" borderId="55" xfId="0" applyNumberFormat="1" applyFont="1" applyBorder="1" applyAlignment="1">
      <alignment horizontal="center" vertical="center"/>
    </xf>
    <xf numFmtId="1" fontId="17" fillId="0" borderId="7" xfId="3" applyNumberFormat="1" applyFont="1" applyBorder="1" applyAlignment="1">
      <alignment horizontal="center" vertical="center"/>
    </xf>
    <xf numFmtId="1" fontId="17" fillId="0" borderId="10" xfId="3" applyNumberFormat="1" applyFont="1" applyBorder="1" applyAlignment="1">
      <alignment horizontal="center" vertical="center"/>
    </xf>
    <xf numFmtId="4" fontId="9" fillId="12" borderId="58" xfId="0" applyNumberFormat="1" applyFont="1" applyFill="1" applyBorder="1" applyAlignment="1">
      <alignment horizontal="right" vertical="center" shrinkToFit="1"/>
    </xf>
    <xf numFmtId="4" fontId="9" fillId="12" borderId="59" xfId="0" applyNumberFormat="1" applyFont="1" applyFill="1" applyBorder="1" applyAlignment="1">
      <alignment horizontal="right" vertical="center" shrinkToFit="1"/>
    </xf>
    <xf numFmtId="4" fontId="9" fillId="12" borderId="60" xfId="0" applyNumberFormat="1" applyFont="1" applyFill="1" applyBorder="1" applyAlignment="1">
      <alignment horizontal="center" vertical="center" shrinkToFit="1"/>
    </xf>
    <xf numFmtId="171" fontId="28" fillId="12" borderId="57" xfId="0" applyFont="1" applyFill="1" applyBorder="1" applyAlignment="1">
      <alignment horizontal="center" vertical="center" shrinkToFit="1"/>
    </xf>
    <xf numFmtId="171" fontId="0" fillId="0" borderId="0" xfId="0" applyAlignment="1">
      <alignment readingOrder="2"/>
    </xf>
    <xf numFmtId="171" fontId="0" fillId="0" borderId="0" xfId="0" applyAlignment="1">
      <alignment horizontal="center" vertical="center" readingOrder="2"/>
    </xf>
    <xf numFmtId="171" fontId="30" fillId="0" borderId="0" xfId="0" applyFont="1" applyAlignment="1">
      <alignment horizontal="right" vertical="center"/>
    </xf>
    <xf numFmtId="171" fontId="31" fillId="0" borderId="0" xfId="0" applyFont="1" applyAlignment="1">
      <alignment horizontal="right" vertical="center"/>
    </xf>
    <xf numFmtId="171" fontId="0" fillId="0" borderId="53" xfId="0" applyBorder="1"/>
    <xf numFmtId="171" fontId="32" fillId="0" borderId="53" xfId="0" applyFont="1" applyBorder="1" applyAlignment="1">
      <alignment horizontal="right" vertical="center"/>
    </xf>
    <xf numFmtId="171" fontId="4" fillId="0" borderId="53" xfId="0" applyFont="1" applyBorder="1"/>
    <xf numFmtId="171" fontId="4" fillId="0" borderId="53" xfId="0" applyFont="1" applyBorder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3" fontId="19" fillId="0" borderId="55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readingOrder="2"/>
    </xf>
    <xf numFmtId="171" fontId="4" fillId="0" borderId="0" xfId="0" applyFont="1" applyAlignment="1">
      <alignment horizontal="center" vertical="center" readingOrder="2"/>
    </xf>
    <xf numFmtId="37" fontId="4" fillId="0" borderId="0" xfId="0" applyNumberFormat="1" applyFont="1" applyAlignment="1">
      <alignment horizontal="center" vertical="center" readingOrder="2"/>
    </xf>
    <xf numFmtId="1" fontId="0" fillId="0" borderId="5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171" fontId="29" fillId="0" borderId="0" xfId="0" applyFont="1" applyBorder="1" applyAlignment="1">
      <alignment horizontal="right" readingOrder="2"/>
    </xf>
    <xf numFmtId="171" fontId="30" fillId="0" borderId="0" xfId="0" applyFont="1"/>
    <xf numFmtId="171" fontId="26" fillId="0" borderId="0" xfId="0" applyFont="1"/>
    <xf numFmtId="3" fontId="26" fillId="0" borderId="0" xfId="12" applyNumberFormat="1" applyFont="1" applyAlignment="1">
      <alignment horizontal="center" vertical="center"/>
    </xf>
    <xf numFmtId="1" fontId="35" fillId="0" borderId="0" xfId="0" applyNumberFormat="1" applyFont="1" applyAlignment="1">
      <alignment horizontal="center" vertical="center"/>
    </xf>
    <xf numFmtId="171" fontId="30" fillId="0" borderId="0" xfId="0" applyFont="1" applyBorder="1" applyAlignment="1">
      <alignment horizontal="right" readingOrder="2"/>
    </xf>
    <xf numFmtId="171" fontId="33" fillId="0" borderId="0" xfId="0" applyFont="1" applyBorder="1" applyAlignment="1">
      <alignment horizontal="right" readingOrder="2"/>
    </xf>
    <xf numFmtId="171" fontId="0" fillId="0" borderId="0" xfId="0" applyBorder="1"/>
    <xf numFmtId="166" fontId="0" fillId="0" borderId="0" xfId="12" applyFont="1" applyAlignment="1">
      <alignment horizontal="center" vertical="center"/>
    </xf>
    <xf numFmtId="171" fontId="31" fillId="0" borderId="0" xfId="0" applyFont="1"/>
    <xf numFmtId="171" fontId="24" fillId="0" borderId="53" xfId="0" applyFont="1" applyBorder="1"/>
    <xf numFmtId="171" fontId="31" fillId="0" borderId="0" xfId="0" applyFont="1" applyBorder="1" applyAlignment="1">
      <alignment horizontal="right" readingOrder="2"/>
    </xf>
    <xf numFmtId="171" fontId="31" fillId="0" borderId="21" xfId="3" applyFont="1" applyBorder="1" applyAlignment="1">
      <alignment horizontal="center" vertical="center"/>
    </xf>
    <xf numFmtId="171" fontId="31" fillId="0" borderId="21" xfId="3" applyFont="1" applyBorder="1" applyAlignment="1">
      <alignment horizontal="center" vertical="center" wrapText="1"/>
    </xf>
    <xf numFmtId="171" fontId="33" fillId="0" borderId="21" xfId="3" applyFont="1" applyBorder="1" applyAlignment="1">
      <alignment horizontal="center" vertical="center" wrapText="1"/>
    </xf>
    <xf numFmtId="171" fontId="31" fillId="0" borderId="22" xfId="3" applyFont="1" applyBorder="1" applyAlignment="1">
      <alignment horizontal="center" vertical="center" wrapText="1"/>
    </xf>
    <xf numFmtId="171" fontId="24" fillId="0" borderId="21" xfId="3" applyFont="1" applyBorder="1" applyAlignment="1">
      <alignment horizontal="right" vertical="center"/>
    </xf>
    <xf numFmtId="171" fontId="38" fillId="0" borderId="0" xfId="3" applyFont="1" applyAlignment="1">
      <alignment horizontal="center" vertical="center"/>
    </xf>
    <xf numFmtId="171" fontId="0" fillId="0" borderId="61" xfId="0" applyBorder="1"/>
    <xf numFmtId="166" fontId="39" fillId="0" borderId="0" xfId="12" applyFont="1" applyAlignment="1">
      <alignment horizontal="center" vertical="center" shrinkToFit="1"/>
    </xf>
    <xf numFmtId="168" fontId="0" fillId="0" borderId="0" xfId="0" applyNumberFormat="1" applyAlignment="1">
      <alignment horizontal="center" vertical="center"/>
    </xf>
    <xf numFmtId="171" fontId="40" fillId="0" borderId="0" xfId="0" applyFont="1"/>
    <xf numFmtId="171" fontId="41" fillId="0" borderId="0" xfId="0" applyFont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171" fontId="30" fillId="0" borderId="0" xfId="0" applyFont="1" applyAlignment="1">
      <alignment vertical="center"/>
    </xf>
    <xf numFmtId="171" fontId="0" fillId="0" borderId="0" xfId="0" applyAlignment="1">
      <alignment vertical="center"/>
    </xf>
    <xf numFmtId="171" fontId="40" fillId="0" borderId="0" xfId="0" applyFont="1" applyAlignment="1">
      <alignment vertical="center"/>
    </xf>
    <xf numFmtId="171" fontId="4" fillId="0" borderId="0" xfId="0" applyFont="1" applyAlignment="1">
      <alignment vertical="center"/>
    </xf>
    <xf numFmtId="171" fontId="31" fillId="0" borderId="0" xfId="0" applyFont="1" applyAlignment="1">
      <alignment vertical="center"/>
    </xf>
    <xf numFmtId="171" fontId="9" fillId="0" borderId="0" xfId="0" applyFont="1" applyAlignment="1">
      <alignment horizontal="center" vertical="center" shrinkToFit="1"/>
    </xf>
    <xf numFmtId="171" fontId="6" fillId="2" borderId="0" xfId="0" applyFont="1" applyFill="1" applyAlignment="1">
      <alignment horizontal="center" vertical="center" shrinkToFit="1" readingOrder="2"/>
    </xf>
    <xf numFmtId="171" fontId="6" fillId="2" borderId="0" xfId="0" applyFont="1" applyFill="1" applyAlignment="1">
      <alignment horizontal="center" vertical="center" shrinkToFit="1"/>
    </xf>
    <xf numFmtId="171" fontId="8" fillId="0" borderId="1" xfId="0" applyFont="1" applyBorder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" fontId="0" fillId="0" borderId="61" xfId="0" applyNumberFormat="1" applyBorder="1" applyAlignment="1">
      <alignment horizontal="center" vertical="center"/>
    </xf>
    <xf numFmtId="168" fontId="0" fillId="0" borderId="0" xfId="12" applyNumberFormat="1" applyFont="1" applyAlignment="1">
      <alignment horizontal="center" vertical="center"/>
    </xf>
    <xf numFmtId="4" fontId="9" fillId="0" borderId="7" xfId="0" applyNumberFormat="1" applyFont="1" applyFill="1" applyBorder="1" applyAlignment="1">
      <alignment horizontal="right" vertical="center" shrinkToFit="1"/>
    </xf>
    <xf numFmtId="4" fontId="9" fillId="0" borderId="8" xfId="0" applyNumberFormat="1" applyFont="1" applyFill="1" applyBorder="1" applyAlignment="1">
      <alignment horizontal="right" vertical="center" shrinkToFit="1"/>
    </xf>
    <xf numFmtId="171" fontId="7" fillId="0" borderId="0" xfId="0" applyFont="1" applyFill="1" applyAlignment="1">
      <alignment horizontal="center" vertical="center" shrinkToFit="1"/>
    </xf>
    <xf numFmtId="171" fontId="42" fillId="0" borderId="9" xfId="0" applyFont="1" applyFill="1" applyBorder="1" applyAlignment="1">
      <alignment horizontal="center" vertical="center" shrinkToFit="1"/>
    </xf>
    <xf numFmtId="171" fontId="46" fillId="0" borderId="0" xfId="0" applyFont="1" applyAlignment="1">
      <alignment horizontal="right" vertical="center" shrinkToFit="1"/>
    </xf>
    <xf numFmtId="4" fontId="9" fillId="0" borderId="62" xfId="0" applyNumberFormat="1" applyFont="1" applyFill="1" applyBorder="1" applyAlignment="1">
      <alignment horizontal="right" vertical="center" shrinkToFit="1"/>
    </xf>
    <xf numFmtId="4" fontId="9" fillId="0" borderId="63" xfId="0" applyNumberFormat="1" applyFont="1" applyFill="1" applyBorder="1" applyAlignment="1">
      <alignment horizontal="right" vertical="center" shrinkToFit="1"/>
    </xf>
    <xf numFmtId="171" fontId="42" fillId="4" borderId="67" xfId="0" applyFont="1" applyFill="1" applyBorder="1" applyAlignment="1">
      <alignment horizontal="center" vertical="center" shrinkToFit="1"/>
    </xf>
    <xf numFmtId="171" fontId="42" fillId="5" borderId="68" xfId="0" applyFont="1" applyFill="1" applyBorder="1" applyAlignment="1">
      <alignment horizontal="center" vertical="center" shrinkToFit="1"/>
    </xf>
    <xf numFmtId="1" fontId="0" fillId="0" borderId="0" xfId="0" applyNumberFormat="1"/>
    <xf numFmtId="4" fontId="0" fillId="0" borderId="0" xfId="0" applyNumberFormat="1" applyFill="1"/>
    <xf numFmtId="171" fontId="0" fillId="0" borderId="50" xfId="0" applyBorder="1"/>
    <xf numFmtId="1" fontId="0" fillId="0" borderId="50" xfId="0" applyNumberFormat="1" applyBorder="1"/>
    <xf numFmtId="4" fontId="0" fillId="0" borderId="50" xfId="0" applyNumberFormat="1" applyBorder="1"/>
    <xf numFmtId="4" fontId="47" fillId="13" borderId="44" xfId="0" applyNumberFormat="1" applyFont="1" applyFill="1" applyBorder="1"/>
    <xf numFmtId="1" fontId="0" fillId="0" borderId="38" xfId="0" applyNumberFormat="1" applyFill="1" applyBorder="1"/>
    <xf numFmtId="171" fontId="0" fillId="0" borderId="38" xfId="0" applyFill="1" applyBorder="1"/>
    <xf numFmtId="4" fontId="0" fillId="0" borderId="38" xfId="0" applyNumberFormat="1" applyFill="1" applyBorder="1"/>
    <xf numFmtId="171" fontId="48" fillId="13" borderId="12" xfId="0" applyFont="1" applyFill="1" applyBorder="1" applyAlignment="1">
      <alignment horizontal="center" vertical="center"/>
    </xf>
    <xf numFmtId="1" fontId="48" fillId="0" borderId="45" xfId="0" applyNumberFormat="1" applyFont="1" applyBorder="1" applyAlignment="1">
      <alignment horizontal="center" vertical="center"/>
    </xf>
    <xf numFmtId="1" fontId="48" fillId="0" borderId="7" xfId="0" applyNumberFormat="1" applyFont="1" applyBorder="1" applyAlignment="1">
      <alignment horizontal="center" vertical="center"/>
    </xf>
    <xf numFmtId="1" fontId="48" fillId="0" borderId="5" xfId="0" applyNumberFormat="1" applyFont="1" applyBorder="1" applyAlignment="1">
      <alignment horizontal="center" vertical="center"/>
    </xf>
    <xf numFmtId="1" fontId="48" fillId="13" borderId="12" xfId="0" applyNumberFormat="1" applyFont="1" applyFill="1" applyBorder="1" applyAlignment="1">
      <alignment horizontal="center" vertical="center"/>
    </xf>
    <xf numFmtId="4" fontId="48" fillId="7" borderId="47" xfId="0" applyNumberFormat="1" applyFont="1" applyFill="1" applyBorder="1" applyAlignment="1">
      <alignment horizontal="center" vertical="center"/>
    </xf>
    <xf numFmtId="4" fontId="48" fillId="7" borderId="71" xfId="0" applyNumberFormat="1" applyFont="1" applyFill="1" applyBorder="1" applyAlignment="1">
      <alignment horizontal="center" vertical="center"/>
    </xf>
    <xf numFmtId="4" fontId="48" fillId="7" borderId="48" xfId="0" applyNumberFormat="1" applyFont="1" applyFill="1" applyBorder="1" applyAlignment="1">
      <alignment horizontal="center" vertical="center"/>
    </xf>
    <xf numFmtId="171" fontId="49" fillId="0" borderId="46" xfId="0" applyFont="1" applyBorder="1"/>
    <xf numFmtId="171" fontId="49" fillId="0" borderId="8" xfId="0" applyFont="1" applyBorder="1"/>
    <xf numFmtId="1" fontId="49" fillId="0" borderId="8" xfId="0" applyNumberFormat="1" applyFont="1" applyBorder="1"/>
    <xf numFmtId="171" fontId="49" fillId="0" borderId="6" xfId="0" applyFont="1" applyBorder="1"/>
    <xf numFmtId="1" fontId="19" fillId="0" borderId="45" xfId="0" applyNumberFormat="1" applyFont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1" fontId="19" fillId="0" borderId="5" xfId="0" applyNumberFormat="1" applyFont="1" applyBorder="1" applyAlignment="1">
      <alignment horizontal="center" vertical="center"/>
    </xf>
    <xf numFmtId="171" fontId="50" fillId="0" borderId="46" xfId="0" applyFont="1" applyBorder="1"/>
    <xf numFmtId="171" fontId="50" fillId="0" borderId="8" xfId="0" applyFont="1" applyBorder="1"/>
    <xf numFmtId="171" fontId="50" fillId="0" borderId="6" xfId="0" applyFont="1" applyBorder="1"/>
    <xf numFmtId="1" fontId="52" fillId="0" borderId="45" xfId="0" applyNumberFormat="1" applyFont="1" applyBorder="1"/>
    <xf numFmtId="1" fontId="52" fillId="0" borderId="7" xfId="0" applyNumberFormat="1" applyFont="1" applyBorder="1"/>
    <xf numFmtId="1" fontId="52" fillId="0" borderId="5" xfId="0" applyNumberFormat="1" applyFont="1" applyBorder="1"/>
    <xf numFmtId="171" fontId="49" fillId="13" borderId="11" xfId="0" applyFont="1" applyFill="1" applyBorder="1" applyAlignment="1">
      <alignment horizontal="center" vertical="center"/>
    </xf>
    <xf numFmtId="171" fontId="49" fillId="13" borderId="43" xfId="0" applyFont="1" applyFill="1" applyBorder="1" applyAlignment="1">
      <alignment horizontal="center" vertical="center"/>
    </xf>
    <xf numFmtId="4" fontId="49" fillId="13" borderId="44" xfId="0" applyNumberFormat="1" applyFont="1" applyFill="1" applyBorder="1" applyAlignment="1">
      <alignment horizontal="center" vertical="center"/>
    </xf>
    <xf numFmtId="1" fontId="53" fillId="0" borderId="2" xfId="0" applyNumberFormat="1" applyFont="1" applyBorder="1" applyAlignment="1">
      <alignment horizontal="center" vertical="center"/>
    </xf>
    <xf numFmtId="1" fontId="53" fillId="0" borderId="73" xfId="0" applyNumberFormat="1" applyFont="1" applyBorder="1" applyAlignment="1">
      <alignment horizontal="center" vertical="center"/>
    </xf>
    <xf numFmtId="1" fontId="53" fillId="0" borderId="72" xfId="0" applyNumberFormat="1" applyFont="1" applyBorder="1" applyAlignment="1">
      <alignment horizontal="center" vertical="center"/>
    </xf>
    <xf numFmtId="171" fontId="7" fillId="0" borderId="0" xfId="0" applyFont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42" fillId="3" borderId="80" xfId="0" applyFont="1" applyFill="1" applyBorder="1" applyAlignment="1">
      <alignment horizontal="center" vertical="center" shrinkToFit="1"/>
    </xf>
    <xf numFmtId="171" fontId="42" fillId="3" borderId="81" xfId="0" applyFont="1" applyFill="1" applyBorder="1" applyAlignment="1">
      <alignment horizontal="center" vertical="center" shrinkToFit="1"/>
    </xf>
    <xf numFmtId="171" fontId="42" fillId="0" borderId="82" xfId="0" applyFont="1" applyFill="1" applyBorder="1" applyAlignment="1">
      <alignment horizontal="center" vertical="center" shrinkToFit="1"/>
    </xf>
    <xf numFmtId="171" fontId="28" fillId="12" borderId="83" xfId="0" applyFont="1" applyFill="1" applyBorder="1" applyAlignment="1">
      <alignment horizontal="center" vertical="center" shrinkToFit="1"/>
    </xf>
    <xf numFmtId="171" fontId="42" fillId="0" borderId="67" xfId="0" applyFont="1" applyFill="1" applyBorder="1" applyAlignment="1">
      <alignment horizontal="center" vertical="center" shrinkToFit="1"/>
    </xf>
    <xf numFmtId="171" fontId="42" fillId="0" borderId="70" xfId="0" applyFont="1" applyFill="1" applyBorder="1" applyAlignment="1">
      <alignment horizontal="center" vertical="center" shrinkToFit="1"/>
    </xf>
    <xf numFmtId="4" fontId="7" fillId="0" borderId="0" xfId="0" applyNumberFormat="1" applyFont="1" applyFill="1" applyAlignment="1">
      <alignment horizontal="right" vertical="center" shrinkToFit="1"/>
    </xf>
    <xf numFmtId="171" fontId="7" fillId="0" borderId="0" xfId="0" applyFont="1" applyFill="1" applyAlignment="1">
      <alignment horizontal="right" vertical="center" shrinkToFit="1"/>
    </xf>
    <xf numFmtId="171" fontId="42" fillId="0" borderId="68" xfId="0" applyFont="1" applyFill="1" applyBorder="1" applyAlignment="1">
      <alignment horizontal="center" vertical="center" shrinkToFit="1"/>
    </xf>
    <xf numFmtId="171" fontId="9" fillId="0" borderId="0" xfId="0" applyFont="1" applyAlignment="1">
      <alignment horizontal="center" vertical="center" shrinkToFit="1"/>
    </xf>
    <xf numFmtId="171" fontId="6" fillId="2" borderId="0" xfId="0" applyFont="1" applyFill="1" applyAlignment="1">
      <alignment horizontal="center" vertical="center" shrinkToFit="1" readingOrder="2"/>
    </xf>
    <xf numFmtId="171" fontId="6" fillId="2" borderId="0" xfId="0" applyFont="1" applyFill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8" fillId="0" borderId="1" xfId="0" applyFont="1" applyBorder="1" applyAlignment="1">
      <alignment horizontal="center" vertical="center" shrinkToFit="1"/>
    </xf>
    <xf numFmtId="4" fontId="66" fillId="0" borderId="62" xfId="0" applyNumberFormat="1" applyFont="1" applyFill="1" applyBorder="1" applyAlignment="1">
      <alignment horizontal="right" vertical="center" shrinkToFit="1"/>
    </xf>
    <xf numFmtId="4" fontId="66" fillId="0" borderId="63" xfId="0" applyNumberFormat="1" applyFont="1" applyFill="1" applyBorder="1" applyAlignment="1">
      <alignment horizontal="right" vertical="center" shrinkToFit="1"/>
    </xf>
    <xf numFmtId="4" fontId="66" fillId="0" borderId="7" xfId="0" applyNumberFormat="1" applyFont="1" applyFill="1" applyBorder="1" applyAlignment="1">
      <alignment horizontal="right" vertical="center" shrinkToFit="1"/>
    </xf>
    <xf numFmtId="4" fontId="66" fillId="0" borderId="8" xfId="0" applyNumberFormat="1" applyFont="1" applyFill="1" applyBorder="1" applyAlignment="1">
      <alignment horizontal="right" vertical="center" shrinkToFit="1"/>
    </xf>
    <xf numFmtId="171" fontId="49" fillId="13" borderId="49" xfId="0" applyFont="1" applyFill="1" applyBorder="1" applyAlignment="1">
      <alignment horizontal="center" vertical="center"/>
    </xf>
    <xf numFmtId="1" fontId="19" fillId="0" borderId="84" xfId="0" applyNumberFormat="1" applyFont="1" applyBorder="1" applyAlignment="1">
      <alignment horizontal="center" vertical="center"/>
    </xf>
    <xf numFmtId="1" fontId="19" fillId="0" borderId="77" xfId="0" applyNumberFormat="1" applyFont="1" applyBorder="1" applyAlignment="1">
      <alignment horizontal="center" vertical="center"/>
    </xf>
    <xf numFmtId="1" fontId="19" fillId="0" borderId="85" xfId="0" applyNumberFormat="1" applyFont="1" applyBorder="1" applyAlignment="1">
      <alignment horizontal="center" vertical="center"/>
    </xf>
    <xf numFmtId="171" fontId="1" fillId="0" borderId="0" xfId="15" applyProtection="1">
      <protection hidden="1"/>
    </xf>
    <xf numFmtId="49" fontId="1" fillId="0" borderId="0" xfId="15" applyNumberFormat="1" applyProtection="1">
      <protection hidden="1"/>
    </xf>
    <xf numFmtId="170" fontId="1" fillId="0" borderId="0" xfId="15" applyNumberFormat="1" applyProtection="1">
      <protection hidden="1"/>
    </xf>
    <xf numFmtId="171" fontId="1" fillId="0" borderId="0" xfId="15" applyNumberFormat="1" applyProtection="1">
      <protection hidden="1"/>
    </xf>
    <xf numFmtId="167" fontId="63" fillId="0" borderId="42" xfId="16" applyNumberFormat="1" applyFont="1" applyFill="1" applyBorder="1" applyAlignment="1" applyProtection="1">
      <alignment horizontal="center" vertical="center" shrinkToFit="1"/>
      <protection hidden="1"/>
    </xf>
    <xf numFmtId="167" fontId="61" fillId="0" borderId="42" xfId="16" applyNumberFormat="1" applyFont="1" applyFill="1" applyBorder="1" applyAlignment="1" applyProtection="1">
      <alignment horizontal="center" vertical="center" shrinkToFit="1"/>
      <protection hidden="1"/>
    </xf>
    <xf numFmtId="49" fontId="67" fillId="8" borderId="42" xfId="16" applyNumberFormat="1" applyFont="1" applyFill="1" applyBorder="1" applyAlignment="1" applyProtection="1">
      <alignment horizontal="center" vertical="center" shrinkToFit="1"/>
      <protection hidden="1"/>
    </xf>
    <xf numFmtId="167" fontId="62" fillId="10" borderId="42" xfId="16" applyNumberFormat="1" applyFont="1" applyFill="1" applyBorder="1" applyAlignment="1" applyProtection="1">
      <alignment horizontal="center" vertical="center" shrinkToFit="1"/>
      <protection hidden="1"/>
    </xf>
    <xf numFmtId="167" fontId="62" fillId="0" borderId="42" xfId="16" applyNumberFormat="1" applyFont="1" applyFill="1" applyBorder="1" applyAlignment="1" applyProtection="1">
      <alignment horizontal="center" vertical="center" shrinkToFit="1"/>
      <protection hidden="1"/>
    </xf>
    <xf numFmtId="171" fontId="59" fillId="0" borderId="42" xfId="15" applyFont="1" applyFill="1" applyBorder="1" applyAlignment="1" applyProtection="1">
      <alignment horizontal="center" vertical="center" shrinkToFit="1"/>
      <protection hidden="1"/>
    </xf>
    <xf numFmtId="171" fontId="59" fillId="0" borderId="42" xfId="15" applyFont="1" applyFill="1" applyBorder="1" applyAlignment="1" applyProtection="1">
      <alignment horizontal="center" vertical="center"/>
      <protection hidden="1"/>
    </xf>
    <xf numFmtId="10" fontId="59" fillId="0" borderId="42" xfId="15" applyNumberFormat="1" applyFont="1" applyFill="1" applyBorder="1" applyAlignment="1" applyProtection="1">
      <alignment horizontal="center" vertical="center"/>
      <protection hidden="1"/>
    </xf>
    <xf numFmtId="167" fontId="59" fillId="0" borderId="42" xfId="16" applyNumberFormat="1" applyFont="1" applyFill="1" applyBorder="1" applyAlignment="1" applyProtection="1">
      <alignment horizontal="center" vertical="center" shrinkToFit="1"/>
      <protection hidden="1"/>
    </xf>
    <xf numFmtId="167" fontId="59" fillId="0" borderId="79" xfId="16" applyNumberFormat="1" applyFont="1" applyFill="1" applyBorder="1" applyAlignment="1" applyProtection="1">
      <alignment horizontal="center" vertical="center" shrinkToFit="1"/>
      <protection hidden="1"/>
    </xf>
    <xf numFmtId="167" fontId="68" fillId="0" borderId="86" xfId="16" applyNumberFormat="1" applyFont="1" applyFill="1" applyBorder="1" applyAlignment="1" applyProtection="1">
      <alignment horizontal="center" vertical="center" shrinkToFit="1"/>
      <protection hidden="1"/>
    </xf>
    <xf numFmtId="167" fontId="68" fillId="0" borderId="87" xfId="16" applyNumberFormat="1" applyFont="1" applyFill="1" applyBorder="1" applyAlignment="1" applyProtection="1">
      <alignment horizontal="center" vertical="center" shrinkToFit="1"/>
      <protection hidden="1"/>
    </xf>
    <xf numFmtId="170" fontId="68" fillId="0" borderId="87" xfId="16" applyNumberFormat="1" applyFont="1" applyFill="1" applyBorder="1" applyAlignment="1" applyProtection="1">
      <alignment horizontal="center" vertical="center" shrinkToFit="1"/>
      <protection hidden="1"/>
    </xf>
    <xf numFmtId="49" fontId="68" fillId="0" borderId="88" xfId="16" applyNumberFormat="1" applyFont="1" applyFill="1" applyBorder="1" applyAlignment="1" applyProtection="1">
      <alignment horizontal="center" vertical="center" shrinkToFit="1"/>
      <protection hidden="1"/>
    </xf>
    <xf numFmtId="167" fontId="69" fillId="0" borderId="89" xfId="16" applyNumberFormat="1" applyFont="1" applyFill="1" applyBorder="1" applyAlignment="1" applyProtection="1">
      <alignment horizontal="center" vertical="center" shrinkToFit="1"/>
      <protection hidden="1"/>
    </xf>
    <xf numFmtId="167" fontId="69" fillId="0" borderId="90" xfId="16" applyNumberFormat="1" applyFont="1" applyFill="1" applyBorder="1" applyAlignment="1" applyProtection="1">
      <alignment horizontal="center" vertical="center" shrinkToFit="1"/>
      <protection hidden="1"/>
    </xf>
    <xf numFmtId="171" fontId="69" fillId="0" borderId="90" xfId="15" applyNumberFormat="1" applyFont="1" applyFill="1" applyBorder="1" applyAlignment="1" applyProtection="1">
      <alignment horizontal="center" vertical="center" shrinkToFit="1"/>
      <protection hidden="1"/>
    </xf>
    <xf numFmtId="1" fontId="69" fillId="0" borderId="90" xfId="15" applyNumberFormat="1" applyFont="1" applyFill="1" applyBorder="1" applyAlignment="1" applyProtection="1">
      <alignment horizontal="center" vertical="center" shrinkToFit="1"/>
      <protection hidden="1"/>
    </xf>
    <xf numFmtId="49" fontId="69" fillId="0" borderId="91" xfId="15" applyNumberFormat="1" applyFont="1" applyFill="1" applyBorder="1" applyAlignment="1" applyProtection="1">
      <alignment horizontal="center" vertical="center" shrinkToFit="1"/>
      <protection hidden="1"/>
    </xf>
    <xf numFmtId="171" fontId="59" fillId="0" borderId="78" xfId="15" applyNumberFormat="1" applyFont="1" applyFill="1" applyBorder="1" applyAlignment="1" applyProtection="1">
      <alignment horizontal="center" vertical="center" shrinkToFit="1"/>
      <protection hidden="1"/>
    </xf>
    <xf numFmtId="171" fontId="59" fillId="0" borderId="42" xfId="15" applyNumberFormat="1" applyFont="1" applyFill="1" applyBorder="1" applyAlignment="1" applyProtection="1">
      <alignment horizontal="center" vertical="center" shrinkToFit="1"/>
      <protection hidden="1"/>
    </xf>
    <xf numFmtId="171" fontId="59" fillId="0" borderId="42" xfId="15" applyNumberFormat="1" applyFont="1" applyFill="1" applyBorder="1" applyAlignment="1" applyProtection="1">
      <alignment horizontal="center" vertical="center" wrapText="1" shrinkToFit="1"/>
      <protection hidden="1"/>
    </xf>
    <xf numFmtId="171" fontId="60" fillId="0" borderId="42" xfId="15" applyFont="1" applyFill="1" applyBorder="1" applyAlignment="1" applyProtection="1">
      <alignment horizontal="center" vertical="center" shrinkToFit="1"/>
      <protection hidden="1"/>
    </xf>
    <xf numFmtId="1" fontId="59" fillId="0" borderId="42" xfId="15" applyNumberFormat="1" applyFont="1" applyFill="1" applyBorder="1" applyAlignment="1" applyProtection="1">
      <alignment horizontal="center" vertical="center" shrinkToFit="1"/>
      <protection hidden="1"/>
    </xf>
    <xf numFmtId="167" fontId="68" fillId="0" borderId="92" xfId="16" applyNumberFormat="1" applyFont="1" applyFill="1" applyBorder="1" applyAlignment="1" applyProtection="1">
      <alignment horizontal="center" vertical="center" shrinkToFit="1"/>
      <protection hidden="1"/>
    </xf>
    <xf numFmtId="167" fontId="68" fillId="0" borderId="93" xfId="16" applyNumberFormat="1" applyFont="1" applyFill="1" applyBorder="1" applyAlignment="1" applyProtection="1">
      <alignment horizontal="center" vertical="center" shrinkToFit="1"/>
      <protection hidden="1"/>
    </xf>
    <xf numFmtId="170" fontId="68" fillId="0" borderId="93" xfId="16" applyNumberFormat="1" applyFont="1" applyFill="1" applyBorder="1" applyAlignment="1" applyProtection="1">
      <alignment horizontal="center" vertical="center" shrinkToFit="1"/>
      <protection hidden="1"/>
    </xf>
    <xf numFmtId="49" fontId="68" fillId="0" borderId="94" xfId="16" applyNumberFormat="1" applyFont="1" applyFill="1" applyBorder="1" applyAlignment="1" applyProtection="1">
      <alignment horizontal="center" vertical="center" shrinkToFit="1"/>
      <protection hidden="1"/>
    </xf>
    <xf numFmtId="167" fontId="69" fillId="0" borderId="95" xfId="16" applyNumberFormat="1" applyFont="1" applyFill="1" applyBorder="1" applyAlignment="1" applyProtection="1">
      <alignment horizontal="center" vertical="center" shrinkToFit="1"/>
      <protection hidden="1"/>
    </xf>
    <xf numFmtId="167" fontId="69" fillId="0" borderId="96" xfId="16" applyNumberFormat="1" applyFont="1" applyFill="1" applyBorder="1" applyAlignment="1" applyProtection="1">
      <alignment horizontal="center" vertical="center" shrinkToFit="1"/>
      <protection hidden="1"/>
    </xf>
    <xf numFmtId="171" fontId="69" fillId="0" borderId="96" xfId="15" applyNumberFormat="1" applyFont="1" applyFill="1" applyBorder="1" applyAlignment="1" applyProtection="1">
      <alignment horizontal="center" vertical="center" shrinkToFit="1"/>
      <protection hidden="1"/>
    </xf>
    <xf numFmtId="1" fontId="69" fillId="0" borderId="96" xfId="15" applyNumberFormat="1" applyFont="1" applyFill="1" applyBorder="1" applyAlignment="1" applyProtection="1">
      <alignment horizontal="center" vertical="center" shrinkToFit="1"/>
      <protection hidden="1"/>
    </xf>
    <xf numFmtId="49" fontId="69" fillId="0" borderId="97" xfId="15" applyNumberFormat="1" applyFont="1" applyFill="1" applyBorder="1" applyAlignment="1" applyProtection="1">
      <alignment horizontal="center" vertical="center" shrinkToFit="1"/>
      <protection hidden="1"/>
    </xf>
    <xf numFmtId="1" fontId="0" fillId="0" borderId="42" xfId="15" applyNumberFormat="1" applyFont="1" applyFill="1" applyBorder="1" applyAlignment="1" applyProtection="1">
      <alignment horizontal="center" vertical="center" shrinkToFit="1"/>
      <protection hidden="1"/>
    </xf>
    <xf numFmtId="167" fontId="63" fillId="0" borderId="8" xfId="16" applyNumberFormat="1" applyFont="1" applyFill="1" applyBorder="1" applyAlignment="1" applyProtection="1">
      <alignment horizontal="center" vertical="center" shrinkToFit="1"/>
      <protection hidden="1"/>
    </xf>
    <xf numFmtId="167" fontId="61" fillId="0" borderId="8" xfId="16" applyNumberFormat="1" applyFont="1" applyFill="1" applyBorder="1" applyAlignment="1" applyProtection="1">
      <alignment horizontal="center" vertical="center" shrinkToFit="1"/>
      <protection hidden="1"/>
    </xf>
    <xf numFmtId="167" fontId="62" fillId="0" borderId="8" xfId="16" applyNumberFormat="1" applyFont="1" applyFill="1" applyBorder="1" applyAlignment="1" applyProtection="1">
      <alignment horizontal="center" vertical="center" shrinkToFit="1"/>
      <protection hidden="1"/>
    </xf>
    <xf numFmtId="171" fontId="59" fillId="0" borderId="8" xfId="15" applyFont="1" applyFill="1" applyBorder="1" applyAlignment="1" applyProtection="1">
      <alignment horizontal="center" vertical="center" shrinkToFit="1"/>
      <protection hidden="1"/>
    </xf>
    <xf numFmtId="171" fontId="59" fillId="0" borderId="8" xfId="15" applyFont="1" applyFill="1" applyBorder="1" applyAlignment="1" applyProtection="1">
      <alignment horizontal="center" vertical="center"/>
      <protection hidden="1"/>
    </xf>
    <xf numFmtId="10" fontId="59" fillId="0" borderId="8" xfId="15" applyNumberFormat="1" applyFont="1" applyFill="1" applyBorder="1" applyAlignment="1" applyProtection="1">
      <alignment horizontal="center" vertical="center"/>
      <protection hidden="1"/>
    </xf>
    <xf numFmtId="167" fontId="59" fillId="0" borderId="8" xfId="16" applyNumberFormat="1" applyFont="1" applyFill="1" applyBorder="1" applyAlignment="1" applyProtection="1">
      <alignment horizontal="center" vertical="center" shrinkToFit="1"/>
      <protection hidden="1"/>
    </xf>
    <xf numFmtId="167" fontId="59" fillId="0" borderId="77" xfId="16" applyNumberFormat="1" applyFont="1" applyFill="1" applyBorder="1" applyAlignment="1" applyProtection="1">
      <alignment horizontal="center" vertical="center" shrinkToFit="1"/>
      <protection hidden="1"/>
    </xf>
    <xf numFmtId="171" fontId="59" fillId="0" borderId="76" xfId="15" applyNumberFormat="1" applyFont="1" applyFill="1" applyBorder="1" applyAlignment="1" applyProtection="1">
      <alignment horizontal="center" vertical="center" shrinkToFit="1"/>
      <protection hidden="1"/>
    </xf>
    <xf numFmtId="171" fontId="59" fillId="0" borderId="8" xfId="15" applyNumberFormat="1" applyFont="1" applyFill="1" applyBorder="1" applyAlignment="1" applyProtection="1">
      <alignment horizontal="center" vertical="center" shrinkToFit="1"/>
      <protection hidden="1"/>
    </xf>
    <xf numFmtId="171" fontId="59" fillId="0" borderId="8" xfId="15" applyNumberFormat="1" applyFont="1" applyFill="1" applyBorder="1" applyAlignment="1" applyProtection="1">
      <alignment horizontal="center" vertical="center" wrapText="1" shrinkToFit="1"/>
      <protection hidden="1"/>
    </xf>
    <xf numFmtId="171" fontId="60" fillId="0" borderId="8" xfId="15" applyFont="1" applyFill="1" applyBorder="1" applyAlignment="1" applyProtection="1">
      <alignment horizontal="center" vertical="center" shrinkToFit="1"/>
      <protection hidden="1"/>
    </xf>
    <xf numFmtId="1" fontId="59" fillId="0" borderId="8" xfId="15" applyNumberFormat="1" applyFont="1" applyFill="1" applyBorder="1" applyAlignment="1" applyProtection="1">
      <alignment horizontal="center" vertical="center" shrinkToFit="1"/>
      <protection hidden="1"/>
    </xf>
    <xf numFmtId="170" fontId="68" fillId="0" borderId="93" xfId="17" applyNumberFormat="1" applyFont="1" applyFill="1" applyBorder="1" applyAlignment="1" applyProtection="1">
      <alignment horizontal="center" vertical="center" shrinkToFit="1"/>
      <protection hidden="1"/>
    </xf>
    <xf numFmtId="49" fontId="68" fillId="0" borderId="94" xfId="17" applyNumberFormat="1" applyFont="1" applyFill="1" applyBorder="1" applyAlignment="1" applyProtection="1">
      <alignment horizontal="center" vertical="center" shrinkToFit="1"/>
      <protection hidden="1"/>
    </xf>
    <xf numFmtId="49" fontId="69" fillId="0" borderId="97" xfId="15" applyNumberFormat="1" applyFont="1" applyFill="1" applyBorder="1" applyAlignment="1" applyProtection="1">
      <alignment horizontal="center" vertical="center" wrapText="1" shrinkToFit="1"/>
      <protection hidden="1"/>
    </xf>
    <xf numFmtId="167" fontId="59" fillId="7" borderId="42" xfId="16" applyNumberFormat="1" applyFont="1" applyFill="1" applyBorder="1" applyAlignment="1" applyProtection="1">
      <alignment horizontal="center" vertical="center" shrinkToFit="1"/>
      <protection hidden="1"/>
    </xf>
    <xf numFmtId="49" fontId="67" fillId="8" borderId="8" xfId="16" applyNumberFormat="1" applyFont="1" applyFill="1" applyBorder="1" applyAlignment="1" applyProtection="1">
      <alignment horizontal="center" vertical="center" shrinkToFit="1"/>
      <protection hidden="1"/>
    </xf>
    <xf numFmtId="167" fontId="62" fillId="10" borderId="8" xfId="16" applyNumberFormat="1" applyFont="1" applyFill="1" applyBorder="1" applyAlignment="1" applyProtection="1">
      <alignment horizontal="center" vertical="center" shrinkToFit="1"/>
      <protection hidden="1"/>
    </xf>
    <xf numFmtId="1" fontId="0" fillId="0" borderId="8" xfId="15" applyNumberFormat="1" applyFont="1" applyFill="1" applyBorder="1" applyAlignment="1" applyProtection="1">
      <alignment horizontal="center" vertical="center" shrinkToFit="1"/>
      <protection hidden="1"/>
    </xf>
    <xf numFmtId="49" fontId="59" fillId="0" borderId="42" xfId="15" applyNumberFormat="1" applyFont="1" applyFill="1" applyBorder="1" applyAlignment="1" applyProtection="1">
      <alignment horizontal="center" vertical="center" shrinkToFit="1"/>
      <protection hidden="1"/>
    </xf>
    <xf numFmtId="167" fontId="63" fillId="0" borderId="8" xfId="17" applyNumberFormat="1" applyFont="1" applyFill="1" applyBorder="1" applyAlignment="1" applyProtection="1">
      <alignment horizontal="center" vertical="center" shrinkToFit="1"/>
      <protection hidden="1"/>
    </xf>
    <xf numFmtId="167" fontId="61" fillId="0" borderId="8" xfId="17" applyNumberFormat="1" applyFont="1" applyFill="1" applyBorder="1" applyAlignment="1" applyProtection="1">
      <alignment horizontal="center" vertical="center" shrinkToFit="1"/>
      <protection hidden="1"/>
    </xf>
    <xf numFmtId="49" fontId="67" fillId="8" borderId="8" xfId="17" applyNumberFormat="1" applyFont="1" applyFill="1" applyBorder="1" applyAlignment="1" applyProtection="1">
      <alignment horizontal="center" vertical="center" shrinkToFit="1"/>
      <protection hidden="1"/>
    </xf>
    <xf numFmtId="167" fontId="62" fillId="10" borderId="8" xfId="17" applyNumberFormat="1" applyFont="1" applyFill="1" applyBorder="1" applyAlignment="1" applyProtection="1">
      <alignment horizontal="center" vertical="center" shrinkToFit="1"/>
      <protection hidden="1"/>
    </xf>
    <xf numFmtId="167" fontId="62" fillId="0" borderId="8" xfId="17" applyNumberFormat="1" applyFont="1" applyFill="1" applyBorder="1" applyAlignment="1" applyProtection="1">
      <alignment horizontal="center" vertical="center" shrinkToFit="1"/>
      <protection hidden="1"/>
    </xf>
    <xf numFmtId="167" fontId="59" fillId="0" borderId="8" xfId="17" applyNumberFormat="1" applyFont="1" applyFill="1" applyBorder="1" applyAlignment="1" applyProtection="1">
      <alignment horizontal="center" vertical="center" shrinkToFit="1"/>
      <protection hidden="1"/>
    </xf>
    <xf numFmtId="167" fontId="59" fillId="0" borderId="77" xfId="17" applyNumberFormat="1" applyFont="1" applyFill="1" applyBorder="1" applyAlignment="1" applyProtection="1">
      <alignment horizontal="center" vertical="center" shrinkToFit="1"/>
      <protection hidden="1"/>
    </xf>
    <xf numFmtId="167" fontId="68" fillId="0" borderId="92" xfId="17" applyNumberFormat="1" applyFont="1" applyFill="1" applyBorder="1" applyAlignment="1" applyProtection="1">
      <alignment horizontal="center" vertical="center" shrinkToFit="1"/>
      <protection hidden="1"/>
    </xf>
    <xf numFmtId="167" fontId="68" fillId="0" borderId="93" xfId="17" applyNumberFormat="1" applyFont="1" applyFill="1" applyBorder="1" applyAlignment="1" applyProtection="1">
      <alignment horizontal="center" vertical="center" shrinkToFit="1"/>
      <protection hidden="1"/>
    </xf>
    <xf numFmtId="167" fontId="69" fillId="0" borderId="95" xfId="17" applyNumberFormat="1" applyFont="1" applyFill="1" applyBorder="1" applyAlignment="1" applyProtection="1">
      <alignment horizontal="center" vertical="center" shrinkToFit="1"/>
      <protection hidden="1"/>
    </xf>
    <xf numFmtId="167" fontId="69" fillId="0" borderId="96" xfId="17" applyNumberFormat="1" applyFont="1" applyFill="1" applyBorder="1" applyAlignment="1" applyProtection="1">
      <alignment horizontal="center" vertical="center" shrinkToFit="1"/>
      <protection hidden="1"/>
    </xf>
    <xf numFmtId="171" fontId="59" fillId="0" borderId="98" xfId="15" applyFont="1" applyFill="1" applyBorder="1" applyAlignment="1" applyProtection="1">
      <alignment horizontal="center" vertical="center" shrinkToFit="1"/>
      <protection hidden="1"/>
    </xf>
    <xf numFmtId="171" fontId="64" fillId="0" borderId="0" xfId="15" applyFont="1" applyProtection="1">
      <protection hidden="1"/>
    </xf>
    <xf numFmtId="167" fontId="63" fillId="0" borderId="42" xfId="17" applyNumberFormat="1" applyFont="1" applyFill="1" applyBorder="1" applyAlignment="1" applyProtection="1">
      <alignment horizontal="center" vertical="center" shrinkToFit="1"/>
      <protection hidden="1"/>
    </xf>
    <xf numFmtId="167" fontId="61" fillId="0" borderId="42" xfId="17" applyNumberFormat="1" applyFont="1" applyFill="1" applyBorder="1" applyAlignment="1" applyProtection="1">
      <alignment horizontal="center" vertical="center" shrinkToFit="1"/>
      <protection hidden="1"/>
    </xf>
    <xf numFmtId="49" fontId="67" fillId="8" borderId="42" xfId="17" applyNumberFormat="1" applyFont="1" applyFill="1" applyBorder="1" applyAlignment="1" applyProtection="1">
      <alignment horizontal="center" vertical="center" shrinkToFit="1"/>
      <protection hidden="1"/>
    </xf>
    <xf numFmtId="167" fontId="62" fillId="10" borderId="42" xfId="17" applyNumberFormat="1" applyFont="1" applyFill="1" applyBorder="1" applyAlignment="1" applyProtection="1">
      <alignment horizontal="center" vertical="center" shrinkToFit="1"/>
      <protection hidden="1"/>
    </xf>
    <xf numFmtId="167" fontId="62" fillId="0" borderId="42" xfId="17" applyNumberFormat="1" applyFont="1" applyFill="1" applyBorder="1" applyAlignment="1" applyProtection="1">
      <alignment horizontal="center" vertical="center" shrinkToFit="1"/>
      <protection hidden="1"/>
    </xf>
    <xf numFmtId="167" fontId="59" fillId="0" borderId="42" xfId="17" applyNumberFormat="1" applyFont="1" applyFill="1" applyBorder="1" applyAlignment="1" applyProtection="1">
      <alignment horizontal="center" vertical="center" shrinkToFit="1"/>
      <protection hidden="1"/>
    </xf>
    <xf numFmtId="167" fontId="59" fillId="0" borderId="79" xfId="17" applyNumberFormat="1" applyFont="1" applyFill="1" applyBorder="1" applyAlignment="1" applyProtection="1">
      <alignment horizontal="center" vertical="center" shrinkToFit="1"/>
      <protection hidden="1"/>
    </xf>
    <xf numFmtId="1" fontId="1" fillId="0" borderId="42" xfId="15" applyNumberFormat="1" applyFont="1" applyFill="1" applyBorder="1" applyAlignment="1" applyProtection="1">
      <alignment horizontal="center" vertical="center" shrinkToFit="1"/>
      <protection hidden="1"/>
    </xf>
    <xf numFmtId="9" fontId="59" fillId="0" borderId="8" xfId="15" applyNumberFormat="1" applyFont="1" applyFill="1" applyBorder="1" applyAlignment="1" applyProtection="1">
      <alignment horizontal="center" vertical="center"/>
      <protection hidden="1"/>
    </xf>
    <xf numFmtId="1" fontId="65" fillId="0" borderId="42" xfId="15" applyNumberFormat="1" applyFont="1" applyFill="1" applyBorder="1" applyAlignment="1" applyProtection="1">
      <alignment horizontal="center" vertical="center" shrinkToFit="1"/>
      <protection hidden="1"/>
    </xf>
    <xf numFmtId="1" fontId="65" fillId="0" borderId="8" xfId="15" applyNumberFormat="1" applyFont="1" applyFill="1" applyBorder="1" applyAlignment="1" applyProtection="1">
      <alignment horizontal="center" vertical="center" shrinkToFit="1"/>
      <protection hidden="1"/>
    </xf>
    <xf numFmtId="167" fontId="69" fillId="7" borderId="95" xfId="17" applyNumberFormat="1" applyFont="1" applyFill="1" applyBorder="1" applyAlignment="1" applyProtection="1">
      <alignment horizontal="center" vertical="center" shrinkToFit="1"/>
      <protection hidden="1"/>
    </xf>
    <xf numFmtId="167" fontId="69" fillId="7" borderId="96" xfId="17" applyNumberFormat="1" applyFont="1" applyFill="1" applyBorder="1" applyAlignment="1" applyProtection="1">
      <alignment horizontal="center" vertical="center" shrinkToFit="1"/>
      <protection hidden="1"/>
    </xf>
    <xf numFmtId="171" fontId="69" fillId="7" borderId="96" xfId="15" applyNumberFormat="1" applyFont="1" applyFill="1" applyBorder="1" applyAlignment="1" applyProtection="1">
      <alignment horizontal="center" vertical="center" shrinkToFit="1"/>
      <protection hidden="1"/>
    </xf>
    <xf numFmtId="1" fontId="69" fillId="7" borderId="96" xfId="15" applyNumberFormat="1" applyFont="1" applyFill="1" applyBorder="1" applyAlignment="1" applyProtection="1">
      <alignment horizontal="center" vertical="center" shrinkToFit="1"/>
      <protection hidden="1"/>
    </xf>
    <xf numFmtId="49" fontId="69" fillId="7" borderId="97" xfId="15" applyNumberFormat="1" applyFont="1" applyFill="1" applyBorder="1" applyAlignment="1" applyProtection="1">
      <alignment horizontal="center" vertical="center" shrinkToFit="1"/>
      <protection hidden="1"/>
    </xf>
    <xf numFmtId="171" fontId="59" fillId="7" borderId="78" xfId="15" applyNumberFormat="1" applyFont="1" applyFill="1" applyBorder="1" applyAlignment="1" applyProtection="1">
      <alignment horizontal="center" vertical="center" shrinkToFit="1"/>
      <protection hidden="1"/>
    </xf>
    <xf numFmtId="171" fontId="59" fillId="7" borderId="42" xfId="15" applyNumberFormat="1" applyFont="1" applyFill="1" applyBorder="1" applyAlignment="1" applyProtection="1">
      <alignment horizontal="center" vertical="center" shrinkToFit="1"/>
      <protection hidden="1"/>
    </xf>
    <xf numFmtId="171" fontId="59" fillId="7" borderId="42" xfId="15" applyFont="1" applyFill="1" applyBorder="1" applyAlignment="1" applyProtection="1">
      <alignment horizontal="center" vertical="center" shrinkToFit="1"/>
      <protection hidden="1"/>
    </xf>
    <xf numFmtId="171" fontId="59" fillId="7" borderId="42" xfId="15" applyFont="1" applyFill="1" applyBorder="1" applyAlignment="1" applyProtection="1">
      <alignment horizontal="center" vertical="center"/>
      <protection hidden="1"/>
    </xf>
    <xf numFmtId="171" fontId="60" fillId="7" borderId="42" xfId="15" applyFont="1" applyFill="1" applyBorder="1" applyAlignment="1" applyProtection="1">
      <alignment horizontal="center" vertical="center" shrinkToFit="1"/>
      <protection hidden="1"/>
    </xf>
    <xf numFmtId="1" fontId="64" fillId="0" borderId="42" xfId="15" applyNumberFormat="1" applyFont="1" applyFill="1" applyBorder="1" applyAlignment="1" applyProtection="1">
      <alignment horizontal="center" vertical="center" shrinkToFit="1"/>
      <protection hidden="1"/>
    </xf>
    <xf numFmtId="49" fontId="69" fillId="0" borderId="97" xfId="17" applyNumberFormat="1" applyFont="1" applyFill="1" applyBorder="1" applyAlignment="1" applyProtection="1">
      <alignment horizontal="center" vertical="center" shrinkToFit="1"/>
      <protection hidden="1"/>
    </xf>
    <xf numFmtId="166" fontId="64" fillId="0" borderId="0" xfId="17" applyFont="1" applyProtection="1">
      <protection hidden="1"/>
    </xf>
    <xf numFmtId="171" fontId="59" fillId="0" borderId="8" xfId="15" applyFont="1" applyFill="1" applyBorder="1" applyAlignment="1" applyProtection="1">
      <alignment horizontal="center" vertical="center" wrapText="1" shrinkToFit="1"/>
      <protection hidden="1"/>
    </xf>
    <xf numFmtId="171" fontId="59" fillId="0" borderId="76" xfId="15" applyNumberFormat="1" applyFont="1" applyFill="1" applyBorder="1" applyAlignment="1" applyProtection="1">
      <alignment horizontal="center" vertical="center" wrapText="1" shrinkToFit="1"/>
      <protection hidden="1"/>
    </xf>
    <xf numFmtId="49" fontId="69" fillId="0" borderId="97" xfId="16" applyNumberFormat="1" applyFont="1" applyFill="1" applyBorder="1" applyAlignment="1" applyProtection="1">
      <alignment horizontal="center" vertical="center" shrinkToFit="1"/>
      <protection hidden="1"/>
    </xf>
    <xf numFmtId="171" fontId="70" fillId="0" borderId="0" xfId="15" applyFont="1" applyFill="1" applyAlignment="1" applyProtection="1">
      <alignment wrapText="1"/>
      <protection hidden="1"/>
    </xf>
    <xf numFmtId="167" fontId="71" fillId="0" borderId="41" xfId="17" applyNumberFormat="1" applyFont="1" applyFill="1" applyBorder="1" applyAlignment="1" applyProtection="1">
      <alignment horizontal="center" vertical="center" wrapText="1"/>
      <protection hidden="1"/>
    </xf>
    <xf numFmtId="167" fontId="71" fillId="0" borderId="40" xfId="17" applyNumberFormat="1" applyFont="1" applyFill="1" applyBorder="1" applyAlignment="1" applyProtection="1">
      <alignment horizontal="center" vertical="center" wrapText="1"/>
      <protection hidden="1"/>
    </xf>
    <xf numFmtId="49" fontId="71" fillId="0" borderId="40" xfId="17" applyNumberFormat="1" applyFont="1" applyFill="1" applyBorder="1" applyAlignment="1" applyProtection="1">
      <alignment horizontal="center" vertical="center" wrapText="1"/>
      <protection hidden="1"/>
    </xf>
    <xf numFmtId="171" fontId="71" fillId="0" borderId="40" xfId="15" applyFont="1" applyFill="1" applyBorder="1" applyAlignment="1" applyProtection="1">
      <alignment horizontal="center" vertical="center" wrapText="1"/>
      <protection hidden="1"/>
    </xf>
    <xf numFmtId="9" fontId="71" fillId="0" borderId="40" xfId="15" applyNumberFormat="1" applyFont="1" applyFill="1" applyBorder="1" applyAlignment="1" applyProtection="1">
      <alignment horizontal="center" vertical="center" wrapText="1"/>
      <protection hidden="1"/>
    </xf>
    <xf numFmtId="167" fontId="71" fillId="0" borderId="0" xfId="17" applyNumberFormat="1" applyFont="1" applyFill="1" applyBorder="1" applyAlignment="1" applyProtection="1">
      <alignment horizontal="center" vertical="center" wrapText="1"/>
      <protection hidden="1"/>
    </xf>
    <xf numFmtId="167" fontId="72" fillId="0" borderId="92" xfId="17" applyNumberFormat="1" applyFont="1" applyFill="1" applyBorder="1" applyAlignment="1" applyProtection="1">
      <alignment horizontal="center" vertical="center" wrapText="1"/>
      <protection hidden="1"/>
    </xf>
    <xf numFmtId="167" fontId="72" fillId="0" borderId="93" xfId="17" applyNumberFormat="1" applyFont="1" applyFill="1" applyBorder="1" applyAlignment="1" applyProtection="1">
      <alignment horizontal="center" vertical="center" wrapText="1"/>
      <protection hidden="1"/>
    </xf>
    <xf numFmtId="171" fontId="72" fillId="0" borderId="93" xfId="15" applyFont="1" applyFill="1" applyBorder="1" applyAlignment="1" applyProtection="1">
      <alignment horizontal="center" vertical="center" wrapText="1"/>
      <protection hidden="1"/>
    </xf>
    <xf numFmtId="1" fontId="72" fillId="0" borderId="93" xfId="15" applyNumberFormat="1" applyFont="1" applyFill="1" applyBorder="1" applyAlignment="1" applyProtection="1">
      <alignment horizontal="center" vertical="center" wrapText="1"/>
      <protection hidden="1"/>
    </xf>
    <xf numFmtId="170" fontId="72" fillId="0" borderId="93" xfId="17" applyNumberFormat="1" applyFont="1" applyFill="1" applyBorder="1" applyAlignment="1" applyProtection="1">
      <alignment horizontal="center" vertical="center" wrapText="1"/>
      <protection hidden="1"/>
    </xf>
    <xf numFmtId="49" fontId="72" fillId="0" borderId="94" xfId="17" applyNumberFormat="1" applyFont="1" applyFill="1" applyBorder="1" applyAlignment="1" applyProtection="1">
      <alignment horizontal="center" vertical="center" wrapText="1"/>
      <protection hidden="1"/>
    </xf>
    <xf numFmtId="167" fontId="73" fillId="0" borderId="95" xfId="17" applyNumberFormat="1" applyFont="1" applyFill="1" applyBorder="1" applyAlignment="1" applyProtection="1">
      <alignment horizontal="center" vertical="center" wrapText="1"/>
      <protection hidden="1"/>
    </xf>
    <xf numFmtId="167" fontId="73" fillId="0" borderId="96" xfId="17" applyNumberFormat="1" applyFont="1" applyFill="1" applyBorder="1" applyAlignment="1" applyProtection="1">
      <alignment horizontal="center" vertical="center" wrapText="1"/>
      <protection hidden="1"/>
    </xf>
    <xf numFmtId="171" fontId="73" fillId="0" borderId="96" xfId="15" applyNumberFormat="1" applyFont="1" applyFill="1" applyBorder="1" applyAlignment="1" applyProtection="1">
      <alignment horizontal="center" vertical="center" wrapText="1"/>
      <protection hidden="1"/>
    </xf>
    <xf numFmtId="1" fontId="73" fillId="0" borderId="96" xfId="15" applyNumberFormat="1" applyFont="1" applyFill="1" applyBorder="1" applyAlignment="1" applyProtection="1">
      <alignment horizontal="center" vertical="center" wrapText="1"/>
      <protection hidden="1"/>
    </xf>
    <xf numFmtId="49" fontId="73" fillId="0" borderId="97" xfId="15" applyNumberFormat="1" applyFont="1" applyFill="1" applyBorder="1" applyAlignment="1" applyProtection="1">
      <alignment horizontal="center" vertical="center" wrapText="1"/>
      <protection hidden="1"/>
    </xf>
    <xf numFmtId="171" fontId="74" fillId="0" borderId="40" xfId="15" applyFont="1" applyFill="1" applyBorder="1" applyAlignment="1" applyProtection="1">
      <alignment horizontal="center" vertical="center" wrapText="1"/>
      <protection hidden="1"/>
    </xf>
    <xf numFmtId="171" fontId="71" fillId="0" borderId="40" xfId="15" applyNumberFormat="1" applyFont="1" applyFill="1" applyBorder="1" applyAlignment="1" applyProtection="1">
      <alignment horizontal="center" vertical="center" wrapText="1"/>
      <protection hidden="1"/>
    </xf>
    <xf numFmtId="171" fontId="71" fillId="0" borderId="40" xfId="15" applyFont="1" applyFill="1" applyBorder="1" applyAlignment="1" applyProtection="1">
      <alignment horizontal="center" vertical="center" wrapText="1" shrinkToFit="1"/>
      <protection hidden="1"/>
    </xf>
    <xf numFmtId="171" fontId="71" fillId="0" borderId="39" xfId="15" applyFont="1" applyFill="1" applyBorder="1" applyAlignment="1" applyProtection="1">
      <alignment horizontal="center" vertical="center" wrapText="1"/>
      <protection hidden="1"/>
    </xf>
    <xf numFmtId="16" fontId="1" fillId="0" borderId="0" xfId="15" applyNumberFormat="1" applyProtection="1">
      <protection hidden="1"/>
    </xf>
    <xf numFmtId="171" fontId="21" fillId="0" borderId="0" xfId="15" applyFont="1" applyAlignment="1" applyProtection="1">
      <alignment horizontal="center" vertical="center"/>
      <protection hidden="1"/>
    </xf>
    <xf numFmtId="167" fontId="57" fillId="0" borderId="0" xfId="17" applyNumberFormat="1" applyFont="1" applyAlignment="1" applyProtection="1">
      <alignment horizontal="center" vertical="center" shrinkToFit="1"/>
      <protection hidden="1"/>
    </xf>
    <xf numFmtId="167" fontId="54" fillId="7" borderId="74" xfId="17" applyNumberFormat="1" applyFont="1" applyFill="1" applyBorder="1" applyAlignment="1" applyProtection="1">
      <alignment horizontal="center" vertical="center" shrinkToFit="1"/>
      <protection hidden="1"/>
    </xf>
    <xf numFmtId="167" fontId="76" fillId="7" borderId="74" xfId="17" applyNumberFormat="1" applyFont="1" applyFill="1" applyBorder="1" applyAlignment="1" applyProtection="1">
      <alignment horizontal="center" vertical="center" shrinkToFit="1"/>
      <protection hidden="1"/>
    </xf>
    <xf numFmtId="167" fontId="56" fillId="0" borderId="0" xfId="17" applyNumberFormat="1" applyFont="1" applyAlignment="1" applyProtection="1">
      <alignment horizontal="center" vertical="center" shrinkToFit="1"/>
      <protection hidden="1"/>
    </xf>
    <xf numFmtId="171" fontId="57" fillId="0" borderId="0" xfId="15" applyFont="1" applyAlignment="1" applyProtection="1">
      <alignment horizontal="center" vertical="center"/>
      <protection hidden="1"/>
    </xf>
    <xf numFmtId="1" fontId="57" fillId="0" borderId="0" xfId="15" applyNumberFormat="1" applyFont="1" applyAlignment="1" applyProtection="1">
      <alignment horizontal="center" vertical="center"/>
      <protection hidden="1"/>
    </xf>
    <xf numFmtId="169" fontId="21" fillId="0" borderId="0" xfId="15" applyNumberFormat="1" applyFont="1" applyAlignment="1" applyProtection="1">
      <alignment horizontal="center" vertical="center"/>
      <protection hidden="1"/>
    </xf>
    <xf numFmtId="167" fontId="56" fillId="0" borderId="0" xfId="17" applyNumberFormat="1" applyFont="1" applyFill="1" applyBorder="1" applyAlignment="1" applyProtection="1">
      <alignment horizontal="center" vertical="center" shrinkToFit="1"/>
      <protection hidden="1"/>
    </xf>
    <xf numFmtId="170" fontId="56" fillId="0" borderId="0" xfId="17" applyNumberFormat="1" applyFont="1" applyFill="1" applyBorder="1" applyAlignment="1" applyProtection="1">
      <alignment horizontal="center" vertical="center" shrinkToFit="1"/>
      <protection hidden="1"/>
    </xf>
    <xf numFmtId="49" fontId="56" fillId="0" borderId="0" xfId="17" applyNumberFormat="1" applyFont="1" applyFill="1" applyBorder="1" applyAlignment="1" applyProtection="1">
      <alignment horizontal="center" vertical="center" shrinkToFit="1"/>
      <protection hidden="1"/>
    </xf>
    <xf numFmtId="167" fontId="23" fillId="0" borderId="0" xfId="17" applyNumberFormat="1" applyFont="1" applyAlignment="1" applyProtection="1">
      <alignment horizontal="center" vertical="center" shrinkToFit="1"/>
      <protection hidden="1"/>
    </xf>
    <xf numFmtId="171" fontId="23" fillId="0" borderId="0" xfId="17" applyNumberFormat="1" applyFont="1" applyAlignment="1" applyProtection="1">
      <alignment horizontal="center" vertical="center" shrinkToFit="1"/>
      <protection hidden="1"/>
    </xf>
    <xf numFmtId="49" fontId="55" fillId="0" borderId="0" xfId="15" applyNumberFormat="1" applyFont="1" applyAlignment="1" applyProtection="1">
      <alignment horizontal="center" vertical="center"/>
      <protection hidden="1"/>
    </xf>
    <xf numFmtId="166" fontId="55" fillId="0" borderId="0" xfId="15" applyNumberFormat="1" applyFont="1" applyAlignment="1" applyProtection="1">
      <alignment horizontal="center" vertical="center"/>
      <protection hidden="1"/>
    </xf>
    <xf numFmtId="3" fontId="77" fillId="12" borderId="75" xfId="15" applyNumberFormat="1" applyFont="1" applyFill="1" applyBorder="1" applyAlignment="1" applyProtection="1">
      <alignment horizontal="center" vertical="center" shrinkToFit="1"/>
      <protection hidden="1"/>
    </xf>
    <xf numFmtId="3" fontId="78" fillId="6" borderId="37" xfId="15" applyNumberFormat="1" applyFont="1" applyFill="1" applyBorder="1" applyAlignment="1" applyProtection="1">
      <alignment horizontal="center" vertical="center" shrinkToFit="1"/>
      <protection hidden="1"/>
    </xf>
    <xf numFmtId="3" fontId="79" fillId="14" borderId="37" xfId="15" applyNumberFormat="1" applyFont="1" applyFill="1" applyBorder="1" applyAlignment="1" applyProtection="1">
      <alignment horizontal="center" vertical="center" shrinkToFit="1"/>
      <protection hidden="1"/>
    </xf>
    <xf numFmtId="3" fontId="79" fillId="7" borderId="36" xfId="17" applyNumberFormat="1" applyFont="1" applyFill="1" applyBorder="1" applyAlignment="1" applyProtection="1">
      <alignment horizontal="center" vertical="center" shrinkToFit="1"/>
      <protection hidden="1"/>
    </xf>
    <xf numFmtId="49" fontId="21" fillId="0" borderId="0" xfId="15" applyNumberFormat="1" applyFont="1" applyAlignment="1" applyProtection="1">
      <alignment horizontal="center" vertical="center"/>
      <protection hidden="1"/>
    </xf>
    <xf numFmtId="1" fontId="21" fillId="0" borderId="0" xfId="15" applyNumberFormat="1" applyFont="1" applyAlignment="1" applyProtection="1">
      <alignment horizontal="center" vertical="center"/>
      <protection hidden="1"/>
    </xf>
    <xf numFmtId="167" fontId="21" fillId="0" borderId="0" xfId="15" applyNumberFormat="1" applyFont="1" applyAlignment="1" applyProtection="1">
      <alignment horizontal="center" vertical="center"/>
      <protection hidden="1"/>
    </xf>
    <xf numFmtId="171" fontId="21" fillId="0" borderId="0" xfId="15" applyNumberFormat="1" applyFont="1" applyAlignment="1" applyProtection="1">
      <alignment horizontal="center" vertical="center"/>
      <protection hidden="1"/>
    </xf>
    <xf numFmtId="166" fontId="21" fillId="0" borderId="0" xfId="15" applyNumberFormat="1" applyFont="1" applyAlignment="1" applyProtection="1">
      <alignment horizontal="center" vertical="center"/>
      <protection hidden="1"/>
    </xf>
    <xf numFmtId="171" fontId="80" fillId="12" borderId="14" xfId="15" applyNumberFormat="1" applyFont="1" applyFill="1" applyBorder="1" applyAlignment="1" applyProtection="1">
      <alignment horizontal="center" vertical="center" shrinkToFit="1"/>
      <protection hidden="1"/>
    </xf>
    <xf numFmtId="171" fontId="81" fillId="6" borderId="14" xfId="15" applyNumberFormat="1" applyFont="1" applyFill="1" applyBorder="1" applyAlignment="1" applyProtection="1">
      <alignment horizontal="center" vertical="center" shrinkToFit="1"/>
      <protection hidden="1"/>
    </xf>
    <xf numFmtId="171" fontId="82" fillId="14" borderId="14" xfId="15" applyFont="1" applyFill="1" applyBorder="1" applyAlignment="1" applyProtection="1">
      <alignment horizontal="center" vertical="center" shrinkToFit="1"/>
      <protection hidden="1"/>
    </xf>
    <xf numFmtId="14" fontId="82" fillId="7" borderId="13" xfId="15" applyNumberFormat="1" applyFont="1" applyFill="1" applyBorder="1" applyAlignment="1" applyProtection="1">
      <alignment horizontal="center" vertical="center" shrinkToFit="1"/>
      <protection hidden="1"/>
    </xf>
    <xf numFmtId="3" fontId="18" fillId="0" borderId="21" xfId="3" applyNumberFormat="1" applyFont="1" applyFill="1" applyBorder="1" applyAlignment="1">
      <alignment horizontal="center" vertical="center"/>
    </xf>
    <xf numFmtId="167" fontId="84" fillId="7" borderId="74" xfId="17" applyNumberFormat="1" applyFont="1" applyFill="1" applyBorder="1" applyAlignment="1" applyProtection="1">
      <alignment horizontal="center" vertical="center" shrinkToFit="1"/>
      <protection hidden="1"/>
    </xf>
    <xf numFmtId="171" fontId="7" fillId="0" borderId="0" xfId="0" applyFont="1" applyAlignment="1">
      <alignment horizontal="center" vertical="center" shrinkToFit="1"/>
    </xf>
    <xf numFmtId="3" fontId="18" fillId="0" borderId="22" xfId="3" applyNumberFormat="1" applyFont="1" applyFill="1" applyBorder="1" applyAlignment="1">
      <alignment horizontal="center" vertical="center"/>
    </xf>
    <xf numFmtId="3" fontId="19" fillId="0" borderId="57" xfId="3" applyNumberFormat="1" applyFont="1" applyFill="1" applyBorder="1" applyAlignment="1">
      <alignment horizontal="center" vertical="center"/>
    </xf>
    <xf numFmtId="3" fontId="18" fillId="0" borderId="32" xfId="3" applyNumberFormat="1" applyFont="1" applyFill="1" applyBorder="1" applyAlignment="1">
      <alignment horizontal="center" vertical="center"/>
    </xf>
    <xf numFmtId="3" fontId="18" fillId="0" borderId="33" xfId="3" applyNumberFormat="1" applyFont="1" applyFill="1" applyBorder="1" applyAlignment="1">
      <alignment horizontal="center" vertical="center"/>
    </xf>
    <xf numFmtId="3" fontId="19" fillId="0" borderId="23" xfId="3" applyNumberFormat="1" applyFont="1" applyFill="1" applyBorder="1" applyAlignment="1">
      <alignment horizontal="center" vertical="center"/>
    </xf>
    <xf numFmtId="171" fontId="85" fillId="0" borderId="0" xfId="0" applyFont="1" applyAlignment="1">
      <alignment horizontal="center" vertical="center" shrinkToFit="1"/>
    </xf>
    <xf numFmtId="1" fontId="48" fillId="3" borderId="45" xfId="0" applyNumberFormat="1" applyFont="1" applyFill="1" applyBorder="1" applyAlignment="1">
      <alignment horizontal="center" vertical="center"/>
    </xf>
    <xf numFmtId="1" fontId="19" fillId="3" borderId="45" xfId="0" applyNumberFormat="1" applyFont="1" applyFill="1" applyBorder="1" applyAlignment="1">
      <alignment horizontal="center" vertical="center"/>
    </xf>
    <xf numFmtId="1" fontId="19" fillId="3" borderId="84" xfId="0" applyNumberFormat="1" applyFont="1" applyFill="1" applyBorder="1" applyAlignment="1">
      <alignment horizontal="center" vertical="center"/>
    </xf>
    <xf numFmtId="4" fontId="48" fillId="3" borderId="47" xfId="0" applyNumberFormat="1" applyFont="1" applyFill="1" applyBorder="1" applyAlignment="1">
      <alignment horizontal="center" vertical="center"/>
    </xf>
    <xf numFmtId="1" fontId="19" fillId="3" borderId="7" xfId="0" applyNumberFormat="1" applyFont="1" applyFill="1" applyBorder="1" applyAlignment="1">
      <alignment horizontal="center" vertical="center"/>
    </xf>
    <xf numFmtId="1" fontId="19" fillId="3" borderId="77" xfId="0" applyNumberFormat="1" applyFont="1" applyFill="1" applyBorder="1" applyAlignment="1">
      <alignment horizontal="center" vertical="center"/>
    </xf>
    <xf numFmtId="4" fontId="48" fillId="3" borderId="71" xfId="0" applyNumberFormat="1" applyFont="1" applyFill="1" applyBorder="1" applyAlignment="1">
      <alignment horizontal="center" vertical="center"/>
    </xf>
    <xf numFmtId="3" fontId="86" fillId="0" borderId="0" xfId="0" applyNumberFormat="1" applyFont="1" applyAlignment="1">
      <alignment horizontal="center" vertical="center"/>
    </xf>
    <xf numFmtId="3" fontId="86" fillId="0" borderId="0" xfId="12" applyNumberFormat="1" applyFont="1" applyAlignment="1">
      <alignment horizontal="center" vertical="center"/>
    </xf>
    <xf numFmtId="171" fontId="87" fillId="13" borderId="11" xfId="0" applyFont="1" applyFill="1" applyBorder="1" applyAlignment="1">
      <alignment horizontal="center" vertical="center"/>
    </xf>
    <xf numFmtId="171" fontId="87" fillId="13" borderId="43" xfId="0" applyFont="1" applyFill="1" applyBorder="1" applyAlignment="1">
      <alignment horizontal="center" vertical="center"/>
    </xf>
    <xf numFmtId="3" fontId="87" fillId="13" borderId="105" xfId="0" applyNumberFormat="1" applyFont="1" applyFill="1" applyBorder="1" applyAlignment="1">
      <alignment horizontal="center" vertical="center"/>
    </xf>
    <xf numFmtId="3" fontId="87" fillId="13" borderId="105" xfId="12" applyNumberFormat="1" applyFont="1" applyFill="1" applyBorder="1" applyAlignment="1">
      <alignment horizontal="center" vertical="center"/>
    </xf>
    <xf numFmtId="4" fontId="87" fillId="13" borderId="44" xfId="0" applyNumberFormat="1" applyFont="1" applyFill="1" applyBorder="1" applyAlignment="1">
      <alignment horizontal="center" vertical="center"/>
    </xf>
    <xf numFmtId="3" fontId="47" fillId="13" borderId="44" xfId="0" applyNumberFormat="1" applyFont="1" applyFill="1" applyBorder="1"/>
    <xf numFmtId="3" fontId="33" fillId="0" borderId="106" xfId="0" applyNumberFormat="1" applyFont="1" applyBorder="1" applyAlignment="1">
      <alignment horizontal="center" vertical="center"/>
    </xf>
    <xf numFmtId="164" fontId="33" fillId="0" borderId="106" xfId="12" applyNumberFormat="1" applyFont="1" applyBorder="1" applyAlignment="1">
      <alignment horizontal="center" vertical="center"/>
    </xf>
    <xf numFmtId="3" fontId="33" fillId="0" borderId="76" xfId="0" applyNumberFormat="1" applyFont="1" applyBorder="1" applyAlignment="1">
      <alignment horizontal="center" vertical="center"/>
    </xf>
    <xf numFmtId="164" fontId="33" fillId="0" borderId="76" xfId="12" applyNumberFormat="1" applyFont="1" applyBorder="1" applyAlignment="1">
      <alignment horizontal="center" vertical="center"/>
    </xf>
    <xf numFmtId="4" fontId="53" fillId="7" borderId="47" xfId="0" applyNumberFormat="1" applyFont="1" applyFill="1" applyBorder="1" applyAlignment="1">
      <alignment horizontal="center" vertical="center"/>
    </xf>
    <xf numFmtId="164" fontId="31" fillId="0" borderId="106" xfId="0" applyNumberFormat="1" applyFont="1" applyBorder="1" applyAlignment="1">
      <alignment horizontal="center" vertical="center"/>
    </xf>
    <xf numFmtId="164" fontId="31" fillId="0" borderId="106" xfId="12" applyNumberFormat="1" applyFont="1" applyBorder="1" applyAlignment="1">
      <alignment horizontal="center" vertical="center"/>
    </xf>
    <xf numFmtId="164" fontId="25" fillId="7" borderId="47" xfId="0" applyNumberFormat="1" applyFont="1" applyFill="1" applyBorder="1" applyAlignment="1">
      <alignment horizontal="center" vertical="center"/>
    </xf>
    <xf numFmtId="164" fontId="31" fillId="0" borderId="76" xfId="0" applyNumberFormat="1" applyFont="1" applyBorder="1" applyAlignment="1">
      <alignment horizontal="center" vertical="center"/>
    </xf>
    <xf numFmtId="164" fontId="31" fillId="0" borderId="76" xfId="12" applyNumberFormat="1" applyFont="1" applyBorder="1" applyAlignment="1">
      <alignment horizontal="center" vertical="center"/>
    </xf>
    <xf numFmtId="164" fontId="88" fillId="0" borderId="0" xfId="0" applyNumberFormat="1" applyFont="1" applyAlignment="1">
      <alignment horizontal="center" vertical="center"/>
    </xf>
    <xf numFmtId="164" fontId="88" fillId="0" borderId="0" xfId="12" applyNumberFormat="1" applyFont="1" applyAlignment="1">
      <alignment horizontal="center" vertical="center"/>
    </xf>
    <xf numFmtId="164" fontId="18" fillId="0" borderId="0" xfId="0" applyNumberFormat="1" applyFont="1"/>
    <xf numFmtId="164" fontId="89" fillId="13" borderId="44" xfId="0" applyNumberFormat="1" applyFont="1" applyFill="1" applyBorder="1"/>
    <xf numFmtId="166" fontId="20" fillId="0" borderId="106" xfId="12" applyFont="1" applyBorder="1" applyAlignment="1">
      <alignment horizontal="center" vertical="center"/>
    </xf>
    <xf numFmtId="166" fontId="20" fillId="0" borderId="76" xfId="12" applyFont="1" applyBorder="1" applyAlignment="1">
      <alignment horizontal="center" vertical="center"/>
    </xf>
    <xf numFmtId="166" fontId="20" fillId="0" borderId="0" xfId="12" applyFont="1" applyAlignment="1">
      <alignment horizontal="center" vertical="center"/>
    </xf>
    <xf numFmtId="166" fontId="20" fillId="13" borderId="44" xfId="12" applyFont="1" applyFill="1" applyBorder="1"/>
    <xf numFmtId="166" fontId="0" fillId="0" borderId="0" xfId="12" applyFont="1"/>
    <xf numFmtId="166" fontId="18" fillId="0" borderId="0" xfId="12" applyFont="1"/>
    <xf numFmtId="166" fontId="89" fillId="13" borderId="44" xfId="12" applyFont="1" applyFill="1" applyBorder="1"/>
    <xf numFmtId="1" fontId="53" fillId="0" borderId="3" xfId="0" applyNumberFormat="1" applyFont="1" applyBorder="1" applyAlignment="1">
      <alignment horizontal="center" vertical="center"/>
    </xf>
    <xf numFmtId="166" fontId="20" fillId="7" borderId="106" xfId="12" applyFont="1" applyFill="1" applyBorder="1" applyAlignment="1">
      <alignment horizontal="center" vertical="center"/>
    </xf>
    <xf numFmtId="1" fontId="52" fillId="0" borderId="10" xfId="0" applyNumberFormat="1" applyFont="1" applyBorder="1"/>
    <xf numFmtId="171" fontId="50" fillId="0" borderId="42" xfId="0" applyFont="1" applyBorder="1"/>
    <xf numFmtId="166" fontId="20" fillId="0" borderId="78" xfId="12" applyFont="1" applyBorder="1" applyAlignment="1">
      <alignment horizontal="center" vertical="center"/>
    </xf>
    <xf numFmtId="171" fontId="90" fillId="16" borderId="107" xfId="0" applyFont="1" applyFill="1" applyBorder="1" applyAlignment="1">
      <alignment horizontal="center" vertical="center"/>
    </xf>
    <xf numFmtId="171" fontId="90" fillId="16" borderId="108" xfId="0" applyFont="1" applyFill="1" applyBorder="1" applyAlignment="1">
      <alignment horizontal="center" vertical="center"/>
    </xf>
    <xf numFmtId="171" fontId="90" fillId="16" borderId="109" xfId="0" applyFont="1" applyFill="1" applyBorder="1" applyAlignment="1">
      <alignment horizontal="center" vertical="center"/>
    </xf>
    <xf numFmtId="3" fontId="90" fillId="16" borderId="110" xfId="12" applyNumberFormat="1" applyFont="1" applyFill="1" applyBorder="1" applyAlignment="1">
      <alignment horizontal="center" vertical="center"/>
    </xf>
    <xf numFmtId="4" fontId="90" fillId="16" borderId="110" xfId="0" applyNumberFormat="1" applyFont="1" applyFill="1" applyBorder="1" applyAlignment="1">
      <alignment horizontal="center" vertical="center"/>
    </xf>
    <xf numFmtId="171" fontId="21" fillId="0" borderId="0" xfId="18" applyNumberFormat="1" applyFont="1" applyAlignment="1">
      <alignment horizontal="center" vertical="center"/>
    </xf>
    <xf numFmtId="171" fontId="91" fillId="0" borderId="0" xfId="0" applyFont="1" applyAlignment="1">
      <alignment horizontal="center" vertical="center" wrapText="1" shrinkToFit="1"/>
    </xf>
    <xf numFmtId="4" fontId="91" fillId="0" borderId="0" xfId="0" applyNumberFormat="1" applyFont="1" applyAlignment="1">
      <alignment horizontal="center" vertical="center" shrinkToFit="1"/>
    </xf>
    <xf numFmtId="171" fontId="92" fillId="0" borderId="0" xfId="0" applyFont="1" applyAlignment="1">
      <alignment horizontal="center" vertical="center" shrinkToFit="1"/>
    </xf>
    <xf numFmtId="171" fontId="91" fillId="0" borderId="0" xfId="18" applyFont="1" applyAlignment="1">
      <alignment horizontal="center" vertical="center" shrinkToFit="1"/>
    </xf>
    <xf numFmtId="4" fontId="3" fillId="0" borderId="0" xfId="18" applyNumberFormat="1" applyAlignment="1">
      <alignment horizontal="center" vertical="center"/>
    </xf>
    <xf numFmtId="171" fontId="93" fillId="0" borderId="0" xfId="0" applyFont="1" applyAlignment="1">
      <alignment horizontal="center" vertical="center" wrapText="1"/>
    </xf>
    <xf numFmtId="4" fontId="23" fillId="0" borderId="0" xfId="19" applyNumberFormat="1" applyFont="1" applyAlignment="1">
      <alignment horizontal="center" vertical="center" wrapText="1"/>
    </xf>
    <xf numFmtId="4" fontId="23" fillId="0" borderId="0" xfId="19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 wrapText="1"/>
    </xf>
    <xf numFmtId="4" fontId="23" fillId="0" borderId="0" xfId="18" applyNumberFormat="1" applyFont="1" applyAlignment="1">
      <alignment horizontal="center" vertical="center"/>
    </xf>
    <xf numFmtId="4" fontId="93" fillId="7" borderId="111" xfId="0" applyNumberFormat="1" applyFont="1" applyFill="1" applyBorder="1" applyAlignment="1">
      <alignment horizontal="center" vertical="center"/>
    </xf>
    <xf numFmtId="4" fontId="94" fillId="7" borderId="111" xfId="0" applyNumberFormat="1" applyFont="1" applyFill="1" applyBorder="1" applyAlignment="1">
      <alignment horizontal="center" vertical="center"/>
    </xf>
    <xf numFmtId="171" fontId="23" fillId="0" borderId="0" xfId="0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4" fontId="95" fillId="0" borderId="0" xfId="0" applyNumberFormat="1" applyFont="1" applyAlignment="1">
      <alignment horizontal="center" vertical="center"/>
    </xf>
    <xf numFmtId="171" fontId="23" fillId="9" borderId="0" xfId="0" applyFont="1" applyFill="1" applyAlignment="1">
      <alignment horizontal="center" vertical="center"/>
    </xf>
    <xf numFmtId="4" fontId="23" fillId="9" borderId="0" xfId="0" applyNumberFormat="1" applyFont="1" applyFill="1" applyAlignment="1">
      <alignment horizontal="center" vertical="center"/>
    </xf>
    <xf numFmtId="1" fontId="96" fillId="0" borderId="0" xfId="18" applyNumberFormat="1" applyFont="1" applyAlignment="1">
      <alignment horizontal="center" vertical="center"/>
    </xf>
    <xf numFmtId="171" fontId="96" fillId="0" borderId="0" xfId="18" applyNumberFormat="1" applyFont="1" applyAlignment="1">
      <alignment horizontal="center" vertical="center"/>
    </xf>
    <xf numFmtId="171" fontId="96" fillId="0" borderId="0" xfId="18" applyFont="1" applyAlignment="1">
      <alignment horizontal="center" vertical="center"/>
    </xf>
    <xf numFmtId="4" fontId="25" fillId="0" borderId="0" xfId="18" applyNumberFormat="1" applyFont="1" applyAlignment="1">
      <alignment horizontal="center" vertical="center"/>
    </xf>
    <xf numFmtId="171" fontId="25" fillId="0" borderId="0" xfId="18" applyFont="1" applyAlignment="1">
      <alignment horizontal="center" vertical="center"/>
    </xf>
    <xf numFmtId="49" fontId="97" fillId="0" borderId="0" xfId="18" applyNumberFormat="1" applyFont="1" applyAlignment="1">
      <alignment horizontal="center" vertical="center"/>
    </xf>
    <xf numFmtId="1" fontId="96" fillId="0" borderId="0" xfId="18" applyNumberFormat="1" applyFont="1" applyAlignment="1">
      <alignment horizontal="center" vertical="center" shrinkToFit="1"/>
    </xf>
    <xf numFmtId="171" fontId="21" fillId="0" borderId="0" xfId="18" applyFont="1" applyAlignment="1">
      <alignment horizontal="center" vertical="center"/>
    </xf>
    <xf numFmtId="4" fontId="98" fillId="0" borderId="0" xfId="18" applyNumberFormat="1" applyFont="1" applyAlignment="1">
      <alignment horizontal="center" vertical="center"/>
    </xf>
    <xf numFmtId="4" fontId="99" fillId="0" borderId="0" xfId="18" applyNumberFormat="1" applyFont="1" applyAlignment="1">
      <alignment horizontal="center" vertical="center"/>
    </xf>
    <xf numFmtId="4" fontId="99" fillId="7" borderId="0" xfId="18" applyNumberFormat="1" applyFont="1" applyFill="1" applyAlignment="1">
      <alignment horizontal="center" vertical="center"/>
    </xf>
    <xf numFmtId="1" fontId="21" fillId="0" borderId="0" xfId="18" applyNumberFormat="1" applyFont="1" applyAlignment="1">
      <alignment horizontal="center" vertical="center" shrinkToFit="1"/>
    </xf>
    <xf numFmtId="4" fontId="100" fillId="0" borderId="0" xfId="18" applyNumberFormat="1" applyFont="1" applyAlignment="1">
      <alignment horizontal="center" vertical="center"/>
    </xf>
    <xf numFmtId="4" fontId="98" fillId="0" borderId="0" xfId="18" applyNumberFormat="1" applyFont="1" applyFill="1" applyAlignment="1">
      <alignment horizontal="center" vertical="center"/>
    </xf>
    <xf numFmtId="171" fontId="101" fillId="0" borderId="0" xfId="18" applyFont="1" applyAlignment="1">
      <alignment horizontal="center" vertical="center"/>
    </xf>
    <xf numFmtId="1" fontId="21" fillId="0" borderId="0" xfId="18" applyNumberFormat="1" applyFont="1" applyAlignment="1">
      <alignment horizontal="center" vertical="center" wrapText="1" shrinkToFit="1"/>
    </xf>
    <xf numFmtId="49" fontId="104" fillId="17" borderId="0" xfId="18" applyNumberFormat="1" applyFont="1" applyFill="1" applyAlignment="1">
      <alignment horizontal="center" vertical="center"/>
    </xf>
    <xf numFmtId="171" fontId="105" fillId="17" borderId="0" xfId="18" applyFont="1" applyFill="1" applyAlignment="1">
      <alignment horizontal="center" vertical="center"/>
    </xf>
    <xf numFmtId="171" fontId="106" fillId="0" borderId="0" xfId="18" applyFont="1" applyAlignment="1">
      <alignment horizontal="center" vertical="center"/>
    </xf>
    <xf numFmtId="171" fontId="21" fillId="0" borderId="0" xfId="18" applyFont="1" applyAlignment="1">
      <alignment horizontal="center" vertical="center" shrinkToFit="1"/>
    </xf>
    <xf numFmtId="1" fontId="0" fillId="0" borderId="0" xfId="18" applyNumberFormat="1" applyFont="1" applyAlignment="1">
      <alignment horizontal="center" vertical="center"/>
    </xf>
    <xf numFmtId="171" fontId="3" fillId="0" borderId="0" xfId="18"/>
    <xf numFmtId="171" fontId="109" fillId="18" borderId="112" xfId="0" applyNumberFormat="1" applyFont="1" applyFill="1" applyBorder="1" applyAlignment="1" applyProtection="1">
      <alignment horizontal="center" vertical="center" wrapText="1"/>
      <protection hidden="1"/>
    </xf>
    <xf numFmtId="3" fontId="110" fillId="18" borderId="113" xfId="0" applyNumberFormat="1" applyFont="1" applyFill="1" applyBorder="1" applyAlignment="1" applyProtection="1">
      <alignment horizontal="center" vertical="center" wrapText="1"/>
      <protection hidden="1"/>
    </xf>
    <xf numFmtId="49" fontId="111" fillId="18" borderId="114" xfId="0" applyNumberFormat="1" applyFont="1" applyFill="1" applyBorder="1" applyAlignment="1" applyProtection="1">
      <alignment horizontal="center" vertical="center" wrapText="1"/>
      <protection hidden="1"/>
    </xf>
    <xf numFmtId="171" fontId="109" fillId="18" borderId="113" xfId="0" applyFont="1" applyFill="1" applyBorder="1" applyAlignment="1" applyProtection="1">
      <alignment horizontal="center" vertical="center" wrapText="1" shrinkToFit="1"/>
      <protection hidden="1"/>
    </xf>
    <xf numFmtId="171" fontId="109" fillId="18" borderId="114" xfId="0" applyNumberFormat="1" applyFont="1" applyFill="1" applyBorder="1" applyAlignment="1" applyProtection="1">
      <alignment horizontal="center" vertical="center" wrapText="1"/>
      <protection hidden="1"/>
    </xf>
    <xf numFmtId="171" fontId="109" fillId="18" borderId="113" xfId="0" applyFont="1" applyFill="1" applyBorder="1" applyAlignment="1" applyProtection="1">
      <alignment horizontal="center" vertical="center" wrapText="1"/>
      <protection hidden="1"/>
    </xf>
    <xf numFmtId="171" fontId="109" fillId="18" borderId="115" xfId="0" applyFont="1" applyFill="1" applyBorder="1" applyAlignment="1" applyProtection="1">
      <alignment horizontal="center" vertical="center" wrapText="1"/>
      <protection hidden="1"/>
    </xf>
    <xf numFmtId="171" fontId="112" fillId="0" borderId="116" xfId="0" applyNumberFormat="1" applyFont="1" applyBorder="1" applyAlignment="1" applyProtection="1">
      <alignment horizontal="center" vertical="center"/>
      <protection hidden="1"/>
    </xf>
    <xf numFmtId="3" fontId="112" fillId="0" borderId="116" xfId="0" applyNumberFormat="1" applyFont="1" applyBorder="1" applyAlignment="1" applyProtection="1">
      <alignment horizontal="center" vertical="center"/>
      <protection hidden="1"/>
    </xf>
    <xf numFmtId="49" fontId="113" fillId="18" borderId="117" xfId="0" applyNumberFormat="1" applyFont="1" applyFill="1" applyBorder="1" applyAlignment="1" applyProtection="1">
      <alignment horizontal="center" vertical="center"/>
      <protection hidden="1"/>
    </xf>
    <xf numFmtId="171" fontId="112" fillId="0" borderId="118" xfId="0" applyNumberFormat="1" applyFont="1" applyBorder="1" applyAlignment="1" applyProtection="1">
      <alignment horizontal="right" vertical="center" shrinkToFit="1"/>
      <protection hidden="1"/>
    </xf>
    <xf numFmtId="171" fontId="113" fillId="18" borderId="119" xfId="0" applyNumberFormat="1" applyFont="1" applyFill="1" applyBorder="1" applyAlignment="1" applyProtection="1">
      <alignment horizontal="center" vertical="center"/>
      <protection hidden="1"/>
    </xf>
    <xf numFmtId="49" fontId="113" fillId="18" borderId="119" xfId="0" applyNumberFormat="1" applyFont="1" applyFill="1" applyBorder="1" applyAlignment="1" applyProtection="1">
      <alignment horizontal="center" vertical="center"/>
      <protection hidden="1"/>
    </xf>
    <xf numFmtId="49" fontId="113" fillId="18" borderId="120" xfId="0" applyNumberFormat="1" applyFont="1" applyFill="1" applyBorder="1" applyAlignment="1" applyProtection="1">
      <alignment horizontal="center" vertical="center"/>
      <protection hidden="1"/>
    </xf>
    <xf numFmtId="4" fontId="19" fillId="0" borderId="118" xfId="0" applyNumberFormat="1" applyFont="1" applyBorder="1" applyAlignment="1" applyProtection="1">
      <alignment horizontal="center" vertical="center"/>
      <protection hidden="1"/>
    </xf>
    <xf numFmtId="4" fontId="114" fillId="0" borderId="121" xfId="0" applyNumberFormat="1" applyFont="1" applyBorder="1" applyAlignment="1" applyProtection="1">
      <alignment horizontal="center" vertical="center"/>
      <protection hidden="1"/>
    </xf>
    <xf numFmtId="49" fontId="113" fillId="18" borderId="122" xfId="0" applyNumberFormat="1" applyFont="1" applyFill="1" applyBorder="1" applyAlignment="1" applyProtection="1">
      <alignment horizontal="center" vertical="center"/>
      <protection hidden="1"/>
    </xf>
    <xf numFmtId="171" fontId="113" fillId="18" borderId="122" xfId="0" applyNumberFormat="1" applyFont="1" applyFill="1" applyBorder="1" applyAlignment="1" applyProtection="1">
      <alignment horizontal="center" vertical="center"/>
      <protection hidden="1"/>
    </xf>
    <xf numFmtId="49" fontId="113" fillId="18" borderId="123" xfId="0" applyNumberFormat="1" applyFont="1" applyFill="1" applyBorder="1" applyAlignment="1" applyProtection="1">
      <alignment horizontal="center" vertical="center"/>
      <protection hidden="1"/>
    </xf>
    <xf numFmtId="171" fontId="112" fillId="0" borderId="124" xfId="0" applyNumberFormat="1" applyFont="1" applyBorder="1" applyAlignment="1" applyProtection="1">
      <alignment horizontal="center" vertical="center"/>
      <protection hidden="1"/>
    </xf>
    <xf numFmtId="3" fontId="112" fillId="0" borderId="124" xfId="0" applyNumberFormat="1" applyFont="1" applyBorder="1" applyAlignment="1" applyProtection="1">
      <alignment horizontal="center" vertical="center"/>
      <protection hidden="1"/>
    </xf>
    <xf numFmtId="171" fontId="112" fillId="0" borderId="125" xfId="0" applyNumberFormat="1" applyFont="1" applyBorder="1" applyAlignment="1" applyProtection="1">
      <alignment horizontal="right" vertical="center" shrinkToFit="1"/>
      <protection hidden="1"/>
    </xf>
    <xf numFmtId="4" fontId="114" fillId="0" borderId="126" xfId="0" applyNumberFormat="1" applyFont="1" applyBorder="1" applyAlignment="1" applyProtection="1">
      <alignment horizontal="center" vertical="center"/>
      <protection hidden="1"/>
    </xf>
    <xf numFmtId="171" fontId="112" fillId="0" borderId="127" xfId="0" applyNumberFormat="1" applyFont="1" applyBorder="1" applyAlignment="1" applyProtection="1">
      <alignment horizontal="right" vertical="center" shrinkToFit="1"/>
      <protection hidden="1"/>
    </xf>
    <xf numFmtId="171" fontId="113" fillId="18" borderId="128" xfId="0" applyNumberFormat="1" applyFont="1" applyFill="1" applyBorder="1" applyAlignment="1" applyProtection="1">
      <alignment horizontal="center" vertical="center"/>
      <protection hidden="1"/>
    </xf>
    <xf numFmtId="171" fontId="113" fillId="18" borderId="129" xfId="0" applyNumberFormat="1" applyFont="1" applyFill="1" applyBorder="1" applyAlignment="1" applyProtection="1">
      <alignment horizontal="center" vertical="center"/>
      <protection hidden="1"/>
    </xf>
    <xf numFmtId="49" fontId="113" fillId="18" borderId="129" xfId="0" applyNumberFormat="1" applyFont="1" applyFill="1" applyBorder="1" applyAlignment="1" applyProtection="1">
      <alignment horizontal="center" vertical="center"/>
      <protection hidden="1"/>
    </xf>
    <xf numFmtId="49" fontId="113" fillId="18" borderId="0" xfId="0" applyNumberFormat="1" applyFont="1" applyFill="1" applyBorder="1" applyAlignment="1" applyProtection="1">
      <alignment horizontal="center" vertical="center"/>
      <protection hidden="1"/>
    </xf>
    <xf numFmtId="171" fontId="112" fillId="0" borderId="130" xfId="0" applyNumberFormat="1" applyFont="1" applyBorder="1" applyAlignment="1" applyProtection="1">
      <alignment horizontal="right" vertical="center" shrinkToFit="1"/>
      <protection hidden="1"/>
    </xf>
    <xf numFmtId="171" fontId="113" fillId="18" borderId="131" xfId="0" applyNumberFormat="1" applyFont="1" applyFill="1" applyBorder="1" applyAlignment="1" applyProtection="1">
      <alignment horizontal="center" vertical="center"/>
      <protection hidden="1"/>
    </xf>
    <xf numFmtId="49" fontId="113" fillId="18" borderId="131" xfId="0" applyNumberFormat="1" applyFont="1" applyFill="1" applyBorder="1" applyAlignment="1" applyProtection="1">
      <alignment horizontal="center" vertical="center"/>
      <protection hidden="1"/>
    </xf>
    <xf numFmtId="4" fontId="19" fillId="0" borderId="130" xfId="0" applyNumberFormat="1" applyFont="1" applyBorder="1" applyAlignment="1" applyProtection="1">
      <alignment horizontal="center" vertical="center"/>
      <protection hidden="1"/>
    </xf>
    <xf numFmtId="4" fontId="114" fillId="0" borderId="124" xfId="0" applyNumberFormat="1" applyFont="1" applyBorder="1" applyAlignment="1" applyProtection="1">
      <alignment horizontal="center" vertical="center"/>
      <protection hidden="1"/>
    </xf>
    <xf numFmtId="171" fontId="112" fillId="0" borderId="124" xfId="0" applyNumberFormat="1" applyFont="1" applyBorder="1" applyAlignment="1" applyProtection="1">
      <alignment horizontal="center" vertical="center"/>
      <protection hidden="1"/>
    </xf>
    <xf numFmtId="171" fontId="112" fillId="0" borderId="132" xfId="0" applyNumberFormat="1" applyFont="1" applyBorder="1" applyAlignment="1" applyProtection="1">
      <alignment horizontal="right" vertical="center" shrinkToFit="1"/>
      <protection hidden="1"/>
    </xf>
    <xf numFmtId="49" fontId="115" fillId="18" borderId="133" xfId="0" applyNumberFormat="1" applyFont="1" applyFill="1" applyBorder="1" applyAlignment="1" applyProtection="1">
      <alignment horizontal="center" vertical="center"/>
      <protection hidden="1"/>
    </xf>
    <xf numFmtId="4" fontId="114" fillId="0" borderId="116" xfId="0" applyNumberFormat="1" applyFont="1" applyBorder="1" applyAlignment="1" applyProtection="1">
      <alignment horizontal="center" vertical="center"/>
      <protection hidden="1"/>
    </xf>
    <xf numFmtId="171" fontId="116" fillId="18" borderId="112" xfId="0" applyFont="1" applyFill="1" applyBorder="1" applyAlignment="1" applyProtection="1">
      <alignment horizontal="center" vertical="center" shrinkToFit="1"/>
      <protection hidden="1"/>
    </xf>
    <xf numFmtId="4" fontId="0" fillId="19" borderId="113" xfId="0" applyNumberFormat="1" applyFont="1" applyFill="1" applyBorder="1" applyAlignment="1" applyProtection="1">
      <alignment horizontal="center" vertical="center"/>
      <protection hidden="1"/>
    </xf>
    <xf numFmtId="171" fontId="117" fillId="20" borderId="135" xfId="0" applyFont="1" applyFill="1" applyBorder="1" applyAlignment="1" applyProtection="1">
      <alignment horizontal="center" vertical="center" shrinkToFit="1"/>
      <protection hidden="1"/>
    </xf>
    <xf numFmtId="4" fontId="118" fillId="21" borderId="135" xfId="0" applyNumberFormat="1" applyFont="1" applyFill="1" applyBorder="1" applyAlignment="1" applyProtection="1">
      <alignment horizontal="center" vertical="center"/>
      <protection hidden="1"/>
    </xf>
    <xf numFmtId="4" fontId="119" fillId="21" borderId="135" xfId="0" applyNumberFormat="1" applyFont="1" applyFill="1" applyBorder="1" applyAlignment="1" applyProtection="1">
      <alignment horizontal="center" vertical="center"/>
      <protection hidden="1"/>
    </xf>
    <xf numFmtId="171" fontId="112" fillId="0" borderId="0" xfId="0" applyNumberFormat="1" applyFont="1" applyBorder="1" applyAlignment="1" applyProtection="1">
      <alignment vertical="center"/>
      <protection hidden="1"/>
    </xf>
    <xf numFmtId="49" fontId="0" fillId="0" borderId="0" xfId="0" applyNumberFormat="1"/>
    <xf numFmtId="171" fontId="120" fillId="0" borderId="0" xfId="0" applyFont="1"/>
    <xf numFmtId="171" fontId="121" fillId="0" borderId="0" xfId="0" applyFont="1" applyBorder="1" applyAlignment="1" applyProtection="1">
      <alignment horizontal="center"/>
      <protection hidden="1"/>
    </xf>
    <xf numFmtId="171" fontId="121" fillId="0" borderId="0" xfId="0" applyNumberFormat="1" applyFont="1" applyBorder="1" applyAlignment="1" applyProtection="1">
      <alignment horizontal="center"/>
      <protection hidden="1"/>
    </xf>
    <xf numFmtId="49" fontId="0" fillId="0" borderId="0" xfId="0" applyNumberFormat="1" applyFont="1" applyAlignment="1" applyProtection="1">
      <alignment horizontal="center" vertical="center"/>
      <protection hidden="1"/>
    </xf>
    <xf numFmtId="171" fontId="115" fillId="0" borderId="0" xfId="0" applyFont="1" applyBorder="1" applyAlignment="1" applyProtection="1">
      <alignment horizontal="right" shrinkToFit="1"/>
      <protection hidden="1"/>
    </xf>
    <xf numFmtId="171" fontId="85" fillId="7" borderId="0" xfId="0" applyFont="1" applyFill="1" applyAlignment="1">
      <alignment horizontal="center" vertical="center" shrinkToFit="1"/>
    </xf>
    <xf numFmtId="171" fontId="7" fillId="7" borderId="0" xfId="0" applyFont="1" applyFill="1" applyAlignment="1">
      <alignment horizontal="center" vertical="center" shrinkToFit="1"/>
    </xf>
    <xf numFmtId="0" fontId="121" fillId="0" borderId="82" xfId="0" applyNumberFormat="1" applyFont="1" applyFill="1" applyBorder="1" applyAlignment="1">
      <alignment horizontal="center" vertical="center" shrinkToFit="1"/>
    </xf>
    <xf numFmtId="0" fontId="117" fillId="12" borderId="83" xfId="0" applyNumberFormat="1" applyFont="1" applyFill="1" applyBorder="1" applyAlignment="1">
      <alignment horizontal="center" vertical="center" shrinkToFit="1"/>
    </xf>
    <xf numFmtId="0" fontId="122" fillId="0" borderId="0" xfId="0" applyNumberFormat="1" applyFont="1" applyAlignment="1">
      <alignment horizontal="center" vertical="center" shrinkToFit="1"/>
    </xf>
    <xf numFmtId="0" fontId="117" fillId="0" borderId="82" xfId="0" applyNumberFormat="1" applyFont="1" applyFill="1" applyBorder="1" applyAlignment="1">
      <alignment horizontal="center" vertical="center" shrinkToFit="1"/>
    </xf>
    <xf numFmtId="164" fontId="4" fillId="0" borderId="0" xfId="0" applyNumberFormat="1" applyFont="1"/>
    <xf numFmtId="164" fontId="0" fillId="0" borderId="0" xfId="0" applyNumberFormat="1"/>
    <xf numFmtId="164" fontId="4" fillId="0" borderId="0" xfId="0" applyNumberFormat="1" applyFont="1" applyAlignment="1">
      <alignment horizontal="center" vertical="center"/>
    </xf>
    <xf numFmtId="164" fontId="19" fillId="0" borderId="56" xfId="0" applyNumberFormat="1" applyFont="1" applyBorder="1" applyAlignment="1">
      <alignment horizontal="center" vertical="center"/>
    </xf>
    <xf numFmtId="164" fontId="19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53" xfId="0" applyNumberFormat="1" applyFont="1" applyBorder="1"/>
    <xf numFmtId="164" fontId="0" fillId="0" borderId="53" xfId="0" applyNumberFormat="1" applyBorder="1"/>
    <xf numFmtId="164" fontId="4" fillId="0" borderId="53" xfId="0" applyNumberFormat="1" applyFont="1" applyBorder="1" applyAlignment="1">
      <alignment horizontal="center" vertical="center"/>
    </xf>
    <xf numFmtId="172" fontId="19" fillId="0" borderId="0" xfId="0" applyNumberFormat="1" applyFont="1" applyAlignment="1">
      <alignment horizontal="center" vertical="center"/>
    </xf>
    <xf numFmtId="172" fontId="0" fillId="0" borderId="0" xfId="0" applyNumberFormat="1"/>
    <xf numFmtId="172" fontId="26" fillId="0" borderId="0" xfId="0" applyNumberFormat="1" applyFont="1" applyAlignment="1">
      <alignment horizontal="center" vertical="center"/>
    </xf>
    <xf numFmtId="172" fontId="19" fillId="0" borderId="54" xfId="0" applyNumberFormat="1" applyFont="1" applyBorder="1" applyAlignment="1">
      <alignment horizontal="center" vertical="center"/>
    </xf>
    <xf numFmtId="172" fontId="19" fillId="0" borderId="55" xfId="0" applyNumberFormat="1" applyFont="1" applyBorder="1" applyAlignment="1">
      <alignment horizontal="center" vertical="center"/>
    </xf>
    <xf numFmtId="172" fontId="19" fillId="0" borderId="56" xfId="0" applyNumberFormat="1" applyFont="1" applyBorder="1"/>
    <xf numFmtId="172" fontId="19" fillId="0" borderId="0" xfId="0" applyNumberFormat="1" applyFont="1"/>
    <xf numFmtId="172" fontId="19" fillId="0" borderId="56" xfId="0" applyNumberFormat="1" applyFont="1" applyBorder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172" fontId="4" fillId="0" borderId="0" xfId="0" applyNumberFormat="1" applyFont="1"/>
    <xf numFmtId="172" fontId="4" fillId="0" borderId="54" xfId="0" applyNumberFormat="1" applyFon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1" fontId="25" fillId="0" borderId="0" xfId="3" applyFont="1" applyAlignment="1">
      <alignment horizontal="center" vertical="center"/>
    </xf>
    <xf numFmtId="166" fontId="17" fillId="0" borderId="8" xfId="12" applyFont="1" applyFill="1" applyBorder="1" applyAlignment="1">
      <alignment horizontal="center" vertical="center"/>
    </xf>
    <xf numFmtId="166" fontId="17" fillId="0" borderId="42" xfId="12" applyFont="1" applyFill="1" applyBorder="1" applyAlignment="1">
      <alignment horizontal="center" vertical="center"/>
    </xf>
    <xf numFmtId="166" fontId="17" fillId="0" borderId="6" xfId="12" applyFont="1" applyFill="1" applyBorder="1" applyAlignment="1">
      <alignment horizontal="center" vertical="center"/>
    </xf>
    <xf numFmtId="171" fontId="17" fillId="0" borderId="12" xfId="3" applyFont="1" applyFill="1" applyBorder="1" applyAlignment="1">
      <alignment horizontal="right" vertical="center"/>
    </xf>
    <xf numFmtId="171" fontId="17" fillId="0" borderId="50" xfId="3" applyFont="1" applyFill="1" applyBorder="1" applyAlignment="1">
      <alignment horizontal="right" vertical="center"/>
    </xf>
    <xf numFmtId="171" fontId="17" fillId="0" borderId="51" xfId="3" applyFont="1" applyFill="1" applyBorder="1" applyAlignment="1">
      <alignment horizontal="right" vertical="center"/>
    </xf>
    <xf numFmtId="171" fontId="17" fillId="0" borderId="0" xfId="3" applyFont="1" applyFill="1" applyAlignment="1">
      <alignment horizontal="center" vertical="center"/>
    </xf>
    <xf numFmtId="4" fontId="25" fillId="0" borderId="43" xfId="3" applyNumberFormat="1" applyFont="1" applyBorder="1" applyAlignment="1">
      <alignment horizontal="center" vertical="center"/>
    </xf>
    <xf numFmtId="4" fontId="25" fillId="0" borderId="44" xfId="3" applyNumberFormat="1" applyFont="1" applyBorder="1" applyAlignment="1">
      <alignment horizontal="center" vertical="center"/>
    </xf>
    <xf numFmtId="4" fontId="125" fillId="0" borderId="43" xfId="3" applyNumberFormat="1" applyFont="1" applyBorder="1" applyAlignment="1">
      <alignment horizontal="center" vertical="center"/>
    </xf>
    <xf numFmtId="171" fontId="125" fillId="0" borderId="0" xfId="3" applyFont="1" applyAlignment="1">
      <alignment horizontal="center" vertical="center"/>
    </xf>
    <xf numFmtId="1" fontId="52" fillId="0" borderId="8" xfId="0" applyNumberFormat="1" applyFont="1" applyBorder="1"/>
    <xf numFmtId="164" fontId="31" fillId="0" borderId="8" xfId="0" applyNumberFormat="1" applyFont="1" applyBorder="1" applyAlignment="1">
      <alignment horizontal="center" vertical="center"/>
    </xf>
    <xf numFmtId="164" fontId="31" fillId="0" borderId="8" xfId="12" applyNumberFormat="1" applyFont="1" applyBorder="1" applyAlignment="1">
      <alignment horizontal="center" vertical="center"/>
    </xf>
    <xf numFmtId="1" fontId="19" fillId="0" borderId="8" xfId="0" applyNumberFormat="1" applyFont="1" applyBorder="1" applyAlignment="1">
      <alignment horizontal="center" vertical="center"/>
    </xf>
    <xf numFmtId="171" fontId="31" fillId="0" borderId="8" xfId="0" applyFont="1" applyBorder="1"/>
    <xf numFmtId="164" fontId="20" fillId="7" borderId="8" xfId="0" applyNumberFormat="1" applyFont="1" applyFill="1" applyBorder="1" applyAlignment="1">
      <alignment horizontal="center" vertical="center"/>
    </xf>
    <xf numFmtId="171" fontId="17" fillId="0" borderId="26" xfId="3" applyFont="1" applyBorder="1" applyAlignment="1">
      <alignment horizontal="center" vertical="center" readingOrder="2"/>
    </xf>
    <xf numFmtId="14" fontId="17" fillId="0" borderId="26" xfId="3" applyNumberFormat="1" applyFont="1" applyBorder="1" applyAlignment="1">
      <alignment horizontal="center" vertical="center" readingOrder="2"/>
    </xf>
    <xf numFmtId="171" fontId="17" fillId="0" borderId="27" xfId="3" applyFont="1" applyBorder="1" applyAlignment="1">
      <alignment horizontal="center" vertical="center" readingOrder="2"/>
    </xf>
    <xf numFmtId="171" fontId="17" fillId="0" borderId="28" xfId="3" applyFont="1" applyBorder="1" applyAlignment="1">
      <alignment horizontal="center" vertical="center" readingOrder="2"/>
    </xf>
    <xf numFmtId="41" fontId="0" fillId="0" borderId="0" xfId="12" applyNumberFormat="1" applyFont="1" applyAlignment="1">
      <alignment horizontal="center" vertical="center"/>
    </xf>
    <xf numFmtId="171" fontId="21" fillId="0" borderId="53" xfId="0" applyFont="1" applyBorder="1"/>
    <xf numFmtId="171" fontId="0" fillId="0" borderId="53" xfId="0" applyFont="1" applyBorder="1"/>
    <xf numFmtId="171" fontId="0" fillId="0" borderId="0" xfId="0" applyFont="1" applyBorder="1"/>
    <xf numFmtId="1" fontId="0" fillId="0" borderId="53" xfId="0" applyNumberFormat="1" applyFont="1" applyBorder="1" applyAlignment="1">
      <alignment horizontal="center" vertical="center"/>
    </xf>
    <xf numFmtId="171" fontId="0" fillId="0" borderId="0" xfId="0" applyFont="1"/>
    <xf numFmtId="171" fontId="20" fillId="0" borderId="0" xfId="0" applyFont="1" applyBorder="1" applyAlignment="1">
      <alignment horizontal="right" readingOrder="2"/>
    </xf>
    <xf numFmtId="171" fontId="19" fillId="0" borderId="0" xfId="0" applyFont="1" applyBorder="1" applyAlignment="1">
      <alignment horizontal="right" readingOrder="2"/>
    </xf>
    <xf numFmtId="171" fontId="0" fillId="0" borderId="61" xfId="0" applyFont="1" applyBorder="1"/>
    <xf numFmtId="171" fontId="18" fillId="0" borderId="0" xfId="0" applyFont="1" applyBorder="1" applyAlignment="1">
      <alignment horizontal="right" readingOrder="2"/>
    </xf>
    <xf numFmtId="171" fontId="26" fillId="0" borderId="0" xfId="0" applyFont="1" applyBorder="1" applyAlignment="1">
      <alignment horizontal="right" readingOrder="2"/>
    </xf>
    <xf numFmtId="171" fontId="18" fillId="0" borderId="0" xfId="0" applyFont="1"/>
    <xf numFmtId="171" fontId="20" fillId="0" borderId="0" xfId="0" applyFont="1"/>
    <xf numFmtId="3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3" fontId="0" fillId="7" borderId="0" xfId="0" applyNumberFormat="1" applyFont="1" applyFill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71" fontId="126" fillId="0" borderId="0" xfId="0" applyFont="1"/>
    <xf numFmtId="171" fontId="18" fillId="0" borderId="0" xfId="0" applyFont="1" applyAlignment="1">
      <alignment vertical="center"/>
    </xf>
    <xf numFmtId="171" fontId="0" fillId="0" borderId="0" xfId="0" applyFont="1" applyAlignment="1">
      <alignment vertical="center"/>
    </xf>
    <xf numFmtId="171" fontId="126" fillId="0" borderId="0" xfId="0" applyFont="1" applyAlignment="1">
      <alignment vertical="center"/>
    </xf>
    <xf numFmtId="171" fontId="48" fillId="0" borderId="0" xfId="0" applyFont="1" applyAlignment="1">
      <alignment horizontal="center" vertical="center"/>
    </xf>
    <xf numFmtId="1" fontId="48" fillId="0" borderId="0" xfId="0" applyNumberFormat="1" applyFont="1" applyAlignment="1">
      <alignment horizontal="center" vertical="center"/>
    </xf>
    <xf numFmtId="171" fontId="20" fillId="0" borderId="0" xfId="0" applyFont="1" applyAlignment="1">
      <alignment vertical="center"/>
    </xf>
    <xf numFmtId="1" fontId="0" fillId="0" borderId="61" xfId="0" applyNumberFormat="1" applyFont="1" applyBorder="1" applyAlignment="1">
      <alignment horizontal="center" vertical="center"/>
    </xf>
    <xf numFmtId="41" fontId="0" fillId="0" borderId="0" xfId="0" applyNumberFormat="1" applyFont="1" applyAlignment="1">
      <alignment vertical="center"/>
    </xf>
    <xf numFmtId="41" fontId="0" fillId="0" borderId="0" xfId="0" applyNumberFormat="1" applyFont="1" applyAlignment="1">
      <alignment horizontal="center" vertical="center"/>
    </xf>
    <xf numFmtId="166" fontId="19" fillId="0" borderId="0" xfId="12" applyFont="1"/>
    <xf numFmtId="166" fontId="0" fillId="0" borderId="0" xfId="12" applyFont="1" applyAlignment="1">
      <alignment vertical="center"/>
    </xf>
    <xf numFmtId="3" fontId="0" fillId="0" borderId="0" xfId="0" applyNumberFormat="1" applyFont="1" applyFill="1" applyAlignment="1">
      <alignment horizontal="center" vertical="center"/>
    </xf>
    <xf numFmtId="166" fontId="0" fillId="0" borderId="0" xfId="12" applyFont="1" applyFill="1" applyAlignment="1">
      <alignment horizontal="center" vertical="center"/>
    </xf>
    <xf numFmtId="41" fontId="0" fillId="0" borderId="0" xfId="12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37" fontId="0" fillId="0" borderId="0" xfId="12" applyNumberFormat="1" applyFont="1" applyAlignment="1">
      <alignment horizontal="center" vertical="center"/>
    </xf>
    <xf numFmtId="37" fontId="20" fillId="0" borderId="0" xfId="12" applyNumberFormat="1" applyFont="1" applyAlignment="1">
      <alignment horizontal="center" vertical="center"/>
    </xf>
    <xf numFmtId="171" fontId="20" fillId="0" borderId="0" xfId="0" applyFont="1" applyAlignment="1">
      <alignment horizontal="center" vertical="center"/>
    </xf>
    <xf numFmtId="171" fontId="20" fillId="0" borderId="0" xfId="0" applyFont="1" applyAlignment="1">
      <alignment horizontal="center" vertical="center" wrapText="1" shrinkToFit="1"/>
    </xf>
    <xf numFmtId="0" fontId="20" fillId="0" borderId="0" xfId="0" applyNumberFormat="1" applyFont="1" applyAlignment="1">
      <alignment horizontal="center" vertical="center" wrapText="1" shrinkToFit="1"/>
    </xf>
    <xf numFmtId="37" fontId="20" fillId="0" borderId="0" xfId="12" applyNumberFormat="1" applyFont="1" applyAlignment="1">
      <alignment horizontal="center" vertical="center" wrapText="1" shrinkToFit="1"/>
    </xf>
    <xf numFmtId="173" fontId="20" fillId="0" borderId="0" xfId="0" applyNumberFormat="1" applyFont="1" applyAlignment="1">
      <alignment horizontal="center" vertical="center" wrapText="1" shrinkToFit="1"/>
    </xf>
    <xf numFmtId="170" fontId="20" fillId="0" borderId="0" xfId="0" applyNumberFormat="1" applyFont="1" applyAlignment="1">
      <alignment horizontal="center" vertical="center" wrapText="1" shrinkToFit="1"/>
    </xf>
    <xf numFmtId="3" fontId="96" fillId="13" borderId="105" xfId="0" applyNumberFormat="1" applyFont="1" applyFill="1" applyBorder="1" applyAlignment="1">
      <alignment horizontal="center" vertical="center"/>
    </xf>
    <xf numFmtId="171" fontId="87" fillId="13" borderId="49" xfId="0" applyFont="1" applyFill="1" applyBorder="1" applyAlignment="1">
      <alignment horizontal="center" vertical="center"/>
    </xf>
    <xf numFmtId="1" fontId="52" fillId="0" borderId="84" xfId="0" applyNumberFormat="1" applyFont="1" applyBorder="1"/>
    <xf numFmtId="1" fontId="52" fillId="0" borderId="77" xfId="0" applyNumberFormat="1" applyFont="1" applyBorder="1"/>
    <xf numFmtId="3" fontId="96" fillId="16" borderId="110" xfId="0" applyNumberFormat="1" applyFont="1" applyFill="1" applyBorder="1" applyAlignment="1">
      <alignment horizontal="center" vertical="center"/>
    </xf>
    <xf numFmtId="166" fontId="127" fillId="0" borderId="0" xfId="17" applyFont="1" applyAlignment="1">
      <alignment horizontal="center" vertical="center"/>
    </xf>
    <xf numFmtId="174" fontId="3" fillId="0" borderId="0" xfId="20" applyFont="1"/>
    <xf numFmtId="171" fontId="19" fillId="0" borderId="61" xfId="0" applyFont="1" applyBorder="1" applyAlignment="1">
      <alignment horizontal="right" readingOrder="2"/>
    </xf>
    <xf numFmtId="174" fontId="3" fillId="0" borderId="0" xfId="20" applyFont="1" applyAlignment="1">
      <alignment horizontal="center" vertical="center"/>
    </xf>
    <xf numFmtId="174" fontId="3" fillId="0" borderId="0" xfId="20" applyFont="1" applyAlignment="1">
      <alignment horizontal="center" vertical="center" wrapText="1"/>
    </xf>
    <xf numFmtId="167" fontId="20" fillId="0" borderId="0" xfId="17" applyNumberFormat="1" applyFont="1" applyAlignment="1">
      <alignment horizontal="center" vertical="center"/>
    </xf>
    <xf numFmtId="9" fontId="20" fillId="0" borderId="0" xfId="17" applyNumberFormat="1" applyFont="1" applyAlignment="1">
      <alignment horizontal="center" vertical="center"/>
    </xf>
    <xf numFmtId="174" fontId="20" fillId="0" borderId="0" xfId="17" applyNumberFormat="1" applyFont="1" applyAlignment="1">
      <alignment horizontal="center" vertical="center"/>
    </xf>
    <xf numFmtId="37" fontId="20" fillId="0" borderId="0" xfId="17" applyNumberFormat="1" applyFont="1" applyAlignment="1">
      <alignment horizontal="center" vertical="center"/>
    </xf>
    <xf numFmtId="167" fontId="135" fillId="0" borderId="0" xfId="17" applyNumberFormat="1" applyFont="1" applyAlignment="1">
      <alignment horizontal="center" vertical="center"/>
    </xf>
    <xf numFmtId="167" fontId="20" fillId="0" borderId="0" xfId="17" applyNumberFormat="1" applyFont="1" applyAlignment="1">
      <alignment horizontal="center" vertical="center" shrinkToFit="1"/>
    </xf>
    <xf numFmtId="174" fontId="20" fillId="0" borderId="0" xfId="20" applyFont="1"/>
    <xf numFmtId="171" fontId="136" fillId="0" borderId="0" xfId="1" applyFont="1" applyAlignment="1" applyProtection="1">
      <alignment horizontal="center" vertical="center"/>
    </xf>
    <xf numFmtId="3" fontId="7" fillId="0" borderId="0" xfId="0" applyNumberFormat="1" applyFont="1" applyFill="1" applyAlignment="1">
      <alignment horizontal="right" vertical="center" shrinkToFit="1"/>
    </xf>
    <xf numFmtId="1" fontId="53" fillId="0" borderId="61" xfId="0" applyNumberFormat="1" applyFont="1" applyBorder="1" applyAlignment="1">
      <alignment horizontal="center" vertical="center"/>
    </xf>
    <xf numFmtId="1" fontId="52" fillId="0" borderId="52" xfId="0" applyNumberFormat="1" applyFont="1" applyBorder="1"/>
    <xf numFmtId="166" fontId="20" fillId="0" borderId="79" xfId="12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3" fontId="4" fillId="0" borderId="53" xfId="0" applyNumberFormat="1" applyFont="1" applyBorder="1" applyAlignment="1">
      <alignment horizontal="center" vertical="center"/>
    </xf>
    <xf numFmtId="171" fontId="0" fillId="0" borderId="61" xfId="0" applyBorder="1" applyAlignment="1">
      <alignment horizontal="center" vertical="center" readingOrder="2"/>
    </xf>
    <xf numFmtId="171" fontId="138" fillId="0" borderId="0" xfId="0" applyFont="1"/>
    <xf numFmtId="171" fontId="53" fillId="13" borderId="11" xfId="0" applyFont="1" applyFill="1" applyBorder="1" applyAlignment="1">
      <alignment horizontal="center" vertical="center"/>
    </xf>
    <xf numFmtId="171" fontId="53" fillId="13" borderId="49" xfId="0" applyFont="1" applyFill="1" applyBorder="1" applyAlignment="1">
      <alignment horizontal="center" vertical="center"/>
    </xf>
    <xf numFmtId="1" fontId="53" fillId="13" borderId="43" xfId="0" applyNumberFormat="1" applyFont="1" applyFill="1" applyBorder="1" applyAlignment="1">
      <alignment horizontal="center" vertical="center"/>
    </xf>
    <xf numFmtId="4" fontId="53" fillId="13" borderId="44" xfId="0" applyNumberFormat="1" applyFont="1" applyFill="1" applyBorder="1" applyAlignment="1">
      <alignment horizontal="center" vertical="center"/>
    </xf>
    <xf numFmtId="1" fontId="0" fillId="0" borderId="0" xfId="0" applyNumberFormat="1" applyFont="1"/>
    <xf numFmtId="1" fontId="53" fillId="3" borderId="46" xfId="0" applyNumberFormat="1" applyFont="1" applyFill="1" applyBorder="1"/>
    <xf numFmtId="1" fontId="53" fillId="3" borderId="8" xfId="0" applyNumberFormat="1" applyFont="1" applyFill="1" applyBorder="1"/>
    <xf numFmtId="1" fontId="53" fillId="0" borderId="8" xfId="0" applyNumberFormat="1" applyFont="1" applyBorder="1"/>
    <xf numFmtId="4" fontId="4" fillId="13" borderId="44" xfId="0" applyNumberFormat="1" applyFont="1" applyFill="1" applyBorder="1"/>
    <xf numFmtId="4" fontId="0" fillId="0" borderId="0" xfId="0" applyNumberFormat="1" applyFont="1" applyFill="1"/>
    <xf numFmtId="171" fontId="0" fillId="0" borderId="50" xfId="0" applyFont="1" applyBorder="1"/>
    <xf numFmtId="1" fontId="0" fillId="0" borderId="50" xfId="0" applyNumberFormat="1" applyFont="1" applyBorder="1"/>
    <xf numFmtId="4" fontId="0" fillId="0" borderId="50" xfId="0" applyNumberFormat="1" applyFont="1" applyBorder="1"/>
    <xf numFmtId="4" fontId="0" fillId="0" borderId="0" xfId="0" applyNumberFormat="1" applyFont="1"/>
    <xf numFmtId="1" fontId="50" fillId="13" borderId="12" xfId="0" applyNumberFormat="1" applyFont="1" applyFill="1" applyBorder="1" applyAlignment="1">
      <alignment horizontal="center"/>
    </xf>
    <xf numFmtId="1" fontId="50" fillId="13" borderId="49" xfId="0" applyNumberFormat="1" applyFont="1" applyFill="1" applyBorder="1" applyAlignment="1">
      <alignment horizontal="center"/>
    </xf>
    <xf numFmtId="171" fontId="140" fillId="0" borderId="9" xfId="1" applyFont="1" applyFill="1" applyBorder="1" applyAlignment="1" applyProtection="1">
      <alignment horizontal="center" vertical="center" shrinkToFit="1"/>
    </xf>
    <xf numFmtId="171" fontId="142" fillId="13" borderId="11" xfId="0" applyFont="1" applyFill="1" applyBorder="1" applyAlignment="1">
      <alignment horizontal="center" vertical="center"/>
    </xf>
    <xf numFmtId="171" fontId="142" fillId="13" borderId="43" xfId="0" applyFont="1" applyFill="1" applyBorder="1" applyAlignment="1">
      <alignment horizontal="center" vertical="center"/>
    </xf>
    <xf numFmtId="4" fontId="142" fillId="13" borderId="44" xfId="0" applyNumberFormat="1" applyFont="1" applyFill="1" applyBorder="1" applyAlignment="1">
      <alignment horizontal="center" vertical="center"/>
    </xf>
    <xf numFmtId="171" fontId="142" fillId="0" borderId="46" xfId="0" applyFont="1" applyBorder="1" applyAlignment="1">
      <alignment horizontal="center" vertical="center"/>
    </xf>
    <xf numFmtId="171" fontId="142" fillId="0" borderId="8" xfId="0" applyFont="1" applyBorder="1" applyAlignment="1">
      <alignment horizontal="center" vertical="center"/>
    </xf>
    <xf numFmtId="171" fontId="142" fillId="0" borderId="6" xfId="0" applyFont="1" applyBorder="1" applyAlignment="1">
      <alignment horizontal="center" vertical="center"/>
    </xf>
    <xf numFmtId="4" fontId="53" fillId="7" borderId="71" xfId="0" applyNumberFormat="1" applyFont="1" applyFill="1" applyBorder="1" applyAlignment="1">
      <alignment horizontal="center" vertical="center"/>
    </xf>
    <xf numFmtId="4" fontId="53" fillId="7" borderId="48" xfId="0" applyNumberFormat="1" applyFont="1" applyFill="1" applyBorder="1" applyAlignment="1">
      <alignment horizontal="center" vertical="center"/>
    </xf>
    <xf numFmtId="4" fontId="9" fillId="7" borderId="7" xfId="0" applyNumberFormat="1" applyFont="1" applyFill="1" applyBorder="1" applyAlignment="1">
      <alignment horizontal="right" vertical="center" shrinkToFit="1"/>
    </xf>
    <xf numFmtId="4" fontId="9" fillId="7" borderId="8" xfId="0" applyNumberFormat="1" applyFont="1" applyFill="1" applyBorder="1" applyAlignment="1">
      <alignment horizontal="right" vertical="center" shrinkToFit="1"/>
    </xf>
    <xf numFmtId="171" fontId="42" fillId="0" borderId="80" xfId="0" applyFont="1" applyFill="1" applyBorder="1" applyAlignment="1">
      <alignment horizontal="center" vertical="center" shrinkToFit="1"/>
    </xf>
    <xf numFmtId="171" fontId="42" fillId="0" borderId="81" xfId="0" applyFont="1" applyFill="1" applyBorder="1" applyAlignment="1">
      <alignment horizontal="center" vertical="center" shrinkToFit="1"/>
    </xf>
    <xf numFmtId="171" fontId="5" fillId="0" borderId="0" xfId="1" applyAlignment="1" applyProtection="1">
      <alignment horizontal="center" vertical="center"/>
    </xf>
    <xf numFmtId="171" fontId="143" fillId="0" borderId="0" xfId="1" applyFont="1" applyAlignment="1" applyProtection="1">
      <alignment horizontal="center" vertical="center"/>
    </xf>
    <xf numFmtId="1" fontId="144" fillId="0" borderId="0" xfId="0" applyNumberFormat="1" applyFont="1" applyAlignment="1">
      <alignment horizontal="center" vertical="center"/>
    </xf>
    <xf numFmtId="3" fontId="20" fillId="0" borderId="55" xfId="0" applyNumberFormat="1" applyFont="1" applyBorder="1" applyAlignment="1">
      <alignment horizontal="center" vertical="center"/>
    </xf>
    <xf numFmtId="171" fontId="124" fillId="0" borderId="0" xfId="1" applyFont="1" applyAlignment="1" applyProtection="1"/>
    <xf numFmtId="171" fontId="25" fillId="0" borderId="0" xfId="0" applyFont="1" applyBorder="1" applyAlignment="1">
      <alignment horizontal="right" readingOrder="2"/>
    </xf>
    <xf numFmtId="171" fontId="5" fillId="0" borderId="0" xfId="1" applyAlignment="1" applyProtection="1">
      <alignment horizontal="right" vertical="center"/>
    </xf>
    <xf numFmtId="43" fontId="0" fillId="0" borderId="0" xfId="0" applyNumberFormat="1" applyFont="1" applyAlignment="1">
      <alignment horizontal="right" vertical="center"/>
    </xf>
    <xf numFmtId="43" fontId="0" fillId="0" borderId="54" xfId="0" applyNumberFormat="1" applyFont="1" applyBorder="1" applyAlignment="1">
      <alignment horizontal="right" vertical="center"/>
    </xf>
    <xf numFmtId="167" fontId="20" fillId="7" borderId="0" xfId="17" applyNumberFormat="1" applyFont="1" applyFill="1" applyAlignment="1">
      <alignment horizontal="center" vertical="center"/>
    </xf>
    <xf numFmtId="167" fontId="20" fillId="20" borderId="0" xfId="17" applyNumberFormat="1" applyFont="1" applyFill="1" applyAlignment="1">
      <alignment horizontal="center" vertical="center" shrinkToFit="1"/>
    </xf>
    <xf numFmtId="174" fontId="0" fillId="0" borderId="0" xfId="20" applyFont="1" applyAlignment="1">
      <alignment horizontal="center" vertical="center" wrapText="1"/>
    </xf>
    <xf numFmtId="167" fontId="145" fillId="0" borderId="0" xfId="12" applyNumberFormat="1" applyFont="1" applyAlignment="1">
      <alignment horizontal="center" vertical="center"/>
    </xf>
    <xf numFmtId="174" fontId="146" fillId="0" borderId="0" xfId="20" applyFont="1" applyAlignment="1">
      <alignment horizontal="center" vertical="center" wrapText="1"/>
    </xf>
    <xf numFmtId="174" fontId="131" fillId="0" borderId="0" xfId="20" applyFont="1" applyAlignment="1">
      <alignment vertical="center" wrapText="1"/>
    </xf>
    <xf numFmtId="171" fontId="7" fillId="0" borderId="0" xfId="0" applyFont="1" applyAlignment="1">
      <alignment horizontal="center" vertical="center" shrinkToFit="1"/>
    </xf>
    <xf numFmtId="171" fontId="4" fillId="0" borderId="0" xfId="0" applyFont="1" applyAlignment="1">
      <alignment horizontal="center" vertical="center"/>
    </xf>
    <xf numFmtId="171" fontId="9" fillId="0" borderId="0" xfId="0" applyFont="1" applyAlignment="1">
      <alignment horizontal="center" vertical="center" shrinkToFit="1"/>
    </xf>
    <xf numFmtId="171" fontId="6" fillId="2" borderId="0" xfId="0" applyFont="1" applyFill="1" applyAlignment="1">
      <alignment horizontal="center" vertical="center" shrinkToFit="1" readingOrder="2"/>
    </xf>
    <xf numFmtId="171" fontId="6" fillId="2" borderId="0" xfId="0" applyFont="1" applyFill="1" applyAlignment="1">
      <alignment horizontal="center" vertical="center" shrinkToFit="1"/>
    </xf>
    <xf numFmtId="171" fontId="8" fillId="0" borderId="1" xfId="0" applyFont="1" applyBorder="1" applyAlignment="1">
      <alignment horizontal="center" vertical="center" shrinkToFit="1"/>
    </xf>
    <xf numFmtId="174" fontId="95" fillId="0" borderId="0" xfId="20" applyFont="1" applyAlignment="1">
      <alignment horizontal="center"/>
    </xf>
    <xf numFmtId="174" fontId="20" fillId="0" borderId="0" xfId="20" applyFont="1" applyAlignment="1">
      <alignment horizontal="center"/>
    </xf>
    <xf numFmtId="174" fontId="131" fillId="0" borderId="0" xfId="20" applyFont="1" applyAlignment="1">
      <alignment horizontal="center" vertical="center" wrapText="1"/>
    </xf>
    <xf numFmtId="174" fontId="133" fillId="0" borderId="0" xfId="20" applyFont="1" applyAlignment="1">
      <alignment horizontal="center" vertical="center"/>
    </xf>
    <xf numFmtId="171" fontId="23" fillId="0" borderId="0" xfId="0" applyFont="1" applyBorder="1" applyAlignment="1" applyProtection="1">
      <alignment horizontal="center" vertical="center" wrapText="1"/>
      <protection hidden="1"/>
    </xf>
    <xf numFmtId="171" fontId="116" fillId="18" borderId="115" xfId="0" applyFont="1" applyFill="1" applyBorder="1" applyAlignment="1" applyProtection="1">
      <alignment horizontal="center" vertical="center" shrinkToFit="1"/>
      <protection hidden="1"/>
    </xf>
    <xf numFmtId="171" fontId="116" fillId="18" borderId="134" xfId="0" applyFont="1" applyFill="1" applyBorder="1" applyAlignment="1" applyProtection="1">
      <alignment horizontal="center" vertical="center" shrinkToFit="1"/>
      <protection hidden="1"/>
    </xf>
    <xf numFmtId="171" fontId="116" fillId="18" borderId="112" xfId="0" applyFont="1" applyFill="1" applyBorder="1" applyAlignment="1" applyProtection="1">
      <alignment horizontal="center" vertical="center" shrinkToFit="1"/>
      <protection hidden="1"/>
    </xf>
    <xf numFmtId="171" fontId="117" fillId="20" borderId="135" xfId="0" applyFont="1" applyFill="1" applyBorder="1" applyAlignment="1" applyProtection="1">
      <alignment horizontal="center" vertical="center" shrinkToFit="1"/>
      <protection hidden="1"/>
    </xf>
    <xf numFmtId="171" fontId="121" fillId="0" borderId="0" xfId="0" applyFont="1" applyBorder="1" applyAlignment="1" applyProtection="1">
      <alignment horizontal="center"/>
      <protection hidden="1"/>
    </xf>
    <xf numFmtId="3" fontId="121" fillId="0" borderId="0" xfId="0" applyNumberFormat="1" applyFont="1" applyBorder="1" applyAlignment="1" applyProtection="1">
      <alignment horizontal="center" vertical="center"/>
      <protection hidden="1"/>
    </xf>
    <xf numFmtId="171" fontId="58" fillId="0" borderId="0" xfId="15" applyFont="1" applyAlignment="1" applyProtection="1">
      <alignment horizontal="center" vertical="center"/>
      <protection hidden="1"/>
    </xf>
    <xf numFmtId="171" fontId="75" fillId="9" borderId="101" xfId="15" applyFont="1" applyFill="1" applyBorder="1" applyAlignment="1" applyProtection="1">
      <alignment horizontal="center" vertical="center"/>
      <protection hidden="1"/>
    </xf>
    <xf numFmtId="171" fontId="75" fillId="9" borderId="100" xfId="15" applyFont="1" applyFill="1" applyBorder="1" applyAlignment="1" applyProtection="1">
      <alignment horizontal="center" vertical="center"/>
      <protection hidden="1"/>
    </xf>
    <xf numFmtId="171" fontId="75" fillId="9" borderId="99" xfId="15" applyFont="1" applyFill="1" applyBorder="1" applyAlignment="1" applyProtection="1">
      <alignment horizontal="center" vertical="center"/>
      <protection hidden="1"/>
    </xf>
    <xf numFmtId="171" fontId="75" fillId="15" borderId="104" xfId="15" applyFont="1" applyFill="1" applyBorder="1" applyAlignment="1" applyProtection="1">
      <alignment horizontal="center" vertical="center"/>
      <protection hidden="1"/>
    </xf>
    <xf numFmtId="171" fontId="75" fillId="15" borderId="103" xfId="15" applyFont="1" applyFill="1" applyBorder="1" applyAlignment="1" applyProtection="1">
      <alignment horizontal="center" vertical="center"/>
      <protection hidden="1"/>
    </xf>
    <xf numFmtId="171" fontId="75" fillId="15" borderId="102" xfId="15" applyFont="1" applyFill="1" applyBorder="1" applyAlignment="1" applyProtection="1">
      <alignment horizontal="center" vertical="center"/>
      <protection hidden="1"/>
    </xf>
    <xf numFmtId="171" fontId="44" fillId="2" borderId="0" xfId="0" applyFont="1" applyFill="1" applyAlignment="1">
      <alignment horizontal="center" vertical="center" shrinkToFit="1"/>
    </xf>
    <xf numFmtId="171" fontId="45" fillId="0" borderId="0" xfId="0" applyFont="1" applyAlignment="1">
      <alignment horizontal="center" vertical="center" shrinkToFit="1"/>
    </xf>
    <xf numFmtId="171" fontId="45" fillId="0" borderId="0" xfId="0" applyFont="1" applyFill="1" applyAlignment="1">
      <alignment horizontal="center" vertical="center" shrinkToFit="1"/>
    </xf>
    <xf numFmtId="171" fontId="43" fillId="0" borderId="0" xfId="0" applyFont="1" applyBorder="1" applyAlignment="1">
      <alignment horizontal="center" vertical="center" shrinkToFit="1"/>
    </xf>
    <xf numFmtId="171" fontId="42" fillId="3" borderId="65" xfId="0" applyFont="1" applyFill="1" applyBorder="1" applyAlignment="1">
      <alignment horizontal="center" vertical="center" shrinkToFit="1"/>
    </xf>
    <xf numFmtId="171" fontId="42" fillId="3" borderId="66" xfId="0" applyFont="1" applyFill="1" applyBorder="1" applyAlignment="1">
      <alignment horizontal="center" vertical="center" shrinkToFit="1"/>
    </xf>
    <xf numFmtId="171" fontId="42" fillId="0" borderId="65" xfId="0" applyFont="1" applyFill="1" applyBorder="1" applyAlignment="1">
      <alignment horizontal="center" vertical="center" shrinkToFit="1"/>
    </xf>
    <xf numFmtId="171" fontId="42" fillId="0" borderId="69" xfId="0" applyFont="1" applyFill="1" applyBorder="1" applyAlignment="1">
      <alignment horizontal="center" vertical="center" shrinkToFit="1"/>
    </xf>
    <xf numFmtId="171" fontId="42" fillId="3" borderId="64" xfId="0" applyFont="1" applyFill="1" applyBorder="1" applyAlignment="1">
      <alignment horizontal="center" vertical="center" shrinkToFit="1"/>
    </xf>
    <xf numFmtId="171" fontId="42" fillId="3" borderId="23" xfId="0" applyFont="1" applyFill="1" applyBorder="1" applyAlignment="1">
      <alignment horizontal="center" vertical="center" shrinkToFit="1"/>
    </xf>
    <xf numFmtId="171" fontId="42" fillId="0" borderId="66" xfId="0" applyFont="1" applyFill="1" applyBorder="1" applyAlignment="1">
      <alignment horizontal="center" vertical="center" shrinkToFit="1"/>
    </xf>
    <xf numFmtId="171" fontId="7" fillId="0" borderId="0" xfId="0" applyFont="1" applyAlignment="1">
      <alignment horizontal="center" vertical="center" shrinkToFit="1"/>
    </xf>
    <xf numFmtId="171" fontId="141" fillId="0" borderId="0" xfId="0" applyFont="1" applyFill="1" applyAlignment="1">
      <alignment horizontal="center" vertical="center" shrinkToFit="1"/>
    </xf>
    <xf numFmtId="0" fontId="123" fillId="3" borderId="64" xfId="0" applyNumberFormat="1" applyFont="1" applyFill="1" applyBorder="1" applyAlignment="1">
      <alignment horizontal="center" vertical="center" wrapText="1" shrinkToFit="1"/>
    </xf>
    <xf numFmtId="0" fontId="123" fillId="3" borderId="23" xfId="0" applyNumberFormat="1" applyFont="1" applyFill="1" applyBorder="1" applyAlignment="1">
      <alignment horizontal="center" vertical="center" wrapText="1" shrinkToFit="1"/>
    </xf>
    <xf numFmtId="171" fontId="24" fillId="0" borderId="0" xfId="0" applyFont="1" applyAlignment="1">
      <alignment horizontal="center"/>
    </xf>
    <xf numFmtId="171" fontId="24" fillId="0" borderId="53" xfId="0" applyFont="1" applyBorder="1" applyAlignment="1">
      <alignment horizontal="center"/>
    </xf>
    <xf numFmtId="171" fontId="20" fillId="0" borderId="0" xfId="0" applyFont="1" applyAlignment="1">
      <alignment horizontal="center"/>
    </xf>
    <xf numFmtId="171" fontId="32" fillId="0" borderId="0" xfId="0" applyFont="1" applyAlignment="1">
      <alignment horizontal="right" wrapText="1"/>
    </xf>
    <xf numFmtId="171" fontId="4" fillId="0" borderId="0" xfId="0" applyFont="1" applyAlignment="1">
      <alignment horizontal="right" wrapText="1"/>
    </xf>
    <xf numFmtId="171" fontId="19" fillId="0" borderId="0" xfId="0" applyFont="1" applyAlignment="1">
      <alignment horizontal="center" vertical="center"/>
    </xf>
    <xf numFmtId="166" fontId="4" fillId="0" borderId="0" xfId="12" applyFont="1" applyAlignment="1">
      <alignment horizontal="center" vertical="center"/>
    </xf>
    <xf numFmtId="171" fontId="4" fillId="0" borderId="0" xfId="0" applyFont="1" applyAlignment="1">
      <alignment horizontal="center" vertical="center"/>
    </xf>
    <xf numFmtId="171" fontId="20" fillId="0" borderId="0" xfId="0" applyFont="1" applyAlignment="1">
      <alignment horizontal="center" vertical="center"/>
    </xf>
    <xf numFmtId="171" fontId="21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 readingOrder="2"/>
    </xf>
    <xf numFmtId="171" fontId="51" fillId="0" borderId="0" xfId="0" applyFont="1" applyBorder="1" applyAlignment="1">
      <alignment horizontal="center" vertical="center"/>
    </xf>
    <xf numFmtId="1" fontId="50" fillId="13" borderId="12" xfId="0" applyNumberFormat="1" applyFont="1" applyFill="1" applyBorder="1" applyAlignment="1">
      <alignment horizontal="center"/>
    </xf>
    <xf numFmtId="1" fontId="50" fillId="13" borderId="49" xfId="0" applyNumberFormat="1" applyFont="1" applyFill="1" applyBorder="1" applyAlignment="1">
      <alignment horizontal="center"/>
    </xf>
    <xf numFmtId="171" fontId="25" fillId="0" borderId="0" xfId="3" applyFont="1" applyBorder="1" applyAlignment="1">
      <alignment horizontal="center" vertical="center"/>
    </xf>
    <xf numFmtId="171" fontId="37" fillId="0" borderId="36" xfId="3" applyFont="1" applyBorder="1" applyAlignment="1">
      <alignment horizontal="center" vertical="center"/>
    </xf>
    <xf numFmtId="171" fontId="37" fillId="0" borderId="37" xfId="3" applyFont="1" applyBorder="1" applyAlignment="1">
      <alignment horizontal="center" vertical="center"/>
    </xf>
    <xf numFmtId="171" fontId="36" fillId="0" borderId="38" xfId="3" applyFont="1" applyBorder="1" applyAlignment="1">
      <alignment horizontal="center" vertical="center"/>
    </xf>
    <xf numFmtId="171" fontId="14" fillId="0" borderId="0" xfId="3" applyFont="1" applyAlignment="1">
      <alignment horizontal="center" vertical="center" wrapText="1"/>
    </xf>
    <xf numFmtId="171" fontId="15" fillId="0" borderId="1" xfId="3" applyFont="1" applyBorder="1" applyAlignment="1">
      <alignment horizontal="center" vertical="center"/>
    </xf>
    <xf numFmtId="171" fontId="16" fillId="0" borderId="13" xfId="8" applyBorder="1" applyAlignment="1" applyProtection="1">
      <alignment horizontal="center" vertical="center"/>
    </xf>
    <xf numFmtId="171" fontId="16" fillId="0" borderId="19" xfId="8" applyBorder="1" applyAlignment="1" applyProtection="1">
      <alignment horizontal="center" vertical="center"/>
    </xf>
    <xf numFmtId="171" fontId="16" fillId="0" borderId="24" xfId="8" applyBorder="1" applyAlignment="1" applyProtection="1">
      <alignment horizontal="center" vertical="center"/>
    </xf>
    <xf numFmtId="171" fontId="37" fillId="0" borderId="14" xfId="3" applyFont="1" applyBorder="1" applyAlignment="1">
      <alignment horizontal="center" vertical="center"/>
    </xf>
    <xf numFmtId="171" fontId="37" fillId="0" borderId="20" xfId="3" applyFont="1" applyBorder="1" applyAlignment="1">
      <alignment horizontal="center" vertical="center"/>
    </xf>
    <xf numFmtId="171" fontId="37" fillId="0" borderId="25" xfId="3" applyFont="1" applyBorder="1" applyAlignment="1">
      <alignment horizontal="center" vertical="center"/>
    </xf>
    <xf numFmtId="171" fontId="31" fillId="0" borderId="15" xfId="3" applyFont="1" applyBorder="1" applyAlignment="1">
      <alignment horizontal="center" vertical="center"/>
    </xf>
    <xf numFmtId="171" fontId="31" fillId="0" borderId="16" xfId="3" applyFont="1" applyBorder="1" applyAlignment="1">
      <alignment horizontal="center" vertical="center"/>
    </xf>
    <xf numFmtId="171" fontId="31" fillId="0" borderId="17" xfId="3" applyFont="1" applyBorder="1" applyAlignment="1">
      <alignment horizontal="center" vertical="center"/>
    </xf>
    <xf numFmtId="171" fontId="31" fillId="0" borderId="18" xfId="3" applyFont="1" applyBorder="1" applyAlignment="1">
      <alignment horizontal="center" vertical="center"/>
    </xf>
    <xf numFmtId="171" fontId="31" fillId="0" borderId="4" xfId="3" applyFont="1" applyBorder="1" applyAlignment="1">
      <alignment horizontal="center" vertical="center" wrapText="1"/>
    </xf>
    <xf numFmtId="171" fontId="31" fillId="0" borderId="23" xfId="3" applyFont="1" applyBorder="1" applyAlignment="1">
      <alignment horizontal="center" vertical="center" wrapText="1"/>
    </xf>
    <xf numFmtId="171" fontId="25" fillId="0" borderId="38" xfId="3" applyFont="1" applyBorder="1" applyAlignment="1">
      <alignment horizontal="center" vertical="center"/>
    </xf>
    <xf numFmtId="171" fontId="25" fillId="0" borderId="0" xfId="3" applyFont="1" applyAlignment="1">
      <alignment horizontal="center" vertical="center"/>
    </xf>
    <xf numFmtId="171" fontId="124" fillId="0" borderId="0" xfId="1" applyFont="1" applyAlignment="1" applyProtection="1">
      <alignment horizontal="center" vertical="center"/>
    </xf>
    <xf numFmtId="171" fontId="21" fillId="0" borderId="1" xfId="3" applyFont="1" applyBorder="1" applyAlignment="1">
      <alignment horizontal="center" vertical="center" readingOrder="2"/>
    </xf>
    <xf numFmtId="171" fontId="25" fillId="0" borderId="12" xfId="3" applyFont="1" applyBorder="1" applyAlignment="1">
      <alignment horizontal="center" vertical="center"/>
    </xf>
    <xf numFmtId="171" fontId="25" fillId="0" borderId="49" xfId="3" applyFont="1" applyBorder="1" applyAlignment="1">
      <alignment horizontal="center" vertical="center"/>
    </xf>
    <xf numFmtId="171" fontId="137" fillId="0" borderId="0" xfId="0" applyFont="1" applyBorder="1" applyAlignment="1">
      <alignment horizontal="center" vertical="center"/>
    </xf>
    <xf numFmtId="1" fontId="50" fillId="13" borderId="50" xfId="0" applyNumberFormat="1" applyFont="1" applyFill="1" applyBorder="1" applyAlignment="1">
      <alignment horizontal="center"/>
    </xf>
    <xf numFmtId="171" fontId="51" fillId="0" borderId="1" xfId="0" applyFont="1" applyBorder="1" applyAlignment="1">
      <alignment horizontal="center" vertical="center"/>
    </xf>
    <xf numFmtId="171" fontId="139" fillId="0" borderId="1" xfId="0" applyFont="1" applyBorder="1" applyAlignment="1">
      <alignment horizontal="center" vertical="center"/>
    </xf>
    <xf numFmtId="2" fontId="139" fillId="0" borderId="1" xfId="0" applyNumberFormat="1" applyFont="1" applyBorder="1" applyAlignment="1">
      <alignment horizontal="center" vertical="center"/>
    </xf>
    <xf numFmtId="1" fontId="25" fillId="13" borderId="12" xfId="0" applyNumberFormat="1" applyFont="1" applyFill="1" applyBorder="1" applyAlignment="1">
      <alignment horizontal="center"/>
    </xf>
    <xf numFmtId="1" fontId="25" fillId="13" borderId="50" xfId="0" applyNumberFormat="1" applyFont="1" applyFill="1" applyBorder="1" applyAlignment="1">
      <alignment horizontal="center"/>
    </xf>
    <xf numFmtId="2" fontId="25" fillId="13" borderId="49" xfId="0" applyNumberFormat="1" applyFont="1" applyFill="1" applyBorder="1" applyAlignment="1">
      <alignment horizontal="center"/>
    </xf>
    <xf numFmtId="171" fontId="28" fillId="0" borderId="83" xfId="0" applyFont="1" applyFill="1" applyBorder="1" applyAlignment="1">
      <alignment horizontal="center" vertical="center" shrinkToFit="1"/>
    </xf>
    <xf numFmtId="171" fontId="5" fillId="0" borderId="9" xfId="1" applyFill="1" applyBorder="1" applyAlignment="1" applyProtection="1">
      <alignment horizontal="center" vertical="center" shrinkToFit="1"/>
    </xf>
    <xf numFmtId="0" fontId="17" fillId="0" borderId="0" xfId="3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 shrinkToFit="1"/>
    </xf>
    <xf numFmtId="171" fontId="147" fillId="22" borderId="0" xfId="0" applyFont="1" applyFill="1" applyAlignment="1">
      <alignment horizontal="center" vertical="center" shrinkToFit="1"/>
    </xf>
    <xf numFmtId="0" fontId="148" fillId="22" borderId="0" xfId="0" applyNumberFormat="1" applyFont="1" applyFill="1" applyAlignment="1">
      <alignment horizontal="center" vertical="center" shrinkToFit="1"/>
    </xf>
    <xf numFmtId="4" fontId="147" fillId="22" borderId="0" xfId="0" applyNumberFormat="1" applyFont="1" applyFill="1" applyAlignment="1">
      <alignment horizontal="right" vertical="center" shrinkToFit="1"/>
    </xf>
    <xf numFmtId="3" fontId="147" fillId="22" borderId="0" xfId="0" applyNumberFormat="1" applyFont="1" applyFill="1" applyAlignment="1">
      <alignment horizontal="right" vertical="center" shrinkToFit="1"/>
    </xf>
    <xf numFmtId="166" fontId="5" fillId="0" borderId="0" xfId="1" quotePrefix="1" applyNumberFormat="1" applyAlignment="1" applyProtection="1"/>
    <xf numFmtId="0" fontId="0" fillId="0" borderId="0" xfId="0" applyNumberFormat="1" applyFont="1"/>
    <xf numFmtId="0" fontId="0" fillId="0" borderId="0" xfId="0" applyNumberFormat="1"/>
    <xf numFmtId="171" fontId="4" fillId="0" borderId="56" xfId="0" applyFont="1" applyFill="1" applyBorder="1" applyAlignment="1">
      <alignment horizontal="center" vertical="center"/>
    </xf>
    <xf numFmtId="171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3" fontId="4" fillId="0" borderId="54" xfId="0" applyNumberFormat="1" applyFont="1" applyFill="1" applyBorder="1" applyAlignment="1">
      <alignment horizontal="center" vertical="center"/>
    </xf>
    <xf numFmtId="3" fontId="4" fillId="0" borderId="55" xfId="0" applyNumberFormat="1" applyFont="1" applyFill="1" applyBorder="1" applyAlignment="1">
      <alignment horizontal="center" vertical="center"/>
    </xf>
    <xf numFmtId="37" fontId="4" fillId="0" borderId="0" xfId="0" applyNumberFormat="1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171" fontId="0" fillId="0" borderId="0" xfId="0" applyFill="1"/>
    <xf numFmtId="166" fontId="0" fillId="0" borderId="0" xfId="12" applyFont="1" applyFill="1"/>
    <xf numFmtId="171" fontId="4" fillId="0" borderId="53" xfId="0" applyFont="1" applyFill="1" applyBorder="1"/>
    <xf numFmtId="3" fontId="42" fillId="0" borderId="65" xfId="0" applyNumberFormat="1" applyFont="1" applyFill="1" applyBorder="1" applyAlignment="1">
      <alignment horizontal="center" vertical="center" shrinkToFit="1"/>
    </xf>
    <xf numFmtId="3" fontId="42" fillId="0" borderId="69" xfId="0" applyNumberFormat="1" applyFont="1" applyFill="1" applyBorder="1" applyAlignment="1">
      <alignment horizontal="center" vertical="center" shrinkToFit="1"/>
    </xf>
    <xf numFmtId="3" fontId="42" fillId="0" borderId="67" xfId="0" applyNumberFormat="1" applyFont="1" applyFill="1" applyBorder="1" applyAlignment="1">
      <alignment horizontal="center" vertical="center" shrinkToFit="1"/>
    </xf>
    <xf numFmtId="3" fontId="42" fillId="0" borderId="70" xfId="0" applyNumberFormat="1" applyFont="1" applyFill="1" applyBorder="1" applyAlignment="1">
      <alignment horizontal="center" vertical="center" shrinkToFit="1"/>
    </xf>
    <xf numFmtId="3" fontId="9" fillId="0" borderId="63" xfId="0" applyNumberFormat="1" applyFont="1" applyFill="1" applyBorder="1" applyAlignment="1">
      <alignment horizontal="right" vertical="center" shrinkToFit="1"/>
    </xf>
    <xf numFmtId="3" fontId="9" fillId="0" borderId="8" xfId="0" applyNumberFormat="1" applyFont="1" applyFill="1" applyBorder="1" applyAlignment="1">
      <alignment horizontal="right" vertical="center" shrinkToFit="1"/>
    </xf>
    <xf numFmtId="3" fontId="9" fillId="0" borderId="7" xfId="0" applyNumberFormat="1" applyFont="1" applyFill="1" applyBorder="1" applyAlignment="1">
      <alignment horizontal="right" vertical="center" shrinkToFit="1"/>
    </xf>
    <xf numFmtId="3" fontId="45" fillId="0" borderId="0" xfId="0" applyNumberFormat="1" applyFont="1" applyFill="1" applyAlignment="1">
      <alignment horizontal="center" vertical="center" shrinkToFit="1"/>
    </xf>
    <xf numFmtId="3" fontId="9" fillId="0" borderId="62" xfId="0" applyNumberFormat="1" applyFont="1" applyFill="1" applyBorder="1" applyAlignment="1">
      <alignment horizontal="right" vertical="center" shrinkToFit="1"/>
    </xf>
    <xf numFmtId="3" fontId="9" fillId="0" borderId="58" xfId="0" applyNumberFormat="1" applyFont="1" applyFill="1" applyBorder="1" applyAlignment="1">
      <alignment horizontal="right" vertical="center" shrinkToFit="1"/>
    </xf>
    <xf numFmtId="171" fontId="147" fillId="0" borderId="0" xfId="0" applyFont="1" applyFill="1" applyAlignment="1">
      <alignment horizontal="center" vertical="center" shrinkToFit="1"/>
    </xf>
    <xf numFmtId="3" fontId="147" fillId="0" borderId="0" xfId="0" applyNumberFormat="1" applyFont="1" applyFill="1" applyAlignment="1">
      <alignment horizontal="right" vertical="center" shrinkToFit="1"/>
    </xf>
    <xf numFmtId="4" fontId="9" fillId="0" borderId="58" xfId="0" applyNumberFormat="1" applyFont="1" applyFill="1" applyBorder="1" applyAlignment="1">
      <alignment horizontal="right" vertical="center" shrinkToFit="1"/>
    </xf>
    <xf numFmtId="171" fontId="7" fillId="0" borderId="0" xfId="0" applyFont="1" applyFill="1" applyAlignment="1">
      <alignment horizontal="center" vertical="center" shrinkToFit="1"/>
    </xf>
    <xf numFmtId="4" fontId="147" fillId="0" borderId="0" xfId="0" applyNumberFormat="1" applyFont="1" applyFill="1" applyAlignment="1">
      <alignment horizontal="right" vertical="center" shrinkToFit="1"/>
    </xf>
    <xf numFmtId="171" fontId="149" fillId="0" borderId="0" xfId="0" applyFont="1" applyBorder="1" applyAlignment="1">
      <alignment horizontal="center" vertical="center" shrinkToFit="1"/>
    </xf>
    <xf numFmtId="171" fontId="149" fillId="0" borderId="0" xfId="0" applyFont="1" applyFill="1" applyBorder="1" applyAlignment="1">
      <alignment horizontal="center" vertical="center" shrinkToFit="1"/>
    </xf>
    <xf numFmtId="171" fontId="150" fillId="0" borderId="0" xfId="0" applyFont="1" applyFill="1" applyAlignment="1">
      <alignment horizontal="center" vertical="center" shrinkToFit="1"/>
    </xf>
    <xf numFmtId="171" fontId="28" fillId="0" borderId="57" xfId="0" applyFont="1" applyFill="1" applyBorder="1" applyAlignment="1">
      <alignment horizontal="center" vertical="center" shrinkToFit="1"/>
    </xf>
    <xf numFmtId="0" fontId="117" fillId="0" borderId="83" xfId="0" applyNumberFormat="1" applyFont="1" applyFill="1" applyBorder="1" applyAlignment="1">
      <alignment horizontal="center" vertical="center" shrinkToFit="1"/>
    </xf>
    <xf numFmtId="171" fontId="46" fillId="0" borderId="0" xfId="0" applyFont="1" applyFill="1" applyAlignment="1">
      <alignment horizontal="right" vertical="center" shrinkToFit="1"/>
    </xf>
    <xf numFmtId="171" fontId="42" fillId="0" borderId="64" xfId="0" applyFont="1" applyFill="1" applyBorder="1" applyAlignment="1">
      <alignment horizontal="center" vertical="center" shrinkToFit="1"/>
    </xf>
    <xf numFmtId="0" fontId="123" fillId="0" borderId="64" xfId="0" applyNumberFormat="1" applyFont="1" applyFill="1" applyBorder="1" applyAlignment="1">
      <alignment horizontal="center" vertical="center" wrapText="1" shrinkToFit="1"/>
    </xf>
    <xf numFmtId="171" fontId="42" fillId="0" borderId="23" xfId="0" applyFont="1" applyFill="1" applyBorder="1" applyAlignment="1">
      <alignment horizontal="center" vertical="center" shrinkToFit="1"/>
    </xf>
    <xf numFmtId="0" fontId="123" fillId="0" borderId="23" xfId="0" applyNumberFormat="1" applyFont="1" applyFill="1" applyBorder="1" applyAlignment="1">
      <alignment horizontal="center" vertical="center" wrapText="1" shrinkToFit="1"/>
    </xf>
    <xf numFmtId="171" fontId="42" fillId="2" borderId="68" xfId="0" applyFont="1" applyFill="1" applyBorder="1" applyAlignment="1">
      <alignment horizontal="center" vertical="center" shrinkToFit="1"/>
    </xf>
    <xf numFmtId="4" fontId="66" fillId="2" borderId="63" xfId="0" applyNumberFormat="1" applyFont="1" applyFill="1" applyBorder="1" applyAlignment="1">
      <alignment horizontal="right" vertical="center" shrinkToFit="1"/>
    </xf>
    <xf numFmtId="4" fontId="66" fillId="2" borderId="8" xfId="0" applyNumberFormat="1" applyFont="1" applyFill="1" applyBorder="1" applyAlignment="1">
      <alignment horizontal="right" vertical="center" shrinkToFit="1"/>
    </xf>
    <xf numFmtId="4" fontId="9" fillId="2" borderId="58" xfId="0" applyNumberFormat="1" applyFont="1" applyFill="1" applyBorder="1" applyAlignment="1">
      <alignment horizontal="right" vertical="center" shrinkToFit="1"/>
    </xf>
    <xf numFmtId="4" fontId="9" fillId="2" borderId="63" xfId="0" applyNumberFormat="1" applyFont="1" applyFill="1" applyBorder="1" applyAlignment="1">
      <alignment horizontal="right" vertical="center" shrinkToFit="1"/>
    </xf>
    <xf numFmtId="4" fontId="9" fillId="2" borderId="8" xfId="0" applyNumberFormat="1" applyFont="1" applyFill="1" applyBorder="1" applyAlignment="1">
      <alignment horizontal="right" vertical="center" shrinkToFit="1"/>
    </xf>
    <xf numFmtId="171" fontId="42" fillId="2" borderId="70" xfId="0" applyFont="1" applyFill="1" applyBorder="1" applyAlignment="1">
      <alignment horizontal="center" vertical="center" shrinkToFit="1"/>
    </xf>
  </cellXfs>
  <cellStyles count="21">
    <cellStyle name="Comma" xfId="12" builtinId="3"/>
    <cellStyle name="Comma 2" xfId="2" xr:uid="{00000000-0005-0000-0000-000001000000}"/>
    <cellStyle name="Comma 3" xfId="11" xr:uid="{00000000-0005-0000-0000-000002000000}"/>
    <cellStyle name="Comma 3 2" xfId="19" xr:uid="{00000000-0005-0000-0000-000003000000}"/>
    <cellStyle name="Comma 4" xfId="14" xr:uid="{00000000-0005-0000-0000-000004000000}"/>
    <cellStyle name="Comma 5" xfId="16" xr:uid="{00000000-0005-0000-0000-000005000000}"/>
    <cellStyle name="Comma 5 2" xfId="17" xr:uid="{00000000-0005-0000-0000-000006000000}"/>
    <cellStyle name="Hyperlink" xfId="1" builtinId="8"/>
    <cellStyle name="Hyperlink 2" xfId="8" xr:uid="{00000000-0005-0000-0000-000008000000}"/>
    <cellStyle name="Normal" xfId="0" builtinId="0"/>
    <cellStyle name="Normal 2" xfId="3" xr:uid="{00000000-0005-0000-0000-00000A000000}"/>
    <cellStyle name="Normal 2 2" xfId="4" xr:uid="{00000000-0005-0000-0000-00000B000000}"/>
    <cellStyle name="Normal 3" xfId="5" xr:uid="{00000000-0005-0000-0000-00000C000000}"/>
    <cellStyle name="Normal 4" xfId="9" xr:uid="{00000000-0005-0000-0000-00000D000000}"/>
    <cellStyle name="Normal 5" xfId="13" xr:uid="{00000000-0005-0000-0000-00000E000000}"/>
    <cellStyle name="Normal 5 2" xfId="18" xr:uid="{00000000-0005-0000-0000-00000F000000}"/>
    <cellStyle name="Normal 6" xfId="15" xr:uid="{00000000-0005-0000-0000-000010000000}"/>
    <cellStyle name="Normal 7" xfId="20" xr:uid="{00000000-0005-0000-0000-000011000000}"/>
    <cellStyle name="Percent 2" xfId="6" xr:uid="{00000000-0005-0000-0000-000012000000}"/>
    <cellStyle name="常规 4" xfId="10" xr:uid="{00000000-0005-0000-0000-000013000000}"/>
    <cellStyle name="常规_JL2001QV002" xfId="7" xr:uid="{00000000-0005-0000-0000-000014000000}"/>
  </cellStyles>
  <dxfs count="14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theme="5" tint="0.79998168889431442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b/>
        <i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0" formatCode="yyyy\-mm\-dd;@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0" formatCode="yyyy\-mm\-dd;@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0" formatCode="yyyy\-mm\-dd;@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3" formatCode="[$-1970000]B2d/mm/yyyy;@"/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5" formatCode="#,##0_);\(#,##0\)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medium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theme="1"/>
        <name val="Akhbar M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Black"/>
        <scheme val="none"/>
      </font>
      <numFmt numFmtId="1" formatCode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20"/>
        <color theme="1"/>
        <name val="Akhbar MT"/>
        <scheme val="none"/>
      </font>
      <numFmt numFmtId="3" formatCode="#,##0"/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48"/>
        <color rgb="FF002060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FF0000"/>
        <name val="Microsoft Uighur"/>
        <scheme val="none"/>
      </font>
      <numFmt numFmtId="30" formatCode="@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48"/>
        <color rgb="FFC00000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rgb="FFC00000"/>
        </left>
        <right style="thick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170" formatCode="yyyy\-mm\-d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C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ck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ck">
          <color rgb="FFC0000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314D44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thick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75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75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6"/>
        <color theme="1"/>
        <name val="Microsoft Uigh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Microsoft Uighur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rgb="FF000000"/>
        <name val="Microsoft Uighur"/>
        <scheme val="none"/>
      </font>
      <numFmt numFmtId="167" formatCode="_-* #,##0_-;_-* #,##0\-;_-* &quot;-&quot;??_-;_-@_-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15"/>
        <color theme="0"/>
        <name val="PT Bold Heading"/>
        <scheme val="none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numFmt numFmtId="4" formatCode="#,##0.00"/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20"/>
        <color theme="0"/>
        <name val="Calibri"/>
        <scheme val="minor"/>
      </font>
      <alignment horizontal="center" vertical="center" textRotation="0" indent="0" justifyLastLine="0" shrinkToFit="1" readingOrder="0"/>
    </dxf>
    <dxf>
      <font>
        <b/>
        <strike val="0"/>
        <outline val="0"/>
        <shadow val="0"/>
        <u/>
        <vertAlign val="baseline"/>
        <sz val="18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rgb="FFC000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8"/>
        <color rgb="FF00660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0" indent="0" justifyLastLine="0" shrinkToFit="1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6"/>
        <color rgb="FF002060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76" formatCode="[$-409]d\-mmm\-yyyy;@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rgb="FF7030A0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/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dashed">
          <color rgb="FF0070C0"/>
        </left>
        <right style="dashed">
          <color rgb="FF0070C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00000"/>
        </left>
        <right style="dashed">
          <color rgb="FF0070C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00000"/>
        </left>
        <right style="medium">
          <color rgb="FFC00000"/>
        </right>
        <top style="dashed">
          <color rgb="FF0070C0"/>
        </top>
        <bottom style="medium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1" formatCode="[$-409]d\-mmm\-yy;@"/>
      <alignment horizontal="right" vertical="center" textRotation="0" wrapText="0" indent="0" justifyLastLine="0" shrinkToFit="1" readingOrder="0"/>
      <border diagonalUp="0" diagonalDown="0" outline="0">
        <left style="dashed">
          <color rgb="FF0070C0"/>
        </left>
        <right style="medium">
          <color rgb="FFC00000"/>
        </right>
        <top style="dashed">
          <color rgb="FF0070C0"/>
        </top>
        <bottom style="dashed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numFmt numFmtId="171" formatCode="[$-409]d\-mmm\-yy;@"/>
      <alignment horizontal="center" vertical="center" textRotation="0" wrapText="0" indent="0" justifyLastLine="0" shrinkToFit="0" readingOrder="0"/>
      <border diagonalUp="0" diagonalDown="0">
        <left/>
        <right style="dashed">
          <color rgb="FF0070C0"/>
        </right>
        <top style="dashed">
          <color rgb="FF0070C0"/>
        </top>
        <bottom/>
        <vertical/>
        <horizontal/>
      </border>
      <protection locked="1" hidden="1"/>
    </dxf>
    <dxf>
      <border diagonalUp="0" diagonalDown="0">
        <left style="medium">
          <color rgb="FF0070C0"/>
        </left>
        <right style="medium">
          <color rgb="FF0070C0"/>
        </right>
        <top style="medium">
          <color rgb="FF0070C0"/>
        </top>
        <bottom style="medium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center" vertical="center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double">
          <color rgb="FF0070C0"/>
        </left>
        <right style="double">
          <color rgb="FF0070C0"/>
        </right>
        <top/>
        <bottom/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77" formatCode="[$-F800]dddd\,\ mmmm\ dd\,\ 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14"/>
        <color rgb="FFC00000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5" formatCode="#,##0_);\(#,##0\)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77" formatCode="[$-F800]dddd\,\ mmmm\ dd\,\ 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7" formatCode="_-* #,##0_-;_-* #,##0\-;_-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04;&#1605;&#1610;&#1586;&#1575;&#1606;&#1610;&#1577; 2017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hyperlink" Target="#'&#1575;&#1604;&#1605;&#1610;&#1586;&#1575;&#1606;&#1610;&#1577; 2017'!A1"/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hyperlink" Target="#'&#1575;&#1604;&#1605;&#1610;&#1586;&#1575;&#1606;&#1610;&#1577; 2017'!A1"/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#'&#1575;&#1604;&#1605;&#1610;&#1586;&#1575;&#1606;&#1610;&#1577; 2017'!A1"/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&#1575;&#1604;&#1605;&#1610;&#1586;&#1575;&#1606;&#1610;&#1577; 2017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&#1575;&#1604;&#1586;&#1603;&#1575;&#1577; &#1575;&#1604;&#1588;&#1585;&#1593;&#1610;&#1577; 2017'!A1"/><Relationship Id="rId2" Type="http://schemas.openxmlformats.org/officeDocument/2006/relationships/hyperlink" Target="#'&#1575;&#1604;&#1605;&#1610;&#1586;&#1575;&#1606;&#1610;&#1577; 2017'!A1"/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&#1575;&#1604;&#1605;&#1610;&#1586;&#1575;&#1606;&#1610;&#1577; 2017'!A1"/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10;&#1586;&#1575;&#1606; &#1575;&#1604;&#1605;&#1585;&#1575;&#1580;&#1593;&#1577; &#1602;&#1576;&#1604; &#1575;&#1604;&#1571;&#1602;&#1601;&#1575;&#1604; 2017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577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'&#1605;&#1610;&#1586;&#1575;&#1606; &#1575;&#1604;&#1605;&#1585;&#1575;&#1580;&#1593;&#1577; &#1602;&#1576;&#1604; &#1575;&#1604;&#1571;&#1602;&#1601;&#1575;&#1604; 2017'!A1"/><Relationship Id="rId1" Type="http://schemas.openxmlformats.org/officeDocument/2006/relationships/hyperlink" Target="#'&#1575;&#1604;&#1605;&#1610;&#1586;&#1575;&#1606;&#1610;&#1577; 2017'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0</xdr:row>
      <xdr:rowOff>116416</xdr:rowOff>
    </xdr:from>
    <xdr:to>
      <xdr:col>15</xdr:col>
      <xdr:colOff>43392</xdr:colOff>
      <xdr:row>1</xdr:row>
      <xdr:rowOff>304799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049286692" y="116416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1476375</xdr:colOff>
      <xdr:row>0</xdr:row>
      <xdr:rowOff>85725</xdr:rowOff>
    </xdr:from>
    <xdr:to>
      <xdr:col>10</xdr:col>
      <xdr:colOff>381000</xdr:colOff>
      <xdr:row>3</xdr:row>
      <xdr:rowOff>95250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9981209400" y="857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85725</xdr:rowOff>
    </xdr:from>
    <xdr:to>
      <xdr:col>6</xdr:col>
      <xdr:colOff>1438275</xdr:colOff>
      <xdr:row>3</xdr:row>
      <xdr:rowOff>95250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9983523975" y="857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257175</xdr:rowOff>
    </xdr:from>
    <xdr:to>
      <xdr:col>8</xdr:col>
      <xdr:colOff>523875</xdr:colOff>
      <xdr:row>0</xdr:row>
      <xdr:rowOff>847725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9982285725" y="25717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0</xdr:row>
      <xdr:rowOff>47625</xdr:rowOff>
    </xdr:from>
    <xdr:to>
      <xdr:col>7</xdr:col>
      <xdr:colOff>76200</xdr:colOff>
      <xdr:row>3</xdr:row>
      <xdr:rowOff>57150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9983438250" y="476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</xdr:row>
      <xdr:rowOff>19050</xdr:rowOff>
    </xdr:from>
    <xdr:to>
      <xdr:col>12</xdr:col>
      <xdr:colOff>295275</xdr:colOff>
      <xdr:row>4</xdr:row>
      <xdr:rowOff>28575</xdr:rowOff>
    </xdr:to>
    <xdr:sp macro="" textlink="">
      <xdr:nvSpPr>
        <xdr:cNvPr id="3" name="Beve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/>
      </xdr:nvSpPr>
      <xdr:spPr>
        <a:xfrm>
          <a:off x="9980075925" y="20955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  <xdr:twoCellAnchor>
    <xdr:from>
      <xdr:col>8</xdr:col>
      <xdr:colOff>371475</xdr:colOff>
      <xdr:row>4</xdr:row>
      <xdr:rowOff>152400</xdr:rowOff>
    </xdr:from>
    <xdr:to>
      <xdr:col>12</xdr:col>
      <xdr:colOff>304800</xdr:colOff>
      <xdr:row>6</xdr:row>
      <xdr:rowOff>180975</xdr:rowOff>
    </xdr:to>
    <xdr:sp macro="" textlink="">
      <xdr:nvSpPr>
        <xdr:cNvPr id="4" name="Bevel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/>
      </xdr:nvSpPr>
      <xdr:spPr>
        <a:xfrm>
          <a:off x="9980066400" y="9239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0</xdr:row>
      <xdr:rowOff>0</xdr:rowOff>
    </xdr:from>
    <xdr:to>
      <xdr:col>9</xdr:col>
      <xdr:colOff>739775</xdr:colOff>
      <xdr:row>0</xdr:row>
      <xdr:rowOff>533400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9881320725" y="0"/>
          <a:ext cx="2463800" cy="5334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18</xdr:col>
      <xdr:colOff>28575</xdr:colOff>
      <xdr:row>2</xdr:row>
      <xdr:rowOff>85725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9976685025" y="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  <xdr:twoCellAnchor>
    <xdr:from>
      <xdr:col>14</xdr:col>
      <xdr:colOff>0</xdr:colOff>
      <xdr:row>2</xdr:row>
      <xdr:rowOff>228600</xdr:rowOff>
    </xdr:from>
    <xdr:to>
      <xdr:col>18</xdr:col>
      <xdr:colOff>28575</xdr:colOff>
      <xdr:row>6</xdr:row>
      <xdr:rowOff>9525</xdr:rowOff>
    </xdr:to>
    <xdr:sp macro="" textlink="">
      <xdr:nvSpPr>
        <xdr:cNvPr id="4" name="Bevel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/>
      </xdr:nvSpPr>
      <xdr:spPr>
        <a:xfrm>
          <a:off x="9976685025" y="7334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0</xdr:row>
      <xdr:rowOff>177800</xdr:rowOff>
    </xdr:from>
    <xdr:to>
      <xdr:col>13</xdr:col>
      <xdr:colOff>225425</xdr:colOff>
      <xdr:row>3</xdr:row>
      <xdr:rowOff>44450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9980145775" y="17780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  <xdr:twoCellAnchor>
    <xdr:from>
      <xdr:col>9</xdr:col>
      <xdr:colOff>206375</xdr:colOff>
      <xdr:row>3</xdr:row>
      <xdr:rowOff>168275</xdr:rowOff>
    </xdr:from>
    <xdr:to>
      <xdr:col>13</xdr:col>
      <xdr:colOff>234950</xdr:colOff>
      <xdr:row>6</xdr:row>
      <xdr:rowOff>149225</xdr:rowOff>
    </xdr:to>
    <xdr:sp macro="" textlink="">
      <xdr:nvSpPr>
        <xdr:cNvPr id="3" name="Beve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9980136250" y="89217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603250</xdr:colOff>
      <xdr:row>0</xdr:row>
      <xdr:rowOff>116416</xdr:rowOff>
    </xdr:from>
    <xdr:to>
      <xdr:col>15</xdr:col>
      <xdr:colOff>43392</xdr:colOff>
      <xdr:row>1</xdr:row>
      <xdr:rowOff>304799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E2A4BC-2345-405B-9B74-DFDAE1039F80}"/>
            </a:ext>
          </a:extLst>
        </xdr:cNvPr>
        <xdr:cNvSpPr/>
      </xdr:nvSpPr>
      <xdr:spPr>
        <a:xfrm>
          <a:off x="9979994433" y="116416"/>
          <a:ext cx="2450042" cy="588433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28575</xdr:colOff>
      <xdr:row>2</xdr:row>
      <xdr:rowOff>304800</xdr:rowOff>
    </xdr:to>
    <xdr:sp macro="" textlink="">
      <xdr:nvSpPr>
        <xdr:cNvPr id="4" name="Beve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9978513825" y="28575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  <xdr:twoCellAnchor>
    <xdr:from>
      <xdr:col>11</xdr:col>
      <xdr:colOff>9525</xdr:colOff>
      <xdr:row>3</xdr:row>
      <xdr:rowOff>104775</xdr:rowOff>
    </xdr:from>
    <xdr:to>
      <xdr:col>15</xdr:col>
      <xdr:colOff>38100</xdr:colOff>
      <xdr:row>5</xdr:row>
      <xdr:rowOff>180975</xdr:rowOff>
    </xdr:to>
    <xdr:sp macro="" textlink="">
      <xdr:nvSpPr>
        <xdr:cNvPr id="5" name="Bevel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9978504300" y="10001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  <xdr:twoCellAnchor>
    <xdr:from>
      <xdr:col>11</xdr:col>
      <xdr:colOff>9525</xdr:colOff>
      <xdr:row>6</xdr:row>
      <xdr:rowOff>123825</xdr:rowOff>
    </xdr:from>
    <xdr:to>
      <xdr:col>15</xdr:col>
      <xdr:colOff>38100</xdr:colOff>
      <xdr:row>8</xdr:row>
      <xdr:rowOff>95250</xdr:rowOff>
    </xdr:to>
    <xdr:sp macro="" textlink="">
      <xdr:nvSpPr>
        <xdr:cNvPr id="6" name="Bevel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9978504300" y="178117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Zakat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28575</xdr:colOff>
      <xdr:row>4</xdr:row>
      <xdr:rowOff>47625</xdr:rowOff>
    </xdr:to>
    <xdr:sp macro="" textlink="">
      <xdr:nvSpPr>
        <xdr:cNvPr id="4" name="Beve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9977904225" y="2381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  <xdr:twoCellAnchor>
    <xdr:from>
      <xdr:col>12</xdr:col>
      <xdr:colOff>9525</xdr:colOff>
      <xdr:row>4</xdr:row>
      <xdr:rowOff>171450</xdr:rowOff>
    </xdr:from>
    <xdr:to>
      <xdr:col>16</xdr:col>
      <xdr:colOff>38100</xdr:colOff>
      <xdr:row>7</xdr:row>
      <xdr:rowOff>47625</xdr:rowOff>
    </xdr:to>
    <xdr:sp macro="" textlink="">
      <xdr:nvSpPr>
        <xdr:cNvPr id="5" name="Bevel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9977894700" y="95250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28575</xdr:colOff>
      <xdr:row>2</xdr:row>
      <xdr:rowOff>304800</xdr:rowOff>
    </xdr:to>
    <xdr:sp macro="" textlink="">
      <xdr:nvSpPr>
        <xdr:cNvPr id="3" name="Beve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9978513825" y="28575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42114</xdr:rowOff>
    </xdr:from>
    <xdr:to>
      <xdr:col>3</xdr:col>
      <xdr:colOff>428626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048599" y="42114"/>
          <a:ext cx="1781175" cy="900861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2944</xdr:col>
          <xdr:colOff>57150</xdr:colOff>
          <xdr:row>0</xdr:row>
          <xdr:rowOff>57150</xdr:rowOff>
        </xdr:from>
        <xdr:to>
          <xdr:col>2945</xdr:col>
          <xdr:colOff>447675</xdr:colOff>
          <xdr:row>2</xdr:row>
          <xdr:rowOff>9525</xdr:rowOff>
        </xdr:to>
        <xdr:sp macro="" textlink="">
          <xdr:nvSpPr>
            <xdr:cNvPr id="66561" name="Image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133351</xdr:rowOff>
    </xdr:from>
    <xdr:to>
      <xdr:col>3</xdr:col>
      <xdr:colOff>638723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2696002" y="13335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7</xdr:col>
      <xdr:colOff>219623</xdr:colOff>
      <xdr:row>0</xdr:row>
      <xdr:rowOff>152401</xdr:rowOff>
    </xdr:from>
    <xdr:to>
      <xdr:col>9</xdr:col>
      <xdr:colOff>658321</xdr:colOff>
      <xdr:row>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113179" y="152401"/>
          <a:ext cx="2629448" cy="103822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16224</xdr:col>
          <xdr:colOff>9525</xdr:colOff>
          <xdr:row>0</xdr:row>
          <xdr:rowOff>0</xdr:rowOff>
        </xdr:from>
        <xdr:to>
          <xdr:col>16224</xdr:col>
          <xdr:colOff>28575</xdr:colOff>
          <xdr:row>0</xdr:row>
          <xdr:rowOff>19050</xdr:rowOff>
        </xdr:to>
        <xdr:sp macro="" textlink="">
          <xdr:nvSpPr>
            <xdr:cNvPr id="18434" name="Image1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4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16224</xdr:col>
          <xdr:colOff>38100</xdr:colOff>
          <xdr:row>0</xdr:row>
          <xdr:rowOff>0</xdr:rowOff>
        </xdr:from>
        <xdr:to>
          <xdr:col>16224</xdr:col>
          <xdr:colOff>57150</xdr:colOff>
          <xdr:row>0</xdr:row>
          <xdr:rowOff>9525</xdr:rowOff>
        </xdr:to>
        <xdr:sp macro="" textlink="">
          <xdr:nvSpPr>
            <xdr:cNvPr id="18435" name="CommandButton1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4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16223</xdr:col>
          <xdr:colOff>314325</xdr:colOff>
          <xdr:row>0</xdr:row>
          <xdr:rowOff>0</xdr:rowOff>
        </xdr:from>
        <xdr:to>
          <xdr:col>16223</xdr:col>
          <xdr:colOff>333375</xdr:colOff>
          <xdr:row>0</xdr:row>
          <xdr:rowOff>19050</xdr:rowOff>
        </xdr:to>
        <xdr:sp macro="" textlink="">
          <xdr:nvSpPr>
            <xdr:cNvPr id="18436" name="Image2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4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16223</xdr:col>
          <xdr:colOff>352425</xdr:colOff>
          <xdr:row>0</xdr:row>
          <xdr:rowOff>9525</xdr:rowOff>
        </xdr:from>
        <xdr:to>
          <xdr:col>16223</xdr:col>
          <xdr:colOff>361950</xdr:colOff>
          <xdr:row>0</xdr:row>
          <xdr:rowOff>19050</xdr:rowOff>
        </xdr:to>
        <xdr:sp macro="" textlink="">
          <xdr:nvSpPr>
            <xdr:cNvPr id="18437" name="CommandButton2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4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16223</xdr:col>
          <xdr:colOff>333375</xdr:colOff>
          <xdr:row>0</xdr:row>
          <xdr:rowOff>0</xdr:rowOff>
        </xdr:from>
        <xdr:to>
          <xdr:col>16223</xdr:col>
          <xdr:colOff>361950</xdr:colOff>
          <xdr:row>0</xdr:row>
          <xdr:rowOff>19050</xdr:rowOff>
        </xdr:to>
        <xdr:sp macro="" textlink="">
          <xdr:nvSpPr>
            <xdr:cNvPr id="18438" name="Image3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4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241679</xdr:rowOff>
    </xdr:from>
    <xdr:to>
      <xdr:col>2</xdr:col>
      <xdr:colOff>1123098</xdr:colOff>
      <xdr:row>2</xdr:row>
      <xdr:rowOff>355410</xdr:rowOff>
    </xdr:to>
    <xdr:sp macro="" textlink="">
      <xdr:nvSpPr>
        <xdr:cNvPr id="7" name="Oval 6">
          <a:hlinkClick xmlns:r="http://schemas.openxmlformats.org/officeDocument/2006/relationships" r:id="rId1" tooltip="الرئيسية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985858452" y="194054"/>
          <a:ext cx="1218348" cy="380431"/>
        </a:xfrm>
        <a:prstGeom prst="ellipse">
          <a:avLst/>
        </a:prstGeom>
        <a:solidFill>
          <a:schemeClr val="accent2"/>
        </a:solidFill>
        <a:ln w="76200"/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4400" b="1" u="sng">
              <a:cs typeface="PT Bold Heading" pitchFamily="2" charset="-78"/>
            </a:rPr>
            <a:t>الرئيسية</a:t>
          </a:r>
          <a:endParaRPr lang="en-US" sz="4400" b="1" u="sng">
            <a:cs typeface="PT Bold Heading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15854</xdr:col>
          <xdr:colOff>390525</xdr:colOff>
          <xdr:row>0</xdr:row>
          <xdr:rowOff>0</xdr:rowOff>
        </xdr:from>
        <xdr:to>
          <xdr:col>15854</xdr:col>
          <xdr:colOff>447675</xdr:colOff>
          <xdr:row>0</xdr:row>
          <xdr:rowOff>47625</xdr:rowOff>
        </xdr:to>
        <xdr:sp macro="" textlink="">
          <xdr:nvSpPr>
            <xdr:cNvPr id="18439" name="Image4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4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15854</xdr:col>
          <xdr:colOff>571500</xdr:colOff>
          <xdr:row>0</xdr:row>
          <xdr:rowOff>9525</xdr:rowOff>
        </xdr:from>
        <xdr:to>
          <xdr:col>15855</xdr:col>
          <xdr:colOff>0</xdr:colOff>
          <xdr:row>0</xdr:row>
          <xdr:rowOff>28575</xdr:rowOff>
        </xdr:to>
        <xdr:sp macro="" textlink="">
          <xdr:nvSpPr>
            <xdr:cNvPr id="18440" name="CommandButton3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4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17</xdr:col>
      <xdr:colOff>28575</xdr:colOff>
      <xdr:row>3</xdr:row>
      <xdr:rowOff>114300</xdr:rowOff>
    </xdr:to>
    <xdr:sp macro="" textlink="">
      <xdr:nvSpPr>
        <xdr:cNvPr id="2" name="Beve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9977294625" y="0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Balance</a:t>
          </a:r>
          <a:r>
            <a:rPr lang="en-US" sz="2000" b="1" cap="none" spc="300" baseline="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 Sheet</a:t>
          </a:r>
          <a:endParaRPr lang="en-US" sz="2000" b="1" cap="none" spc="300">
            <a:ln w="19050" cmpd="sng">
              <a:solidFill>
                <a:schemeClr val="bg1"/>
              </a:solidFill>
              <a:prstDash val="solid"/>
              <a:miter lim="800000"/>
            </a:ln>
            <a:gradFill>
              <a:gsLst>
                <a:gs pos="10000">
                  <a:schemeClr val="accent1">
                    <a:tint val="83000"/>
                    <a:shade val="100000"/>
                    <a:satMod val="200000"/>
                  </a:schemeClr>
                </a:gs>
                <a:gs pos="75000">
                  <a:schemeClr val="accent1">
                    <a:tint val="100000"/>
                    <a:shade val="50000"/>
                    <a:satMod val="150000"/>
                  </a:schemeClr>
                </a:gs>
              </a:gsLst>
              <a:lin ang="5400000"/>
            </a:gra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/>
  </xdr:twoCellAnchor>
  <xdr:twoCellAnchor>
    <xdr:from>
      <xdr:col>12</xdr:col>
      <xdr:colOff>590550</xdr:colOff>
      <xdr:row>4</xdr:row>
      <xdr:rowOff>19050</xdr:rowOff>
    </xdr:from>
    <xdr:to>
      <xdr:col>17</xdr:col>
      <xdr:colOff>9525</xdr:colOff>
      <xdr:row>7</xdr:row>
      <xdr:rowOff>19050</xdr:rowOff>
    </xdr:to>
    <xdr:sp macro="" textlink="">
      <xdr:nvSpPr>
        <xdr:cNvPr id="3" name="Beve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9977313675" y="733425"/>
          <a:ext cx="2466975" cy="5905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2000" b="1" cap="none" spc="300">
              <a:ln w="19050" cmpd="sng">
                <a:solidFill>
                  <a:schemeClr val="bg1"/>
                </a:solidFill>
                <a:prstDash val="solid"/>
                <a:miter lim="800000"/>
              </a:ln>
              <a:gradFill>
                <a:gsLst>
                  <a:gs pos="10000">
                    <a:schemeClr val="accent1">
                      <a:tint val="83000"/>
                      <a:shade val="100000"/>
                      <a:satMod val="200000"/>
                    </a:schemeClr>
                  </a:gs>
                  <a:gs pos="75000">
                    <a:schemeClr val="accent1">
                      <a:tint val="100000"/>
                      <a:shade val="50000"/>
                      <a:satMod val="150000"/>
                    </a:schemeClr>
                  </a:gs>
                </a:gsLst>
                <a:lin ang="5400000"/>
              </a:gradFill>
              <a:effectLst>
                <a:glow rad="45500">
                  <a:schemeClr val="accent1">
                    <a:satMod val="220000"/>
                    <a:alpha val="35000"/>
                  </a:schemeClr>
                </a:glow>
              </a:effectLst>
            </a:rPr>
            <a:t>TRIAL BALANCE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mo7amed%20ma7di/Dropbox/Al%20Raseen%202017%20(Autosaved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%20Raseen%202017%20(Autosaved)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u%20Ahmed\Al%20Raseen\Financing\General%20Journal%20Entries\2017\Al%20Raseen%2020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575;&#1604;&#1605;&#1575;&#1604;&#1610;&#1577;\&#1581;&#1587;&#1575;&#1576;&#1575;&#1578;%202011\&#1593;&#1575;&#1605;%202017\&#1575;&#1604;&#1581;&#1587;&#1575;&#1576;&#1575;&#1578;201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%20drive\&#1571;&#1581;&#1605;&#1583;%20&#1576;&#1593;&#1583;%20&#1575;&#1604;&#1578;&#1581;&#1583;&#1610;&#1579;\&#1575;&#1583;&#1575;&#1585;&#1577;%20&#1575;&#1604;&#1581;&#1587;&#1575;&#1576;&#1575;&#1578;\&#1581;&#1587;&#1575;&#1576;&#1575;&#1578;%202011\&#1593;&#1575;&#1605;%202017\&#1575;&#1604;&#1581;&#1587;&#1575;&#1576;&#1575;&#1578;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رئيسية"/>
      <sheetName val="دليل"/>
      <sheetName val="اليوميه"/>
      <sheetName val="الصندوق"/>
      <sheetName val="جرد الصندوق"/>
      <sheetName val="حساب العملاء"/>
      <sheetName val="بيان العملاء"/>
      <sheetName val="تحصيل"/>
      <sheetName val="إستعلام"/>
      <sheetName val="أصول2016 "/>
      <sheetName val="الاريل"/>
      <sheetName val="جرد"/>
      <sheetName val="جمجوم"/>
      <sheetName val="الحبتور"/>
      <sheetName val="السكن"/>
      <sheetName val="خطابات الضمان "/>
      <sheetName val="Sheet1"/>
      <sheetName val="العثيم"/>
      <sheetName val="مسك الاغذيه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5">
          <cell r="Q5">
            <v>1200</v>
          </cell>
        </row>
        <row r="6">
          <cell r="Q6">
            <v>0</v>
          </cell>
        </row>
        <row r="7">
          <cell r="Q7">
            <v>2700</v>
          </cell>
        </row>
        <row r="8">
          <cell r="Q8">
            <v>0</v>
          </cell>
        </row>
        <row r="9">
          <cell r="Q9">
            <v>1500</v>
          </cell>
        </row>
        <row r="10">
          <cell r="Q10">
            <v>2400</v>
          </cell>
        </row>
        <row r="11">
          <cell r="Q11">
            <v>2700</v>
          </cell>
        </row>
        <row r="12">
          <cell r="Q12">
            <v>1800</v>
          </cell>
        </row>
        <row r="13">
          <cell r="Q13">
            <v>1800</v>
          </cell>
        </row>
        <row r="14">
          <cell r="Q14">
            <v>1800</v>
          </cell>
        </row>
        <row r="15">
          <cell r="Q15">
            <v>-300</v>
          </cell>
        </row>
        <row r="16">
          <cell r="Q16">
            <v>1500</v>
          </cell>
        </row>
        <row r="17">
          <cell r="Q17">
            <v>1500</v>
          </cell>
        </row>
        <row r="18">
          <cell r="Q18">
            <v>400</v>
          </cell>
        </row>
        <row r="19">
          <cell r="Q19">
            <v>900</v>
          </cell>
        </row>
        <row r="20">
          <cell r="Q20">
            <v>0</v>
          </cell>
        </row>
        <row r="21">
          <cell r="Q21">
            <v>1800</v>
          </cell>
        </row>
        <row r="22">
          <cell r="Q22">
            <v>1800</v>
          </cell>
        </row>
        <row r="23">
          <cell r="Q23">
            <v>500</v>
          </cell>
        </row>
        <row r="24">
          <cell r="Q24">
            <v>500</v>
          </cell>
        </row>
        <row r="25">
          <cell r="Q25">
            <v>300</v>
          </cell>
        </row>
        <row r="26">
          <cell r="Q26">
            <v>1800</v>
          </cell>
        </row>
        <row r="27">
          <cell r="Q27">
            <v>1500</v>
          </cell>
        </row>
        <row r="28">
          <cell r="Q28">
            <v>2250</v>
          </cell>
        </row>
        <row r="29">
          <cell r="Q29">
            <v>1500</v>
          </cell>
        </row>
        <row r="30">
          <cell r="Q30">
            <v>600</v>
          </cell>
        </row>
        <row r="31">
          <cell r="Q31">
            <v>1250</v>
          </cell>
        </row>
        <row r="32">
          <cell r="Q32">
            <v>1500</v>
          </cell>
        </row>
        <row r="33">
          <cell r="Q33">
            <v>1200</v>
          </cell>
        </row>
        <row r="34">
          <cell r="Q34">
            <v>400</v>
          </cell>
        </row>
        <row r="35">
          <cell r="Q35">
            <v>400</v>
          </cell>
        </row>
        <row r="36">
          <cell r="Q36">
            <v>800</v>
          </cell>
        </row>
        <row r="37">
          <cell r="Q37">
            <v>1120</v>
          </cell>
        </row>
        <row r="38">
          <cell r="Q38">
            <v>1200</v>
          </cell>
        </row>
        <row r="39">
          <cell r="Q39">
            <v>900</v>
          </cell>
        </row>
        <row r="40">
          <cell r="Q40">
            <v>900</v>
          </cell>
        </row>
        <row r="41">
          <cell r="Q41">
            <v>500</v>
          </cell>
        </row>
        <row r="42">
          <cell r="Q42">
            <v>0</v>
          </cell>
        </row>
        <row r="43">
          <cell r="Q43">
            <v>700</v>
          </cell>
        </row>
        <row r="44">
          <cell r="Q44">
            <v>900</v>
          </cell>
        </row>
        <row r="45">
          <cell r="Q45">
            <v>0</v>
          </cell>
        </row>
        <row r="46">
          <cell r="Q46">
            <v>300</v>
          </cell>
        </row>
        <row r="47">
          <cell r="Q47">
            <v>500</v>
          </cell>
        </row>
        <row r="48">
          <cell r="Q48">
            <v>1680</v>
          </cell>
        </row>
        <row r="49">
          <cell r="Q49">
            <v>600</v>
          </cell>
        </row>
        <row r="50">
          <cell r="Q50">
            <v>400</v>
          </cell>
        </row>
        <row r="51">
          <cell r="Q51">
            <v>600</v>
          </cell>
        </row>
        <row r="52">
          <cell r="Q52">
            <v>0</v>
          </cell>
        </row>
        <row r="53">
          <cell r="Q53">
            <v>900</v>
          </cell>
        </row>
        <row r="54">
          <cell r="Q54">
            <v>0</v>
          </cell>
        </row>
        <row r="55">
          <cell r="Q55">
            <v>400</v>
          </cell>
        </row>
        <row r="56">
          <cell r="Q56">
            <v>400</v>
          </cell>
        </row>
        <row r="57">
          <cell r="Q57">
            <v>800</v>
          </cell>
        </row>
        <row r="58">
          <cell r="Q58">
            <v>400</v>
          </cell>
        </row>
        <row r="59">
          <cell r="Q59">
            <v>400</v>
          </cell>
        </row>
        <row r="60">
          <cell r="Q60">
            <v>900</v>
          </cell>
        </row>
        <row r="61">
          <cell r="Q61">
            <v>400</v>
          </cell>
        </row>
        <row r="62">
          <cell r="Q62">
            <v>800</v>
          </cell>
        </row>
        <row r="63">
          <cell r="Q63">
            <v>600</v>
          </cell>
        </row>
        <row r="64">
          <cell r="Q64">
            <v>1400</v>
          </cell>
        </row>
        <row r="65">
          <cell r="Q65">
            <v>1500</v>
          </cell>
        </row>
        <row r="66">
          <cell r="Q66">
            <v>600</v>
          </cell>
        </row>
        <row r="67">
          <cell r="Q67">
            <v>600</v>
          </cell>
        </row>
        <row r="68">
          <cell r="Q68">
            <v>1000</v>
          </cell>
        </row>
        <row r="69">
          <cell r="Q69">
            <v>2000</v>
          </cell>
        </row>
        <row r="70">
          <cell r="Q70">
            <v>1500</v>
          </cell>
        </row>
        <row r="71">
          <cell r="Q71">
            <v>750</v>
          </cell>
        </row>
        <row r="72">
          <cell r="Q72">
            <v>750</v>
          </cell>
        </row>
        <row r="73">
          <cell r="Q73">
            <v>1200</v>
          </cell>
        </row>
        <row r="74">
          <cell r="Q74">
            <v>750</v>
          </cell>
        </row>
        <row r="75">
          <cell r="Q75">
            <v>2400</v>
          </cell>
        </row>
        <row r="76">
          <cell r="Q76">
            <v>4050</v>
          </cell>
        </row>
        <row r="77">
          <cell r="Q77">
            <v>1000</v>
          </cell>
        </row>
        <row r="78">
          <cell r="Q78">
            <v>1750</v>
          </cell>
        </row>
        <row r="79">
          <cell r="Q79">
            <v>1000</v>
          </cell>
        </row>
        <row r="80">
          <cell r="Q80">
            <v>0</v>
          </cell>
        </row>
        <row r="81">
          <cell r="Q81">
            <v>750</v>
          </cell>
        </row>
        <row r="82">
          <cell r="Q82">
            <v>750</v>
          </cell>
        </row>
        <row r="83">
          <cell r="Q83">
            <v>1000</v>
          </cell>
        </row>
        <row r="84">
          <cell r="Q84">
            <v>1000</v>
          </cell>
        </row>
        <row r="85">
          <cell r="Q85">
            <v>750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600</v>
          </cell>
        </row>
        <row r="89">
          <cell r="Q89">
            <v>0</v>
          </cell>
        </row>
        <row r="90">
          <cell r="Q90">
            <v>1500</v>
          </cell>
        </row>
        <row r="91">
          <cell r="Q91">
            <v>750</v>
          </cell>
        </row>
        <row r="92">
          <cell r="Q92">
            <v>750</v>
          </cell>
        </row>
        <row r="93">
          <cell r="Q93">
            <v>1500</v>
          </cell>
        </row>
        <row r="94">
          <cell r="Q94">
            <v>600</v>
          </cell>
        </row>
        <row r="95">
          <cell r="Q95">
            <v>0</v>
          </cell>
        </row>
        <row r="96">
          <cell r="Q96">
            <v>1500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1800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1500</v>
          </cell>
        </row>
        <row r="103">
          <cell r="Q103">
            <v>3000</v>
          </cell>
        </row>
        <row r="104">
          <cell r="Q104">
            <v>1500</v>
          </cell>
        </row>
        <row r="105">
          <cell r="Q105">
            <v>1500</v>
          </cell>
        </row>
        <row r="106">
          <cell r="Q106">
            <v>2760</v>
          </cell>
        </row>
        <row r="107">
          <cell r="Q107">
            <v>1500</v>
          </cell>
        </row>
        <row r="108">
          <cell r="Q108">
            <v>0</v>
          </cell>
        </row>
        <row r="109">
          <cell r="Q109">
            <v>3600</v>
          </cell>
        </row>
        <row r="110">
          <cell r="Q110">
            <v>0</v>
          </cell>
        </row>
        <row r="111">
          <cell r="Q111">
            <v>1500</v>
          </cell>
        </row>
        <row r="112">
          <cell r="Q112">
            <v>1800</v>
          </cell>
        </row>
        <row r="113">
          <cell r="Q113">
            <v>1800</v>
          </cell>
        </row>
        <row r="114">
          <cell r="Q114">
            <v>0</v>
          </cell>
        </row>
        <row r="115">
          <cell r="Q115">
            <v>900</v>
          </cell>
        </row>
        <row r="116">
          <cell r="Q116">
            <v>1500</v>
          </cell>
        </row>
        <row r="117">
          <cell r="Q117">
            <v>2250</v>
          </cell>
        </row>
        <row r="118">
          <cell r="Q118">
            <v>1500</v>
          </cell>
        </row>
        <row r="119">
          <cell r="Q119">
            <v>1200</v>
          </cell>
        </row>
        <row r="120">
          <cell r="Q120">
            <v>1500</v>
          </cell>
        </row>
        <row r="121">
          <cell r="Q121">
            <v>0</v>
          </cell>
        </row>
        <row r="122">
          <cell r="Q122">
            <v>1500</v>
          </cell>
        </row>
        <row r="123">
          <cell r="Q123">
            <v>1800</v>
          </cell>
        </row>
        <row r="124">
          <cell r="Q124">
            <v>600</v>
          </cell>
        </row>
        <row r="125">
          <cell r="Q125">
            <v>1800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1200</v>
          </cell>
        </row>
        <row r="136">
          <cell r="Q136">
            <v>2700</v>
          </cell>
        </row>
        <row r="137">
          <cell r="Q137">
            <v>1500</v>
          </cell>
        </row>
        <row r="138">
          <cell r="Q138">
            <v>0</v>
          </cell>
        </row>
        <row r="139">
          <cell r="Q139">
            <v>1200</v>
          </cell>
        </row>
        <row r="140">
          <cell r="Q140">
            <v>900</v>
          </cell>
        </row>
        <row r="141">
          <cell r="Q141">
            <v>575</v>
          </cell>
        </row>
        <row r="142">
          <cell r="Q142">
            <v>2520</v>
          </cell>
        </row>
        <row r="143">
          <cell r="Q143">
            <v>1500</v>
          </cell>
        </row>
        <row r="144">
          <cell r="Q144">
            <v>1800</v>
          </cell>
        </row>
        <row r="145">
          <cell r="Q145">
            <v>0</v>
          </cell>
        </row>
        <row r="146">
          <cell r="Q146">
            <v>1800</v>
          </cell>
        </row>
        <row r="147">
          <cell r="Q147">
            <v>1200</v>
          </cell>
        </row>
        <row r="148">
          <cell r="Q148">
            <v>1500</v>
          </cell>
        </row>
        <row r="149">
          <cell r="Q149">
            <v>1800</v>
          </cell>
        </row>
        <row r="150">
          <cell r="Q150">
            <v>2250</v>
          </cell>
        </row>
        <row r="151">
          <cell r="Q151">
            <v>1500</v>
          </cell>
        </row>
        <row r="152">
          <cell r="Q152">
            <v>1200</v>
          </cell>
        </row>
        <row r="153">
          <cell r="Q153">
            <v>2250</v>
          </cell>
        </row>
        <row r="154">
          <cell r="Q154">
            <v>1200</v>
          </cell>
        </row>
        <row r="155">
          <cell r="Q155">
            <v>1200</v>
          </cell>
        </row>
        <row r="156">
          <cell r="Q156">
            <v>3000</v>
          </cell>
        </row>
        <row r="157">
          <cell r="Q157">
            <v>600</v>
          </cell>
        </row>
        <row r="158">
          <cell r="Q158">
            <v>1800</v>
          </cell>
        </row>
        <row r="159">
          <cell r="Q159">
            <v>1200</v>
          </cell>
        </row>
        <row r="160">
          <cell r="Q160">
            <v>1200</v>
          </cell>
        </row>
        <row r="161">
          <cell r="Q161">
            <v>1200</v>
          </cell>
        </row>
        <row r="162">
          <cell r="Q162">
            <v>1800</v>
          </cell>
        </row>
        <row r="163">
          <cell r="Q163">
            <v>510</v>
          </cell>
        </row>
        <row r="164">
          <cell r="Q164">
            <v>3000</v>
          </cell>
        </row>
        <row r="165">
          <cell r="Q165">
            <v>600</v>
          </cell>
        </row>
        <row r="166">
          <cell r="Q166">
            <v>1020</v>
          </cell>
        </row>
        <row r="167">
          <cell r="Q167">
            <v>1800</v>
          </cell>
        </row>
        <row r="168">
          <cell r="Q168">
            <v>0</v>
          </cell>
        </row>
        <row r="169">
          <cell r="Q169">
            <v>0</v>
          </cell>
        </row>
        <row r="170">
          <cell r="Q170">
            <v>0</v>
          </cell>
        </row>
        <row r="171">
          <cell r="Q171">
            <v>1200</v>
          </cell>
        </row>
        <row r="172">
          <cell r="Q172">
            <v>1200</v>
          </cell>
        </row>
        <row r="173">
          <cell r="Q173">
            <v>1800</v>
          </cell>
        </row>
        <row r="174">
          <cell r="Q174">
            <v>3000</v>
          </cell>
        </row>
        <row r="175">
          <cell r="Q175">
            <v>1200</v>
          </cell>
        </row>
        <row r="176">
          <cell r="Q176">
            <v>1200</v>
          </cell>
        </row>
        <row r="177">
          <cell r="Q177">
            <v>1200</v>
          </cell>
        </row>
        <row r="178">
          <cell r="Q178">
            <v>1500</v>
          </cell>
        </row>
        <row r="179">
          <cell r="Q179">
            <v>1200</v>
          </cell>
        </row>
        <row r="180">
          <cell r="Q180">
            <v>1800</v>
          </cell>
        </row>
        <row r="181">
          <cell r="Q181">
            <v>1800</v>
          </cell>
        </row>
        <row r="182">
          <cell r="Q182">
            <v>1200</v>
          </cell>
        </row>
        <row r="183">
          <cell r="Q183">
            <v>1200</v>
          </cell>
        </row>
        <row r="184">
          <cell r="Q184">
            <v>2250</v>
          </cell>
        </row>
        <row r="185">
          <cell r="Q185">
            <v>1200</v>
          </cell>
        </row>
        <row r="186">
          <cell r="Q186">
            <v>0</v>
          </cell>
        </row>
        <row r="187">
          <cell r="Q187">
            <v>3000</v>
          </cell>
        </row>
        <row r="188">
          <cell r="Q188">
            <v>1200</v>
          </cell>
        </row>
        <row r="189">
          <cell r="Q189">
            <v>1500</v>
          </cell>
        </row>
        <row r="190">
          <cell r="Q190">
            <v>1500</v>
          </cell>
        </row>
        <row r="191">
          <cell r="Q191">
            <v>2100</v>
          </cell>
        </row>
        <row r="192">
          <cell r="Q192">
            <v>1200</v>
          </cell>
        </row>
        <row r="193">
          <cell r="Q193">
            <v>900</v>
          </cell>
        </row>
        <row r="194">
          <cell r="Q194">
            <v>1800</v>
          </cell>
        </row>
        <row r="195">
          <cell r="Q195">
            <v>1200</v>
          </cell>
        </row>
        <row r="196">
          <cell r="Q196">
            <v>1500</v>
          </cell>
        </row>
        <row r="197">
          <cell r="Q197">
            <v>1800</v>
          </cell>
        </row>
        <row r="198">
          <cell r="Q198">
            <v>3600</v>
          </cell>
        </row>
        <row r="199">
          <cell r="Q199">
            <v>1500</v>
          </cell>
        </row>
        <row r="200">
          <cell r="Q200">
            <v>1250</v>
          </cell>
        </row>
        <row r="201">
          <cell r="Q201">
            <v>1500</v>
          </cell>
        </row>
        <row r="202">
          <cell r="Q202">
            <v>1500</v>
          </cell>
        </row>
        <row r="203">
          <cell r="Q203">
            <v>1000</v>
          </cell>
        </row>
        <row r="204">
          <cell r="Q204">
            <v>1500</v>
          </cell>
        </row>
        <row r="205">
          <cell r="Q205">
            <v>1800</v>
          </cell>
        </row>
        <row r="206">
          <cell r="Q206">
            <v>5000</v>
          </cell>
        </row>
        <row r="207">
          <cell r="Q207">
            <v>1800</v>
          </cell>
        </row>
        <row r="208">
          <cell r="Q208">
            <v>1800</v>
          </cell>
        </row>
        <row r="209">
          <cell r="Q209">
            <v>1500</v>
          </cell>
        </row>
        <row r="210">
          <cell r="Q210">
            <v>1200</v>
          </cell>
        </row>
        <row r="211">
          <cell r="Q211">
            <v>400</v>
          </cell>
        </row>
        <row r="212">
          <cell r="Q212">
            <v>1200</v>
          </cell>
        </row>
        <row r="213">
          <cell r="Q213">
            <v>1800</v>
          </cell>
        </row>
        <row r="214">
          <cell r="Q214">
            <v>1800</v>
          </cell>
        </row>
        <row r="215">
          <cell r="Q215">
            <v>2100</v>
          </cell>
        </row>
        <row r="216">
          <cell r="Q216">
            <v>600</v>
          </cell>
        </row>
        <row r="217">
          <cell r="Q217">
            <v>1500</v>
          </cell>
        </row>
        <row r="218">
          <cell r="Q218">
            <v>2400</v>
          </cell>
        </row>
        <row r="219">
          <cell r="Q219">
            <v>1500</v>
          </cell>
        </row>
        <row r="220">
          <cell r="Q220">
            <v>1800</v>
          </cell>
        </row>
        <row r="221">
          <cell r="Q221">
            <v>1200</v>
          </cell>
        </row>
        <row r="222">
          <cell r="Q222">
            <v>1500</v>
          </cell>
        </row>
        <row r="223">
          <cell r="Q223">
            <v>750</v>
          </cell>
        </row>
        <row r="224">
          <cell r="Q224">
            <v>1800</v>
          </cell>
        </row>
        <row r="225">
          <cell r="Q225">
            <v>1500</v>
          </cell>
        </row>
        <row r="226">
          <cell r="Q226">
            <v>2400</v>
          </cell>
        </row>
        <row r="227">
          <cell r="Q227">
            <v>750</v>
          </cell>
        </row>
        <row r="228">
          <cell r="Q228">
            <v>750</v>
          </cell>
        </row>
        <row r="229">
          <cell r="Q229">
            <v>750</v>
          </cell>
        </row>
        <row r="230">
          <cell r="Q230">
            <v>750</v>
          </cell>
        </row>
        <row r="231">
          <cell r="Q231">
            <v>750</v>
          </cell>
        </row>
        <row r="232">
          <cell r="Q232">
            <v>1000</v>
          </cell>
        </row>
        <row r="233">
          <cell r="Q233">
            <v>0</v>
          </cell>
        </row>
        <row r="234">
          <cell r="Q234">
            <v>0</v>
          </cell>
        </row>
        <row r="235">
          <cell r="Q235">
            <v>1200</v>
          </cell>
        </row>
        <row r="236">
          <cell r="Q236">
            <v>0</v>
          </cell>
        </row>
        <row r="237">
          <cell r="Q237">
            <v>1000</v>
          </cell>
        </row>
        <row r="238">
          <cell r="Q238">
            <v>1500</v>
          </cell>
        </row>
        <row r="239">
          <cell r="Q239">
            <v>1500</v>
          </cell>
        </row>
        <row r="240">
          <cell r="Q240">
            <v>1500</v>
          </cell>
        </row>
        <row r="241">
          <cell r="Q241">
            <v>1500</v>
          </cell>
        </row>
        <row r="242">
          <cell r="Q242">
            <v>1500</v>
          </cell>
        </row>
        <row r="243">
          <cell r="Q243">
            <v>1500</v>
          </cell>
        </row>
        <row r="244">
          <cell r="Q244">
            <v>0</v>
          </cell>
        </row>
        <row r="245">
          <cell r="Q245">
            <v>0</v>
          </cell>
        </row>
        <row r="246">
          <cell r="Q246">
            <v>600</v>
          </cell>
        </row>
        <row r="247">
          <cell r="Q247">
            <v>1000</v>
          </cell>
        </row>
        <row r="248">
          <cell r="Q248">
            <v>0</v>
          </cell>
        </row>
        <row r="249">
          <cell r="Q249">
            <v>0</v>
          </cell>
        </row>
        <row r="250">
          <cell r="Q250">
            <v>1250</v>
          </cell>
        </row>
        <row r="251">
          <cell r="Q251">
            <v>0</v>
          </cell>
        </row>
        <row r="252">
          <cell r="Q252">
            <v>2000</v>
          </cell>
        </row>
        <row r="253">
          <cell r="Q253">
            <v>0</v>
          </cell>
        </row>
        <row r="254">
          <cell r="Q254">
            <v>600</v>
          </cell>
        </row>
        <row r="255">
          <cell r="Q255">
            <v>1500</v>
          </cell>
        </row>
        <row r="256">
          <cell r="Q256">
            <v>750</v>
          </cell>
        </row>
        <row r="257">
          <cell r="Q257" t="str">
            <v>أدخل رقم العقد</v>
          </cell>
        </row>
        <row r="258">
          <cell r="Q258" t="str">
            <v>أدخل رقم العقد</v>
          </cell>
        </row>
        <row r="259">
          <cell r="Q259" t="str">
            <v>أدخل رقم العقد</v>
          </cell>
        </row>
        <row r="260">
          <cell r="Q260" t="str">
            <v>أدخل رقم العقد</v>
          </cell>
        </row>
        <row r="261">
          <cell r="Q261" t="str">
            <v>أدخل رقم العقد</v>
          </cell>
        </row>
        <row r="262">
          <cell r="Q262" t="str">
            <v>أدخل رقم العقد</v>
          </cell>
        </row>
        <row r="263">
          <cell r="Q263" t="str">
            <v>أدخل رقم العقد</v>
          </cell>
        </row>
        <row r="264">
          <cell r="Q264" t="str">
            <v>أدخل رقم العقد</v>
          </cell>
        </row>
        <row r="265">
          <cell r="Q265" t="str">
            <v>أدخل رقم العقد</v>
          </cell>
        </row>
        <row r="266">
          <cell r="Q266" t="str">
            <v>أدخل رقم العقد</v>
          </cell>
        </row>
        <row r="267">
          <cell r="Q267" t="str">
            <v>أدخل رقم العقد</v>
          </cell>
        </row>
        <row r="268">
          <cell r="Q268" t="str">
            <v>أدخل رقم العقد</v>
          </cell>
        </row>
        <row r="269">
          <cell r="Q269" t="str">
            <v>أدخل رقم العقد</v>
          </cell>
        </row>
        <row r="270">
          <cell r="Q270" t="str">
            <v>أدخل رقم العقد</v>
          </cell>
        </row>
        <row r="271">
          <cell r="Q271" t="str">
            <v>أدخل رقم العقد</v>
          </cell>
        </row>
        <row r="272">
          <cell r="Q272" t="str">
            <v>أدخل رقم العقد</v>
          </cell>
        </row>
        <row r="273">
          <cell r="Q273" t="str">
            <v>أدخل رقم العقد</v>
          </cell>
        </row>
        <row r="274">
          <cell r="Q274" t="str">
            <v>أدخل رقم العقد</v>
          </cell>
        </row>
        <row r="275">
          <cell r="Q275" t="str">
            <v>أدخل رقم العقد</v>
          </cell>
        </row>
        <row r="276">
          <cell r="Q276" t="str">
            <v>أدخل رقم العقد</v>
          </cell>
        </row>
        <row r="277">
          <cell r="Q277" t="str">
            <v>أدخل رقم العقد</v>
          </cell>
        </row>
        <row r="278">
          <cell r="Q278" t="str">
            <v>أدخل رقم العقد</v>
          </cell>
        </row>
        <row r="279">
          <cell r="Q279" t="str">
            <v>أدخل رقم العقد</v>
          </cell>
        </row>
        <row r="280">
          <cell r="Q280" t="str">
            <v>أدخل رقم العقد</v>
          </cell>
        </row>
        <row r="281">
          <cell r="Q281" t="str">
            <v>أدخل رقم العقد</v>
          </cell>
        </row>
        <row r="282">
          <cell r="Q282" t="str">
            <v>أدخل رقم العقد</v>
          </cell>
        </row>
        <row r="283">
          <cell r="Q283" t="str">
            <v>أدخل رقم العقد</v>
          </cell>
        </row>
        <row r="284">
          <cell r="Q284" t="str">
            <v>أدخل رقم العقد</v>
          </cell>
        </row>
        <row r="285">
          <cell r="Q285" t="str">
            <v>أدخل رقم العقد</v>
          </cell>
        </row>
        <row r="286">
          <cell r="Q286" t="str">
            <v>أدخل رقم العقد</v>
          </cell>
        </row>
        <row r="287">
          <cell r="Q287" t="str">
            <v>أدخل رقم العقد</v>
          </cell>
        </row>
        <row r="288">
          <cell r="Q288" t="str">
            <v>أدخل رقم العقد</v>
          </cell>
        </row>
        <row r="289">
          <cell r="Q289" t="str">
            <v>أدخل رقم العقد</v>
          </cell>
        </row>
        <row r="290">
          <cell r="Q290" t="str">
            <v>أدخل رقم العقد</v>
          </cell>
        </row>
        <row r="291">
          <cell r="Q291" t="str">
            <v>أدخل رقم العقد</v>
          </cell>
        </row>
        <row r="292">
          <cell r="Q292" t="str">
            <v>أدخل رقم العقد</v>
          </cell>
        </row>
        <row r="293">
          <cell r="Q293" t="str">
            <v>أدخل رقم العقد</v>
          </cell>
        </row>
        <row r="294">
          <cell r="Q294" t="str">
            <v>أدخل رقم العقد</v>
          </cell>
        </row>
        <row r="295">
          <cell r="Q295" t="str">
            <v>أدخل رقم العقد</v>
          </cell>
        </row>
        <row r="296">
          <cell r="Q296" t="str">
            <v>أدخل رقم العقد</v>
          </cell>
        </row>
        <row r="297">
          <cell r="Q297" t="str">
            <v>أدخل رقم العقد</v>
          </cell>
        </row>
        <row r="298">
          <cell r="Q298" t="str">
            <v>أدخل رقم العقد</v>
          </cell>
        </row>
        <row r="299">
          <cell r="Q299" t="str">
            <v>أدخل رقم العقد</v>
          </cell>
        </row>
        <row r="300">
          <cell r="Q300" t="str">
            <v>أدخل رقم العقد</v>
          </cell>
        </row>
        <row r="301">
          <cell r="Q301" t="str">
            <v>أدخل رقم العقد</v>
          </cell>
        </row>
        <row r="302">
          <cell r="Q302" t="str">
            <v>أدخل رقم العقد</v>
          </cell>
        </row>
        <row r="303">
          <cell r="Q303" t="str">
            <v>أدخل رقم العقد</v>
          </cell>
        </row>
        <row r="304">
          <cell r="Q304" t="str">
            <v>أدخل رقم العقد</v>
          </cell>
        </row>
        <row r="305">
          <cell r="Q305" t="str">
            <v>أدخل رقم العقد</v>
          </cell>
        </row>
        <row r="306">
          <cell r="Q306" t="str">
            <v>أدخل رقم العقد</v>
          </cell>
        </row>
        <row r="307">
          <cell r="Q307" t="str">
            <v>أدخل رقم العقد</v>
          </cell>
        </row>
        <row r="308">
          <cell r="Q308" t="str">
            <v>أدخل رقم العقد</v>
          </cell>
        </row>
        <row r="309">
          <cell r="Q309" t="str">
            <v>أدخل رقم العقد</v>
          </cell>
        </row>
        <row r="310">
          <cell r="Q310" t="str">
            <v>أدخل رقم العقد</v>
          </cell>
        </row>
        <row r="311">
          <cell r="Q311" t="str">
            <v>أدخل رقم العقد</v>
          </cell>
        </row>
        <row r="312">
          <cell r="Q312" t="str">
            <v>أدخل رقم العقد</v>
          </cell>
        </row>
        <row r="313">
          <cell r="Q313" t="str">
            <v>أدخل رقم العقد</v>
          </cell>
        </row>
        <row r="314">
          <cell r="Q314" t="str">
            <v>أدخل رقم العقد</v>
          </cell>
        </row>
        <row r="315">
          <cell r="Q315" t="str">
            <v>أدخل رقم العقد</v>
          </cell>
        </row>
        <row r="316">
          <cell r="Q316" t="str">
            <v>أدخل رقم العقد</v>
          </cell>
        </row>
        <row r="317">
          <cell r="Q317" t="str">
            <v>أدخل رقم العقد</v>
          </cell>
        </row>
        <row r="318">
          <cell r="Q318" t="str">
            <v>أدخل رقم العقد</v>
          </cell>
        </row>
        <row r="319">
          <cell r="Q319" t="str">
            <v>أدخل رقم العقد</v>
          </cell>
        </row>
        <row r="320">
          <cell r="Q320" t="str">
            <v>أدخل رقم العقد</v>
          </cell>
        </row>
        <row r="321">
          <cell r="Q321" t="str">
            <v>أدخل رقم العقد</v>
          </cell>
        </row>
        <row r="322">
          <cell r="Q322" t="str">
            <v>أدخل رقم العقد</v>
          </cell>
        </row>
        <row r="323">
          <cell r="Q323" t="str">
            <v>أدخل رقم العقد</v>
          </cell>
        </row>
        <row r="324">
          <cell r="Q324" t="str">
            <v>أدخل رقم العقد</v>
          </cell>
        </row>
        <row r="325">
          <cell r="Q325" t="str">
            <v>أدخل رقم العقد</v>
          </cell>
        </row>
        <row r="326">
          <cell r="Q326" t="str">
            <v>أدخل رقم العقد</v>
          </cell>
        </row>
        <row r="327">
          <cell r="Q327" t="str">
            <v>أدخل رقم العقد</v>
          </cell>
        </row>
        <row r="328">
          <cell r="Q328" t="str">
            <v>أدخل رقم العقد</v>
          </cell>
        </row>
        <row r="329">
          <cell r="Q329" t="str">
            <v>أدخل رقم العقد</v>
          </cell>
        </row>
        <row r="330">
          <cell r="Q330" t="str">
            <v>أدخل رقم العقد</v>
          </cell>
        </row>
        <row r="331">
          <cell r="Q331" t="str">
            <v>أدخل رقم العقد</v>
          </cell>
        </row>
        <row r="332">
          <cell r="Q332" t="str">
            <v>أدخل رقم العقد</v>
          </cell>
        </row>
        <row r="333">
          <cell r="Q333" t="str">
            <v>أدخل رقم العقد</v>
          </cell>
        </row>
        <row r="334">
          <cell r="Q334" t="str">
            <v>أدخل رقم العقد</v>
          </cell>
        </row>
        <row r="335">
          <cell r="Q335" t="str">
            <v>أدخل رقم العقد</v>
          </cell>
        </row>
        <row r="336">
          <cell r="Q336" t="str">
            <v>أدخل رقم العقد</v>
          </cell>
        </row>
        <row r="337">
          <cell r="Q337" t="str">
            <v>أدخل رقم العقد</v>
          </cell>
        </row>
        <row r="338">
          <cell r="Q338" t="str">
            <v>أدخل رقم العقد</v>
          </cell>
        </row>
        <row r="339">
          <cell r="Q339" t="str">
            <v>أدخل رقم العقد</v>
          </cell>
        </row>
        <row r="340">
          <cell r="Q340" t="str">
            <v>أدخل رقم العقد</v>
          </cell>
        </row>
        <row r="341">
          <cell r="Q341" t="str">
            <v>أدخل رقم العقد</v>
          </cell>
        </row>
        <row r="342">
          <cell r="Q342" t="str">
            <v>أدخل رقم العقد</v>
          </cell>
        </row>
        <row r="343">
          <cell r="Q343" t="str">
            <v>أدخل رقم العقد</v>
          </cell>
        </row>
        <row r="344">
          <cell r="Q344" t="str">
            <v>أدخل رقم العقد</v>
          </cell>
        </row>
        <row r="345">
          <cell r="Q345" t="str">
            <v>أدخل رقم العقد</v>
          </cell>
        </row>
        <row r="346">
          <cell r="Q346" t="str">
            <v>أدخل رقم العقد</v>
          </cell>
        </row>
        <row r="347">
          <cell r="Q347" t="str">
            <v>أدخل رقم العقد</v>
          </cell>
        </row>
        <row r="348">
          <cell r="Q348" t="str">
            <v>أدخل رقم العقد</v>
          </cell>
        </row>
        <row r="349">
          <cell r="Q349" t="str">
            <v>أدخل رقم العقد</v>
          </cell>
        </row>
        <row r="350">
          <cell r="Q350" t="str">
            <v>أدخل رقم العقد</v>
          </cell>
        </row>
        <row r="351">
          <cell r="Q351" t="str">
            <v>أدخل رقم العقد</v>
          </cell>
        </row>
        <row r="352">
          <cell r="Q352" t="str">
            <v>أدخل رقم العقد</v>
          </cell>
        </row>
        <row r="353">
          <cell r="Q353" t="str">
            <v>أدخل رقم العقد</v>
          </cell>
        </row>
        <row r="354">
          <cell r="Q354" t="str">
            <v>أدخل رقم العقد</v>
          </cell>
        </row>
        <row r="355">
          <cell r="Q355" t="str">
            <v>أدخل رقم العقد</v>
          </cell>
        </row>
        <row r="356">
          <cell r="Q356" t="str">
            <v>أدخل رقم العقد</v>
          </cell>
        </row>
        <row r="357">
          <cell r="Q357" t="str">
            <v>أدخل رقم العقد</v>
          </cell>
        </row>
        <row r="358">
          <cell r="Q358" t="str">
            <v>أدخل رقم العقد</v>
          </cell>
        </row>
        <row r="359">
          <cell r="Q359" t="str">
            <v>أدخل رقم العقد</v>
          </cell>
        </row>
        <row r="360">
          <cell r="Q360" t="str">
            <v>أدخل رقم العقد</v>
          </cell>
        </row>
        <row r="361">
          <cell r="Q361" t="str">
            <v>أدخل رقم العقد</v>
          </cell>
        </row>
        <row r="362">
          <cell r="Q362" t="str">
            <v>أدخل رقم العقد</v>
          </cell>
        </row>
        <row r="363">
          <cell r="Q363" t="str">
            <v>أدخل رقم العقد</v>
          </cell>
        </row>
        <row r="364">
          <cell r="Q364" t="str">
            <v>أدخل رقم العقد</v>
          </cell>
        </row>
        <row r="365">
          <cell r="Q365" t="str">
            <v>أدخل رقم العقد</v>
          </cell>
        </row>
        <row r="366">
          <cell r="Q366" t="str">
            <v>أدخل رقم العقد</v>
          </cell>
        </row>
        <row r="367">
          <cell r="Q367" t="str">
            <v>أدخل رقم العقد</v>
          </cell>
        </row>
        <row r="368">
          <cell r="Q368" t="str">
            <v>أدخل رقم العقد</v>
          </cell>
        </row>
        <row r="369">
          <cell r="Q369" t="str">
            <v>أدخل رقم العقد</v>
          </cell>
        </row>
        <row r="370">
          <cell r="Q370" t="str">
            <v>أدخل رقم العقد</v>
          </cell>
        </row>
        <row r="371">
          <cell r="Q371" t="str">
            <v>أدخل رقم العقد</v>
          </cell>
        </row>
        <row r="372">
          <cell r="Q372" t="str">
            <v>أدخل رقم العقد</v>
          </cell>
        </row>
        <row r="373">
          <cell r="Q373" t="str">
            <v>أدخل رقم العقد</v>
          </cell>
        </row>
        <row r="374">
          <cell r="Q374" t="str">
            <v>أدخل رقم العقد</v>
          </cell>
        </row>
        <row r="375">
          <cell r="Q375" t="str">
            <v>أدخل رقم العقد</v>
          </cell>
        </row>
        <row r="376">
          <cell r="Q376" t="str">
            <v>أدخل رقم العقد</v>
          </cell>
        </row>
        <row r="377">
          <cell r="Q377" t="str">
            <v>أدخل رقم العقد</v>
          </cell>
        </row>
        <row r="378">
          <cell r="Q378" t="str">
            <v>أدخل رقم العقد</v>
          </cell>
        </row>
        <row r="379">
          <cell r="Q379" t="str">
            <v>أدخل رقم العقد</v>
          </cell>
        </row>
        <row r="380">
          <cell r="Q380" t="str">
            <v>أدخل رقم العقد</v>
          </cell>
        </row>
        <row r="381">
          <cell r="Q381" t="str">
            <v>أدخل رقم العقد</v>
          </cell>
        </row>
        <row r="382">
          <cell r="Q382" t="str">
            <v>أدخل رقم العقد</v>
          </cell>
        </row>
        <row r="383">
          <cell r="Q383" t="str">
            <v>أدخل رقم العقد</v>
          </cell>
        </row>
        <row r="384">
          <cell r="Q384" t="str">
            <v>أدخل رقم العقد</v>
          </cell>
        </row>
        <row r="385">
          <cell r="Q385" t="str">
            <v>أدخل رقم العقد</v>
          </cell>
        </row>
        <row r="386">
          <cell r="Q386" t="str">
            <v>أدخل رقم العقد</v>
          </cell>
        </row>
        <row r="387">
          <cell r="Q387" t="str">
            <v>أدخل رقم العقد</v>
          </cell>
        </row>
        <row r="388">
          <cell r="Q388" t="str">
            <v>أدخل رقم العقد</v>
          </cell>
        </row>
        <row r="389">
          <cell r="Q389" t="str">
            <v>أدخل رقم العقد</v>
          </cell>
        </row>
        <row r="390">
          <cell r="Q390" t="str">
            <v>أدخل رقم العقد</v>
          </cell>
        </row>
        <row r="391">
          <cell r="Q391" t="str">
            <v>أدخل رقم العقد</v>
          </cell>
        </row>
        <row r="392">
          <cell r="Q392" t="str">
            <v>أدخل رقم العقد</v>
          </cell>
        </row>
        <row r="393">
          <cell r="Q393" t="str">
            <v>أدخل رقم العقد</v>
          </cell>
        </row>
        <row r="394">
          <cell r="Q394" t="str">
            <v>أدخل رقم العقد</v>
          </cell>
        </row>
        <row r="395">
          <cell r="Q395" t="str">
            <v>أدخل رقم العقد</v>
          </cell>
        </row>
        <row r="396">
          <cell r="Q396" t="str">
            <v>أدخل رقم العقد</v>
          </cell>
        </row>
        <row r="397">
          <cell r="Q397" t="str">
            <v>أدخل رقم العقد</v>
          </cell>
        </row>
        <row r="398">
          <cell r="Q398" t="str">
            <v>أدخل رقم العقد</v>
          </cell>
        </row>
        <row r="399">
          <cell r="Q399" t="str">
            <v>أدخل رقم العقد</v>
          </cell>
        </row>
        <row r="400">
          <cell r="Q400" t="str">
            <v>أدخل رقم العقد</v>
          </cell>
        </row>
        <row r="401">
          <cell r="Q401" t="str">
            <v>أدخل رقم العقد</v>
          </cell>
        </row>
        <row r="402">
          <cell r="Q402" t="str">
            <v>أدخل رقم العقد</v>
          </cell>
        </row>
        <row r="403">
          <cell r="Q403" t="str">
            <v>أدخل رقم العقد</v>
          </cell>
        </row>
        <row r="404">
          <cell r="Q404" t="str">
            <v>أدخل رقم العقد</v>
          </cell>
        </row>
        <row r="405">
          <cell r="Q405" t="str">
            <v>أدخل رقم العقد</v>
          </cell>
        </row>
        <row r="406">
          <cell r="Q406" t="str">
            <v>أدخل رقم العقد</v>
          </cell>
        </row>
        <row r="407">
          <cell r="Q407" t="str">
            <v>أدخل رقم العقد</v>
          </cell>
        </row>
        <row r="408">
          <cell r="Q408" t="str">
            <v>أدخل رقم العقد</v>
          </cell>
        </row>
        <row r="409">
          <cell r="Q409" t="str">
            <v>أدخل رقم العقد</v>
          </cell>
        </row>
        <row r="410">
          <cell r="Q410" t="str">
            <v>أدخل رقم العقد</v>
          </cell>
        </row>
        <row r="411">
          <cell r="Q411" t="str">
            <v>أدخل رقم العقد</v>
          </cell>
        </row>
        <row r="412">
          <cell r="Q412" t="str">
            <v>أدخل رقم العقد</v>
          </cell>
        </row>
        <row r="413">
          <cell r="Q413" t="str">
            <v>أدخل رقم العقد</v>
          </cell>
        </row>
        <row r="414">
          <cell r="Q414" t="str">
            <v>أدخل رقم العقد</v>
          </cell>
        </row>
        <row r="415">
          <cell r="Q415" t="str">
            <v>أدخل رقم العقد</v>
          </cell>
        </row>
        <row r="416">
          <cell r="Q416" t="str">
            <v>أدخل رقم العقد</v>
          </cell>
        </row>
        <row r="417">
          <cell r="Q417" t="str">
            <v>أدخل رقم العقد</v>
          </cell>
        </row>
        <row r="418">
          <cell r="Q418" t="str">
            <v>أدخل رقم العقد</v>
          </cell>
        </row>
        <row r="419">
          <cell r="Q419" t="str">
            <v>أدخل رقم العقد</v>
          </cell>
        </row>
        <row r="420">
          <cell r="Q420" t="str">
            <v>أدخل رقم العقد</v>
          </cell>
        </row>
        <row r="421">
          <cell r="Q421" t="str">
            <v>أدخل رقم العقد</v>
          </cell>
        </row>
        <row r="422">
          <cell r="Q422" t="str">
            <v>أدخل رقم العقد</v>
          </cell>
        </row>
        <row r="423">
          <cell r="Q423" t="str">
            <v>أدخل رقم العقد</v>
          </cell>
        </row>
        <row r="424">
          <cell r="Q424" t="str">
            <v>أدخل رقم العقد</v>
          </cell>
        </row>
        <row r="425">
          <cell r="Q425" t="str">
            <v>أدخل رقم العقد</v>
          </cell>
        </row>
        <row r="426">
          <cell r="Q426" t="str">
            <v>أدخل رقم العقد</v>
          </cell>
        </row>
        <row r="427">
          <cell r="Q427" t="str">
            <v>أدخل رقم العقد</v>
          </cell>
        </row>
        <row r="428">
          <cell r="Q428" t="str">
            <v>أدخل رقم العقد</v>
          </cell>
        </row>
        <row r="429">
          <cell r="Q429" t="str">
            <v>أدخل رقم العقد</v>
          </cell>
        </row>
        <row r="430">
          <cell r="Q430" t="str">
            <v>أدخل رقم العقد</v>
          </cell>
        </row>
        <row r="431">
          <cell r="Q431" t="str">
            <v>أدخل رقم العقد</v>
          </cell>
        </row>
        <row r="432">
          <cell r="Q432" t="str">
            <v>أدخل رقم العقد</v>
          </cell>
        </row>
        <row r="433">
          <cell r="Q433" t="str">
            <v>أدخل رقم العقد</v>
          </cell>
        </row>
        <row r="434">
          <cell r="Q434" t="str">
            <v>أدخل رقم العقد</v>
          </cell>
        </row>
        <row r="435">
          <cell r="Q435" t="str">
            <v>أدخل رقم العقد</v>
          </cell>
        </row>
        <row r="436">
          <cell r="Q436" t="str">
            <v>أدخل رقم العقد</v>
          </cell>
        </row>
        <row r="437">
          <cell r="Q437" t="str">
            <v>أدخل رقم العقد</v>
          </cell>
        </row>
        <row r="438">
          <cell r="Q438" t="str">
            <v>أدخل رقم العقد</v>
          </cell>
        </row>
        <row r="439">
          <cell r="Q439" t="str">
            <v>أدخل رقم العقد</v>
          </cell>
        </row>
        <row r="440">
          <cell r="Q440" t="str">
            <v>أدخل رقم العقد</v>
          </cell>
        </row>
        <row r="441">
          <cell r="Q441" t="str">
            <v>أدخل رقم العقد</v>
          </cell>
        </row>
        <row r="442">
          <cell r="Q442" t="str">
            <v>أدخل رقم العقد</v>
          </cell>
        </row>
        <row r="443">
          <cell r="Q443" t="str">
            <v>أدخل رقم العقد</v>
          </cell>
        </row>
        <row r="444">
          <cell r="Q444" t="str">
            <v>أدخل رقم العقد</v>
          </cell>
        </row>
        <row r="445">
          <cell r="Q445" t="str">
            <v>أدخل رقم العقد</v>
          </cell>
        </row>
        <row r="446">
          <cell r="Q446" t="str">
            <v>أدخل رقم العقد</v>
          </cell>
        </row>
        <row r="447">
          <cell r="Q447" t="str">
            <v>أدخل رقم العقد</v>
          </cell>
        </row>
        <row r="448">
          <cell r="Q448" t="str">
            <v>أدخل رقم العقد</v>
          </cell>
        </row>
        <row r="449">
          <cell r="Q449" t="str">
            <v>أدخل رقم العقد</v>
          </cell>
        </row>
        <row r="450">
          <cell r="Q450" t="str">
            <v>أدخل رقم العقد</v>
          </cell>
        </row>
        <row r="451">
          <cell r="Q451" t="str">
            <v>أدخل رقم العقد</v>
          </cell>
        </row>
        <row r="452">
          <cell r="Q452" t="str">
            <v>أدخل رقم العقد</v>
          </cell>
        </row>
        <row r="453">
          <cell r="Q453" t="str">
            <v>أدخل رقم العقد</v>
          </cell>
        </row>
        <row r="454">
          <cell r="Q454" t="str">
            <v>أدخل رقم العقد</v>
          </cell>
        </row>
        <row r="455">
          <cell r="Q455" t="str">
            <v>أدخل رقم العقد</v>
          </cell>
        </row>
        <row r="456">
          <cell r="Q456" t="str">
            <v>أدخل رقم العقد</v>
          </cell>
        </row>
        <row r="457">
          <cell r="Q457" t="str">
            <v>أدخل رقم العقد</v>
          </cell>
        </row>
        <row r="458">
          <cell r="Q458" t="str">
            <v>أدخل رقم العقد</v>
          </cell>
        </row>
        <row r="459">
          <cell r="Q459" t="str">
            <v>أدخل رقم العقد</v>
          </cell>
        </row>
        <row r="460">
          <cell r="Q460" t="str">
            <v>أدخل رقم العقد</v>
          </cell>
        </row>
        <row r="461">
          <cell r="Q461" t="str">
            <v>أدخل رقم العقد</v>
          </cell>
        </row>
        <row r="462">
          <cell r="Q462" t="str">
            <v>أدخل رقم العقد</v>
          </cell>
        </row>
        <row r="463">
          <cell r="Q463" t="str">
            <v>أدخل رقم العقد</v>
          </cell>
        </row>
        <row r="464">
          <cell r="Q464" t="str">
            <v>أدخل رقم العقد</v>
          </cell>
        </row>
        <row r="465">
          <cell r="Q465" t="str">
            <v>أدخل رقم العقد</v>
          </cell>
        </row>
        <row r="466">
          <cell r="Q466" t="str">
            <v>أدخل رقم العقد</v>
          </cell>
        </row>
        <row r="467">
          <cell r="Q467" t="str">
            <v>أدخل رقم العقد</v>
          </cell>
        </row>
        <row r="468">
          <cell r="Q468" t="str">
            <v>أدخل رقم العقد</v>
          </cell>
        </row>
        <row r="469">
          <cell r="Q469" t="str">
            <v>أدخل رقم العقد</v>
          </cell>
        </row>
        <row r="470">
          <cell r="Q470" t="str">
            <v>أدخل رقم العقد</v>
          </cell>
        </row>
        <row r="471">
          <cell r="Q471" t="str">
            <v>أدخل رقم العقد</v>
          </cell>
        </row>
        <row r="472">
          <cell r="Q472" t="str">
            <v>أدخل رقم العقد</v>
          </cell>
        </row>
        <row r="473">
          <cell r="Q473" t="str">
            <v>أدخل رقم العقد</v>
          </cell>
        </row>
        <row r="474">
          <cell r="Q474" t="str">
            <v>أدخل رقم العقد</v>
          </cell>
        </row>
        <row r="475">
          <cell r="Q475" t="str">
            <v>أدخل رقم العقد</v>
          </cell>
        </row>
        <row r="476">
          <cell r="Q476" t="str">
            <v>أدخل رقم العقد</v>
          </cell>
        </row>
        <row r="477">
          <cell r="Q477" t="str">
            <v>أدخل رقم العقد</v>
          </cell>
        </row>
        <row r="478">
          <cell r="Q478" t="str">
            <v>أدخل رقم العقد</v>
          </cell>
        </row>
        <row r="479">
          <cell r="Q479" t="str">
            <v>أدخل رقم العقد</v>
          </cell>
        </row>
        <row r="480">
          <cell r="Q480" t="str">
            <v>أدخل رقم العقد</v>
          </cell>
        </row>
        <row r="481">
          <cell r="Q481" t="str">
            <v>أدخل رقم العقد</v>
          </cell>
        </row>
        <row r="482">
          <cell r="Q482" t="str">
            <v>أدخل رقم العقد</v>
          </cell>
        </row>
        <row r="483">
          <cell r="Q483" t="str">
            <v>أدخل رقم العقد</v>
          </cell>
        </row>
        <row r="484">
          <cell r="Q484" t="str">
            <v>أدخل رقم العقد</v>
          </cell>
        </row>
        <row r="485">
          <cell r="Q485" t="str">
            <v>أدخل رقم العقد</v>
          </cell>
        </row>
        <row r="486">
          <cell r="Q486" t="str">
            <v>أدخل رقم العقد</v>
          </cell>
        </row>
        <row r="487">
          <cell r="Q487" t="str">
            <v>أدخل رقم العقد</v>
          </cell>
        </row>
        <row r="488">
          <cell r="Q488" t="str">
            <v>أدخل رقم العقد</v>
          </cell>
        </row>
        <row r="489">
          <cell r="Q489" t="str">
            <v>أدخل رقم العقد</v>
          </cell>
        </row>
        <row r="490">
          <cell r="Q490" t="str">
            <v>أدخل رقم العقد</v>
          </cell>
        </row>
        <row r="491">
          <cell r="Q491" t="str">
            <v>أدخل رقم العقد</v>
          </cell>
        </row>
        <row r="492">
          <cell r="Q492" t="str">
            <v>أدخل رقم العقد</v>
          </cell>
        </row>
        <row r="493">
          <cell r="Q493" t="str">
            <v>أدخل رقم العقد</v>
          </cell>
        </row>
        <row r="494">
          <cell r="Q494" t="str">
            <v>أدخل رقم العقد</v>
          </cell>
        </row>
        <row r="495">
          <cell r="Q495" t="str">
            <v>أدخل رقم العقد</v>
          </cell>
        </row>
        <row r="496">
          <cell r="Q496" t="str">
            <v>أدخل رقم العقد</v>
          </cell>
        </row>
        <row r="497">
          <cell r="Q497" t="str">
            <v>أدخل رقم العقد</v>
          </cell>
        </row>
        <row r="498">
          <cell r="Q498" t="str">
            <v>أدخل رقم العقد</v>
          </cell>
        </row>
        <row r="499">
          <cell r="Q499" t="str">
            <v>أدخل رقم العقد</v>
          </cell>
        </row>
        <row r="500">
          <cell r="Q500" t="str">
            <v>أدخل رقم العقد</v>
          </cell>
        </row>
        <row r="501">
          <cell r="Q501" t="str">
            <v>أدخل رقم العقد</v>
          </cell>
        </row>
        <row r="502">
          <cell r="Q502" t="str">
            <v>أدخل رقم العقد</v>
          </cell>
        </row>
        <row r="503">
          <cell r="Q503" t="str">
            <v>أدخل رقم العقد</v>
          </cell>
        </row>
        <row r="504">
          <cell r="Q504" t="str">
            <v>أدخل رقم العقد</v>
          </cell>
        </row>
        <row r="505">
          <cell r="Q505" t="str">
            <v>أدخل رقم العقد</v>
          </cell>
        </row>
        <row r="506">
          <cell r="Q506" t="str">
            <v>أدخل رقم العقد</v>
          </cell>
        </row>
        <row r="507">
          <cell r="Q507" t="str">
            <v>أدخل رقم العقد</v>
          </cell>
        </row>
        <row r="508">
          <cell r="Q508" t="str">
            <v>أدخل رقم العقد</v>
          </cell>
        </row>
        <row r="509">
          <cell r="Q509" t="str">
            <v>أدخل رقم العقد</v>
          </cell>
        </row>
        <row r="510">
          <cell r="Q510" t="str">
            <v>أدخل رقم العقد</v>
          </cell>
        </row>
        <row r="511">
          <cell r="Q511" t="str">
            <v>أدخل رقم العقد</v>
          </cell>
        </row>
        <row r="512">
          <cell r="Q512" t="str">
            <v>أدخل رقم العقد</v>
          </cell>
        </row>
        <row r="513">
          <cell r="Q513" t="str">
            <v>أدخل رقم العقد</v>
          </cell>
        </row>
        <row r="514">
          <cell r="Q514" t="str">
            <v>أدخل رقم العقد</v>
          </cell>
        </row>
        <row r="515">
          <cell r="Q515" t="str">
            <v>أدخل رقم العقد</v>
          </cell>
        </row>
        <row r="516">
          <cell r="Q516" t="str">
            <v>أدخل رقم العقد</v>
          </cell>
        </row>
        <row r="517">
          <cell r="Q517" t="str">
            <v>أدخل رقم العقد</v>
          </cell>
        </row>
        <row r="518">
          <cell r="Q518" t="str">
            <v>أدخل رقم العقد</v>
          </cell>
        </row>
        <row r="519">
          <cell r="Q519" t="str">
            <v>أدخل رقم العقد</v>
          </cell>
        </row>
        <row r="520">
          <cell r="Q520" t="str">
            <v>أدخل رقم العقد</v>
          </cell>
        </row>
        <row r="521">
          <cell r="Q521" t="str">
            <v>أدخل رقم العقد</v>
          </cell>
        </row>
        <row r="522">
          <cell r="Q522" t="str">
            <v>أدخل رقم العقد</v>
          </cell>
        </row>
        <row r="523">
          <cell r="Q523" t="str">
            <v>أدخل رقم العقد</v>
          </cell>
        </row>
        <row r="524">
          <cell r="Q524" t="str">
            <v>أدخل رقم العقد</v>
          </cell>
        </row>
        <row r="525">
          <cell r="Q525" t="str">
            <v>أدخل رقم العقد</v>
          </cell>
        </row>
        <row r="526">
          <cell r="Q526" t="str">
            <v>أدخل رقم العقد</v>
          </cell>
        </row>
        <row r="527">
          <cell r="Q527" t="str">
            <v>أدخل رقم العقد</v>
          </cell>
        </row>
        <row r="528">
          <cell r="Q528" t="str">
            <v>أدخل رقم العقد</v>
          </cell>
        </row>
        <row r="529">
          <cell r="Q529" t="str">
            <v>أدخل رقم العقد</v>
          </cell>
        </row>
        <row r="530">
          <cell r="Q530" t="str">
            <v>أدخل رقم العقد</v>
          </cell>
        </row>
        <row r="531">
          <cell r="Q531" t="str">
            <v>أدخل رقم العقد</v>
          </cell>
        </row>
        <row r="532">
          <cell r="Q532" t="str">
            <v>أدخل رقم العقد</v>
          </cell>
        </row>
        <row r="533">
          <cell r="Q533" t="str">
            <v>أدخل رقم العقد</v>
          </cell>
        </row>
        <row r="534">
          <cell r="Q534" t="str">
            <v>أدخل رقم العقد</v>
          </cell>
        </row>
        <row r="535">
          <cell r="Q535" t="str">
            <v>أدخل رقم العقد</v>
          </cell>
        </row>
        <row r="536">
          <cell r="Q536" t="str">
            <v>أدخل رقم العقد</v>
          </cell>
        </row>
        <row r="537">
          <cell r="Q537" t="str">
            <v>أدخل رقم العقد</v>
          </cell>
        </row>
        <row r="538">
          <cell r="Q538" t="str">
            <v>أدخل رقم العقد</v>
          </cell>
        </row>
        <row r="539">
          <cell r="Q539" t="str">
            <v>أدخل رقم العقد</v>
          </cell>
        </row>
        <row r="540">
          <cell r="Q540" t="str">
            <v>أدخل رقم العقد</v>
          </cell>
        </row>
        <row r="541">
          <cell r="Q541" t="str">
            <v>أدخل رقم العقد</v>
          </cell>
        </row>
        <row r="542">
          <cell r="Q542" t="str">
            <v>أدخل رقم العقد</v>
          </cell>
        </row>
        <row r="543">
          <cell r="Q543" t="str">
            <v>أدخل رقم العقد</v>
          </cell>
        </row>
        <row r="544">
          <cell r="Q544" t="str">
            <v>أدخل رقم العقد</v>
          </cell>
        </row>
        <row r="545">
          <cell r="Q545" t="str">
            <v>أدخل رقم العقد</v>
          </cell>
        </row>
        <row r="546">
          <cell r="Q546" t="str">
            <v>أدخل رقم العقد</v>
          </cell>
        </row>
        <row r="547">
          <cell r="Q547" t="str">
            <v>أدخل رقم العقد</v>
          </cell>
        </row>
        <row r="548">
          <cell r="Q548" t="str">
            <v>أدخل رقم العقد</v>
          </cell>
        </row>
        <row r="549">
          <cell r="Q549" t="str">
            <v>أدخل رقم العقد</v>
          </cell>
        </row>
        <row r="550">
          <cell r="Q550" t="str">
            <v>أدخل رقم العقد</v>
          </cell>
        </row>
        <row r="551">
          <cell r="Q551" t="str">
            <v>أدخل رقم العقد</v>
          </cell>
        </row>
        <row r="552">
          <cell r="Q552" t="str">
            <v>أدخل رقم العقد</v>
          </cell>
        </row>
        <row r="553">
          <cell r="Q553" t="str">
            <v>أدخل رقم العقد</v>
          </cell>
        </row>
        <row r="554">
          <cell r="Q554" t="str">
            <v>أدخل رقم العقد</v>
          </cell>
        </row>
        <row r="555">
          <cell r="Q555" t="str">
            <v>أدخل رقم العقد</v>
          </cell>
        </row>
        <row r="556">
          <cell r="Q556" t="str">
            <v>أدخل رقم العقد</v>
          </cell>
        </row>
        <row r="557">
          <cell r="Q557" t="str">
            <v>أدخل رقم العقد</v>
          </cell>
        </row>
        <row r="558">
          <cell r="Q558" t="str">
            <v>أدخل رقم العقد</v>
          </cell>
        </row>
        <row r="559">
          <cell r="Q559" t="str">
            <v>أدخل رقم العقد</v>
          </cell>
        </row>
        <row r="560">
          <cell r="Q560" t="str">
            <v>أدخل رقم العقد</v>
          </cell>
        </row>
        <row r="561">
          <cell r="Q561" t="str">
            <v>أدخل رقم العقد</v>
          </cell>
        </row>
        <row r="562">
          <cell r="Q562" t="str">
            <v>أدخل رقم العقد</v>
          </cell>
        </row>
        <row r="563">
          <cell r="Q563" t="str">
            <v>أدخل رقم العقد</v>
          </cell>
        </row>
        <row r="564">
          <cell r="Q564" t="str">
            <v>أدخل رقم العقد</v>
          </cell>
        </row>
        <row r="565">
          <cell r="Q565" t="str">
            <v>أدخل رقم العقد</v>
          </cell>
        </row>
        <row r="566">
          <cell r="Q566" t="str">
            <v>أدخل رقم العقد</v>
          </cell>
        </row>
        <row r="567">
          <cell r="Q567" t="str">
            <v>أدخل رقم العقد</v>
          </cell>
        </row>
        <row r="568">
          <cell r="Q568" t="str">
            <v>أدخل رقم العقد</v>
          </cell>
        </row>
        <row r="569">
          <cell r="Q569" t="str">
            <v>أدخل رقم العقد</v>
          </cell>
        </row>
        <row r="570">
          <cell r="Q570" t="str">
            <v>أدخل رقم العقد</v>
          </cell>
        </row>
        <row r="571">
          <cell r="Q571" t="str">
            <v>أدخل رقم العقد</v>
          </cell>
        </row>
        <row r="572">
          <cell r="Q572" t="str">
            <v>أدخل رقم العقد</v>
          </cell>
        </row>
        <row r="573">
          <cell r="Q573" t="str">
            <v>أدخل رقم العقد</v>
          </cell>
        </row>
        <row r="574">
          <cell r="Q574" t="str">
            <v>أدخل رقم العقد</v>
          </cell>
        </row>
        <row r="575">
          <cell r="Q575" t="str">
            <v>أدخل رقم العقد</v>
          </cell>
        </row>
        <row r="576">
          <cell r="Q576" t="str">
            <v>أدخل رقم العقد</v>
          </cell>
        </row>
        <row r="577">
          <cell r="Q577" t="str">
            <v>أدخل رقم العقد</v>
          </cell>
        </row>
        <row r="578">
          <cell r="Q578" t="str">
            <v>أدخل رقم العقد</v>
          </cell>
        </row>
        <row r="579">
          <cell r="Q579" t="str">
            <v>أدخل رقم العقد</v>
          </cell>
        </row>
        <row r="580">
          <cell r="Q580" t="str">
            <v>أدخل رقم العقد</v>
          </cell>
        </row>
        <row r="581">
          <cell r="Q581" t="str">
            <v>أدخل رقم العقد</v>
          </cell>
        </row>
        <row r="582">
          <cell r="Q582" t="str">
            <v>أدخل رقم العقد</v>
          </cell>
        </row>
        <row r="583">
          <cell r="Q583" t="str">
            <v>أدخل رقم العقد</v>
          </cell>
        </row>
        <row r="584">
          <cell r="Q584" t="str">
            <v>أدخل رقم العقد</v>
          </cell>
        </row>
        <row r="585">
          <cell r="Q585" t="str">
            <v>أدخل رقم العقد</v>
          </cell>
        </row>
        <row r="586">
          <cell r="Q586" t="str">
            <v>أدخل رقم العقد</v>
          </cell>
        </row>
        <row r="587">
          <cell r="Q587" t="str">
            <v>أدخل رقم العقد</v>
          </cell>
        </row>
        <row r="588">
          <cell r="Q588" t="str">
            <v>أدخل رقم العقد</v>
          </cell>
        </row>
        <row r="589">
          <cell r="Q589" t="str">
            <v>أدخل رقم العقد</v>
          </cell>
        </row>
        <row r="590">
          <cell r="Q590" t="str">
            <v>أدخل رقم العقد</v>
          </cell>
        </row>
        <row r="591">
          <cell r="Q591" t="str">
            <v>أدخل رقم العقد</v>
          </cell>
        </row>
        <row r="592">
          <cell r="Q592" t="str">
            <v>أدخل رقم العقد</v>
          </cell>
        </row>
        <row r="593">
          <cell r="Q593" t="str">
            <v>أدخل رقم العقد</v>
          </cell>
        </row>
        <row r="594">
          <cell r="Q594" t="str">
            <v>أدخل رقم العقد</v>
          </cell>
        </row>
        <row r="595">
          <cell r="Q595" t="str">
            <v>أدخل رقم العقد</v>
          </cell>
        </row>
        <row r="596">
          <cell r="Q596" t="str">
            <v>أدخل رقم العقد</v>
          </cell>
        </row>
        <row r="597">
          <cell r="Q597" t="str">
            <v>أدخل رقم العقد</v>
          </cell>
        </row>
        <row r="598">
          <cell r="Q598" t="str">
            <v>أدخل رقم العقد</v>
          </cell>
        </row>
        <row r="599">
          <cell r="Q599" t="str">
            <v>أدخل رقم العقد</v>
          </cell>
        </row>
        <row r="600">
          <cell r="Q600" t="str">
            <v>أدخل رقم العقد</v>
          </cell>
        </row>
        <row r="601">
          <cell r="Q601" t="str">
            <v>أدخل رقم العقد</v>
          </cell>
        </row>
        <row r="602">
          <cell r="Q602" t="str">
            <v>أدخل رقم العقد</v>
          </cell>
        </row>
        <row r="603">
          <cell r="Q603" t="str">
            <v>أدخل رقم العقد</v>
          </cell>
        </row>
        <row r="604">
          <cell r="Q604" t="str">
            <v>أدخل رقم العقد</v>
          </cell>
        </row>
        <row r="605">
          <cell r="Q605" t="str">
            <v>أدخل رقم العقد</v>
          </cell>
        </row>
        <row r="606">
          <cell r="Q606" t="str">
            <v>أدخل رقم العقد</v>
          </cell>
        </row>
        <row r="607">
          <cell r="Q607" t="str">
            <v>أدخل رقم العقد</v>
          </cell>
        </row>
        <row r="608">
          <cell r="Q608" t="str">
            <v>أدخل رقم العقد</v>
          </cell>
        </row>
        <row r="609">
          <cell r="Q609" t="str">
            <v>أدخل رقم العقد</v>
          </cell>
        </row>
        <row r="610">
          <cell r="Q610" t="str">
            <v>أدخل رقم العقد</v>
          </cell>
        </row>
        <row r="611">
          <cell r="Q611" t="str">
            <v>أدخل رقم العقد</v>
          </cell>
        </row>
        <row r="612">
          <cell r="Q612" t="str">
            <v>أدخل رقم العقد</v>
          </cell>
        </row>
        <row r="613">
          <cell r="Q613" t="str">
            <v>أدخل رقم العقد</v>
          </cell>
        </row>
        <row r="614">
          <cell r="Q614" t="str">
            <v>أدخل رقم العقد</v>
          </cell>
        </row>
        <row r="615">
          <cell r="Q615" t="str">
            <v>أدخل رقم العقد</v>
          </cell>
        </row>
        <row r="616">
          <cell r="Q616" t="str">
            <v>أدخل رقم العقد</v>
          </cell>
        </row>
        <row r="617">
          <cell r="Q617" t="str">
            <v>أدخل رقم العقد</v>
          </cell>
        </row>
        <row r="618">
          <cell r="Q618" t="str">
            <v>أدخل رقم العقد</v>
          </cell>
        </row>
        <row r="619">
          <cell r="Q619" t="str">
            <v>أدخل رقم العقد</v>
          </cell>
        </row>
        <row r="620">
          <cell r="Q620" t="str">
            <v>أدخل رقم العقد</v>
          </cell>
        </row>
        <row r="621">
          <cell r="Q621" t="str">
            <v>أدخل رقم العقد</v>
          </cell>
        </row>
        <row r="622">
          <cell r="Q622" t="str">
            <v>أدخل رقم العقد</v>
          </cell>
        </row>
        <row r="623">
          <cell r="Q623" t="str">
            <v>أدخل رقم العقد</v>
          </cell>
        </row>
        <row r="624">
          <cell r="Q624" t="str">
            <v>أدخل رقم العقد</v>
          </cell>
        </row>
        <row r="625">
          <cell r="Q625" t="str">
            <v>أدخل رقم العقد</v>
          </cell>
        </row>
        <row r="626">
          <cell r="Q626" t="str">
            <v>أدخل رقم العقد</v>
          </cell>
        </row>
        <row r="627">
          <cell r="Q627" t="str">
            <v>أدخل رقم العقد</v>
          </cell>
        </row>
        <row r="628">
          <cell r="Q628" t="str">
            <v>أدخل رقم العقد</v>
          </cell>
        </row>
        <row r="629">
          <cell r="Q629" t="str">
            <v>أدخل رقم العقد</v>
          </cell>
        </row>
        <row r="630">
          <cell r="Q630" t="str">
            <v>أدخل رقم العقد</v>
          </cell>
        </row>
        <row r="631">
          <cell r="Q631" t="str">
            <v>أدخل رقم العقد</v>
          </cell>
        </row>
        <row r="632">
          <cell r="Q632" t="str">
            <v>أدخل رقم العقد</v>
          </cell>
        </row>
        <row r="633">
          <cell r="Q633" t="str">
            <v>أدخل رقم العقد</v>
          </cell>
        </row>
        <row r="634">
          <cell r="Q634" t="str">
            <v>أدخل رقم العقد</v>
          </cell>
        </row>
        <row r="635">
          <cell r="Q635" t="str">
            <v>أدخل رقم العقد</v>
          </cell>
        </row>
        <row r="636">
          <cell r="Q636" t="str">
            <v>أدخل رقم العقد</v>
          </cell>
        </row>
        <row r="637">
          <cell r="Q637" t="str">
            <v>أدخل رقم العقد</v>
          </cell>
        </row>
        <row r="638">
          <cell r="Q638" t="str">
            <v>أدخل رقم العقد</v>
          </cell>
        </row>
        <row r="639">
          <cell r="Q639" t="str">
            <v>أدخل رقم العقد</v>
          </cell>
        </row>
        <row r="640">
          <cell r="Q640" t="str">
            <v>أدخل رقم العقد</v>
          </cell>
        </row>
        <row r="641">
          <cell r="Q641" t="str">
            <v>أدخل رقم العقد</v>
          </cell>
        </row>
        <row r="642">
          <cell r="Q642" t="str">
            <v>أدخل رقم العقد</v>
          </cell>
        </row>
        <row r="643">
          <cell r="Q643" t="str">
            <v>أدخل رقم العقد</v>
          </cell>
        </row>
        <row r="644">
          <cell r="Q644" t="str">
            <v>أدخل رقم العقد</v>
          </cell>
        </row>
        <row r="645">
          <cell r="Q645" t="str">
            <v>أدخل رقم العقد</v>
          </cell>
        </row>
        <row r="646">
          <cell r="Q646" t="str">
            <v>أدخل رقم العقد</v>
          </cell>
        </row>
        <row r="647">
          <cell r="Q647" t="str">
            <v>أدخل رقم العقد</v>
          </cell>
        </row>
        <row r="648">
          <cell r="Q648" t="str">
            <v>أدخل رقم العقد</v>
          </cell>
        </row>
        <row r="649">
          <cell r="Q649" t="str">
            <v>أدخل رقم العقد</v>
          </cell>
        </row>
        <row r="650">
          <cell r="Q650" t="str">
            <v>أدخل رقم العقد</v>
          </cell>
        </row>
        <row r="651">
          <cell r="Q651" t="str">
            <v>أدخل رقم العقد</v>
          </cell>
        </row>
        <row r="652">
          <cell r="Q652" t="str">
            <v>أدخل رقم العقد</v>
          </cell>
        </row>
        <row r="653">
          <cell r="Q653" t="str">
            <v>أدخل رقم العقد</v>
          </cell>
        </row>
        <row r="654">
          <cell r="Q654" t="str">
            <v>أدخل رقم العقد</v>
          </cell>
        </row>
        <row r="655">
          <cell r="Q655" t="str">
            <v>أدخل رقم العقد</v>
          </cell>
        </row>
        <row r="656">
          <cell r="Q656" t="str">
            <v>أدخل رقم العقد</v>
          </cell>
        </row>
        <row r="657">
          <cell r="Q657" t="str">
            <v>أدخل رقم العقد</v>
          </cell>
        </row>
        <row r="658">
          <cell r="Q658" t="str">
            <v>أدخل رقم العقد</v>
          </cell>
        </row>
        <row r="659">
          <cell r="Q659" t="str">
            <v>أدخل رقم العقد</v>
          </cell>
        </row>
        <row r="660">
          <cell r="Q660" t="str">
            <v>أدخل رقم العقد</v>
          </cell>
        </row>
        <row r="661">
          <cell r="Q661" t="str">
            <v>أدخل رقم العقد</v>
          </cell>
        </row>
        <row r="662">
          <cell r="Q662" t="str">
            <v>أدخل رقم العقد</v>
          </cell>
        </row>
        <row r="663">
          <cell r="Q663" t="str">
            <v>أدخل رقم العقد</v>
          </cell>
        </row>
        <row r="664">
          <cell r="Q664" t="str">
            <v>أدخل رقم العقد</v>
          </cell>
        </row>
        <row r="665">
          <cell r="Q665" t="str">
            <v>أدخل رقم العقد</v>
          </cell>
        </row>
        <row r="666">
          <cell r="Q666" t="str">
            <v>أدخل رقم العقد</v>
          </cell>
        </row>
        <row r="667">
          <cell r="Q667" t="str">
            <v>أدخل رقم العقد</v>
          </cell>
        </row>
        <row r="668">
          <cell r="Q668" t="str">
            <v>أدخل رقم العقد</v>
          </cell>
        </row>
        <row r="669">
          <cell r="Q669" t="str">
            <v>أدخل رقم العقد</v>
          </cell>
        </row>
        <row r="670">
          <cell r="Q670" t="str">
            <v>أدخل رقم العقد</v>
          </cell>
        </row>
        <row r="671">
          <cell r="Q671" t="str">
            <v>أدخل رقم العقد</v>
          </cell>
        </row>
        <row r="672">
          <cell r="Q672" t="str">
            <v>أدخل رقم العقد</v>
          </cell>
        </row>
        <row r="673">
          <cell r="Q673" t="str">
            <v>أدخل رقم العقد</v>
          </cell>
        </row>
        <row r="674">
          <cell r="Q674" t="str">
            <v>أدخل رقم العقد</v>
          </cell>
        </row>
        <row r="675">
          <cell r="Q675" t="str">
            <v>أدخل رقم العقد</v>
          </cell>
        </row>
        <row r="676">
          <cell r="Q676" t="str">
            <v>أدخل رقم العقد</v>
          </cell>
        </row>
        <row r="677">
          <cell r="Q677" t="str">
            <v>أدخل رقم العقد</v>
          </cell>
        </row>
        <row r="678">
          <cell r="Q678" t="str">
            <v>أدخل رقم العقد</v>
          </cell>
        </row>
        <row r="679">
          <cell r="Q679" t="str">
            <v>أدخل رقم العقد</v>
          </cell>
        </row>
        <row r="680">
          <cell r="Q680" t="str">
            <v>أدخل رقم العقد</v>
          </cell>
        </row>
        <row r="681">
          <cell r="Q681" t="str">
            <v>أدخل رقم العقد</v>
          </cell>
        </row>
        <row r="682">
          <cell r="Q682" t="str">
            <v>أدخل رقم العقد</v>
          </cell>
        </row>
        <row r="683">
          <cell r="Q683" t="str">
            <v>أدخل رقم العقد</v>
          </cell>
        </row>
        <row r="684">
          <cell r="Q684" t="str">
            <v>أدخل رقم العقد</v>
          </cell>
        </row>
        <row r="685">
          <cell r="Q685" t="str">
            <v>أدخل رقم العقد</v>
          </cell>
        </row>
        <row r="686">
          <cell r="Q686" t="str">
            <v>أدخل رقم العقد</v>
          </cell>
        </row>
        <row r="687">
          <cell r="Q687" t="str">
            <v>أدخل رقم العقد</v>
          </cell>
        </row>
        <row r="688">
          <cell r="Q688" t="str">
            <v>أدخل رقم العقد</v>
          </cell>
        </row>
        <row r="689">
          <cell r="Q689" t="str">
            <v>أدخل رقم العقد</v>
          </cell>
        </row>
        <row r="690">
          <cell r="Q690" t="str">
            <v>أدخل رقم العقد</v>
          </cell>
        </row>
        <row r="691">
          <cell r="Q691" t="str">
            <v>أدخل رقم العقد</v>
          </cell>
        </row>
        <row r="692">
          <cell r="Q692" t="str">
            <v>أدخل رقم العقد</v>
          </cell>
        </row>
        <row r="693">
          <cell r="Q693" t="str">
            <v>أدخل رقم العقد</v>
          </cell>
        </row>
        <row r="694">
          <cell r="Q694" t="str">
            <v>أدخل رقم العقد</v>
          </cell>
        </row>
        <row r="695">
          <cell r="Q695" t="str">
            <v>أدخل رقم العقد</v>
          </cell>
        </row>
        <row r="696">
          <cell r="Q696" t="str">
            <v>أدخل رقم العقد</v>
          </cell>
        </row>
        <row r="697">
          <cell r="Q697" t="str">
            <v>أدخل رقم العقد</v>
          </cell>
        </row>
        <row r="698">
          <cell r="Q698" t="str">
            <v>أدخل رقم العقد</v>
          </cell>
        </row>
        <row r="699">
          <cell r="Q699" t="str">
            <v>أدخل رقم العقد</v>
          </cell>
        </row>
        <row r="700">
          <cell r="Q700" t="str">
            <v>أدخل رقم العقد</v>
          </cell>
        </row>
        <row r="701">
          <cell r="Q701" t="str">
            <v>أدخل رقم العقد</v>
          </cell>
        </row>
        <row r="702">
          <cell r="Q702" t="str">
            <v>أدخل رقم العقد</v>
          </cell>
        </row>
        <row r="703">
          <cell r="Q703" t="str">
            <v>أدخل رقم العقد</v>
          </cell>
        </row>
        <row r="704">
          <cell r="Q704" t="str">
            <v>أدخل رقم العقد</v>
          </cell>
        </row>
        <row r="705">
          <cell r="Q705" t="str">
            <v>أدخل رقم العقد</v>
          </cell>
        </row>
        <row r="706">
          <cell r="Q706" t="str">
            <v>أدخل رقم العقد</v>
          </cell>
        </row>
        <row r="707">
          <cell r="Q707" t="str">
            <v>أدخل رقم العقد</v>
          </cell>
        </row>
        <row r="708">
          <cell r="Q708" t="str">
            <v>أدخل رقم العقد</v>
          </cell>
        </row>
        <row r="709">
          <cell r="Q709" t="str">
            <v>أدخل رقم العقد</v>
          </cell>
        </row>
        <row r="710">
          <cell r="Q710" t="str">
            <v>أدخل رقم العقد</v>
          </cell>
        </row>
        <row r="711">
          <cell r="Q711" t="str">
            <v>أدخل رقم العقد</v>
          </cell>
        </row>
        <row r="712">
          <cell r="Q712" t="str">
            <v>أدخل رقم العقد</v>
          </cell>
        </row>
        <row r="713">
          <cell r="Q713" t="str">
            <v>أدخل رقم العقد</v>
          </cell>
        </row>
        <row r="714">
          <cell r="Q714" t="str">
            <v>أدخل رقم العقد</v>
          </cell>
        </row>
        <row r="715">
          <cell r="Q715" t="str">
            <v>أدخل رقم العقد</v>
          </cell>
        </row>
        <row r="716">
          <cell r="Q716" t="str">
            <v>أدخل رقم العقد</v>
          </cell>
        </row>
        <row r="717">
          <cell r="Q717" t="str">
            <v>أدخل رقم العقد</v>
          </cell>
        </row>
        <row r="718">
          <cell r="Q718" t="str">
            <v>أدخل رقم العقد</v>
          </cell>
        </row>
        <row r="719">
          <cell r="Q719" t="str">
            <v>أدخل رقم العقد</v>
          </cell>
        </row>
        <row r="720">
          <cell r="Q720" t="str">
            <v>أدخل رقم العقد</v>
          </cell>
        </row>
        <row r="721">
          <cell r="Q721" t="str">
            <v>أدخل رقم العقد</v>
          </cell>
        </row>
        <row r="722">
          <cell r="Q722" t="str">
            <v>أدخل رقم العقد</v>
          </cell>
        </row>
        <row r="723">
          <cell r="Q723" t="str">
            <v>أدخل رقم العقد</v>
          </cell>
        </row>
        <row r="724">
          <cell r="Q724" t="str">
            <v>أدخل رقم العقد</v>
          </cell>
        </row>
        <row r="725">
          <cell r="Q725" t="str">
            <v>أدخل رقم العقد</v>
          </cell>
        </row>
        <row r="726">
          <cell r="Q726" t="str">
            <v>أدخل رقم العقد</v>
          </cell>
        </row>
        <row r="727">
          <cell r="Q727" t="str">
            <v>أدخل رقم العقد</v>
          </cell>
        </row>
        <row r="728">
          <cell r="Q728" t="str">
            <v>أدخل رقم العقد</v>
          </cell>
        </row>
        <row r="729">
          <cell r="Q729" t="str">
            <v>أدخل رقم العقد</v>
          </cell>
        </row>
        <row r="730">
          <cell r="Q730" t="str">
            <v>أدخل رقم العقد</v>
          </cell>
        </row>
        <row r="731">
          <cell r="Q731" t="str">
            <v>أدخل رقم العقد</v>
          </cell>
        </row>
        <row r="732">
          <cell r="Q732" t="str">
            <v>أدخل رقم العقد</v>
          </cell>
        </row>
        <row r="733">
          <cell r="Q733" t="str">
            <v>أدخل رقم العقد</v>
          </cell>
        </row>
        <row r="734">
          <cell r="Q734" t="str">
            <v>أدخل رقم العقد</v>
          </cell>
        </row>
        <row r="735">
          <cell r="Q735" t="str">
            <v>أدخل رقم العقد</v>
          </cell>
        </row>
        <row r="736">
          <cell r="Q736" t="str">
            <v>أدخل رقم العقد</v>
          </cell>
        </row>
        <row r="737">
          <cell r="Q737" t="str">
            <v>أدخل رقم العقد</v>
          </cell>
        </row>
        <row r="738">
          <cell r="Q738" t="str">
            <v>أدخل رقم العقد</v>
          </cell>
        </row>
        <row r="739">
          <cell r="Q739" t="str">
            <v>أدخل رقم العقد</v>
          </cell>
        </row>
        <row r="740">
          <cell r="Q740" t="str">
            <v>أدخل رقم العقد</v>
          </cell>
        </row>
        <row r="741">
          <cell r="Q741" t="str">
            <v>أدخل رقم العقد</v>
          </cell>
        </row>
        <row r="742">
          <cell r="Q742" t="str">
            <v>أدخل رقم العقد</v>
          </cell>
        </row>
        <row r="743">
          <cell r="Q743" t="str">
            <v>أدخل رقم العقد</v>
          </cell>
        </row>
        <row r="744">
          <cell r="Q744" t="str">
            <v>أدخل رقم العقد</v>
          </cell>
        </row>
        <row r="745">
          <cell r="Q745" t="str">
            <v>أدخل رقم العقد</v>
          </cell>
        </row>
        <row r="746">
          <cell r="Q746" t="str">
            <v>أدخل رقم العقد</v>
          </cell>
        </row>
        <row r="747">
          <cell r="Q747" t="str">
            <v>أدخل رقم العقد</v>
          </cell>
        </row>
        <row r="748">
          <cell r="Q748" t="str">
            <v>أدخل رقم العقد</v>
          </cell>
        </row>
        <row r="749">
          <cell r="Q749" t="str">
            <v>أدخل رقم العقد</v>
          </cell>
        </row>
        <row r="750">
          <cell r="Q750" t="str">
            <v>أدخل رقم العقد</v>
          </cell>
        </row>
        <row r="751">
          <cell r="Q751" t="str">
            <v>أدخل رقم العقد</v>
          </cell>
        </row>
        <row r="752">
          <cell r="Q752" t="str">
            <v>أدخل رقم العقد</v>
          </cell>
        </row>
        <row r="753">
          <cell r="Q753" t="str">
            <v>أدخل رقم العقد</v>
          </cell>
        </row>
        <row r="754">
          <cell r="Q754" t="str">
            <v>أدخل رقم العقد</v>
          </cell>
        </row>
        <row r="755">
          <cell r="Q755" t="str">
            <v>أدخل رقم العقد</v>
          </cell>
        </row>
        <row r="756">
          <cell r="Q756" t="str">
            <v>أدخل رقم العقد</v>
          </cell>
        </row>
        <row r="757">
          <cell r="Q757" t="str">
            <v>أدخل رقم العقد</v>
          </cell>
        </row>
        <row r="758">
          <cell r="Q758" t="str">
            <v>أدخل رقم العقد</v>
          </cell>
        </row>
        <row r="759">
          <cell r="Q759" t="str">
            <v>أدخل رقم العقد</v>
          </cell>
        </row>
        <row r="760">
          <cell r="Q760" t="str">
            <v>أدخل رقم العقد</v>
          </cell>
        </row>
        <row r="761">
          <cell r="Q761" t="str">
            <v>أدخل رقم العقد</v>
          </cell>
        </row>
        <row r="762">
          <cell r="Q762" t="str">
            <v>أدخل رقم العقد</v>
          </cell>
        </row>
        <row r="763">
          <cell r="Q763" t="str">
            <v>أدخل رقم العقد</v>
          </cell>
        </row>
        <row r="764">
          <cell r="Q764" t="str">
            <v>أدخل رقم العقد</v>
          </cell>
        </row>
        <row r="765">
          <cell r="Q765" t="str">
            <v>أدخل رقم العقد</v>
          </cell>
        </row>
        <row r="766">
          <cell r="Q766" t="str">
            <v>أدخل رقم العقد</v>
          </cell>
        </row>
        <row r="767">
          <cell r="Q767" t="str">
            <v>أدخل رقم العقد</v>
          </cell>
        </row>
        <row r="768">
          <cell r="Q768" t="str">
            <v>أدخل رقم العقد</v>
          </cell>
        </row>
        <row r="769">
          <cell r="Q769" t="str">
            <v>أدخل رقم العقد</v>
          </cell>
        </row>
        <row r="770">
          <cell r="Q770" t="str">
            <v>أدخل رقم العقد</v>
          </cell>
        </row>
        <row r="771">
          <cell r="Q771" t="str">
            <v>أدخل رقم العقد</v>
          </cell>
        </row>
        <row r="772">
          <cell r="Q772" t="str">
            <v>أدخل رقم العقد</v>
          </cell>
        </row>
        <row r="773">
          <cell r="Q773" t="str">
            <v>أدخل رقم العقد</v>
          </cell>
        </row>
        <row r="774">
          <cell r="Q774" t="str">
            <v>أدخل رقم العقد</v>
          </cell>
        </row>
        <row r="775">
          <cell r="Q775" t="str">
            <v>أدخل رقم العقد</v>
          </cell>
        </row>
        <row r="776">
          <cell r="Q776" t="str">
            <v>أدخل رقم العقد</v>
          </cell>
        </row>
        <row r="777">
          <cell r="Q777" t="str">
            <v>أدخل رقم العقد</v>
          </cell>
        </row>
        <row r="778">
          <cell r="Q778" t="str">
            <v>أدخل رقم العقد</v>
          </cell>
        </row>
        <row r="779">
          <cell r="Q779" t="str">
            <v>أدخل رقم العقد</v>
          </cell>
        </row>
        <row r="780">
          <cell r="Q780" t="str">
            <v>أدخل رقم العقد</v>
          </cell>
        </row>
        <row r="781">
          <cell r="Q781" t="str">
            <v>أدخل رقم العقد</v>
          </cell>
        </row>
        <row r="782">
          <cell r="Q782" t="str">
            <v>أدخل رقم العقد</v>
          </cell>
        </row>
        <row r="783">
          <cell r="Q783" t="str">
            <v>أدخل رقم العقد</v>
          </cell>
        </row>
        <row r="784">
          <cell r="Q784" t="str">
            <v>أدخل رقم العقد</v>
          </cell>
        </row>
        <row r="785">
          <cell r="Q785" t="str">
            <v>أدخل رقم العقد</v>
          </cell>
        </row>
        <row r="786">
          <cell r="Q786" t="str">
            <v>أدخل رقم العقد</v>
          </cell>
        </row>
        <row r="787">
          <cell r="Q787" t="str">
            <v>أدخل رقم العقد</v>
          </cell>
        </row>
        <row r="788">
          <cell r="Q788" t="str">
            <v>أدخل رقم العقد</v>
          </cell>
        </row>
        <row r="789">
          <cell r="Q789" t="str">
            <v>أدخل رقم العقد</v>
          </cell>
        </row>
        <row r="790">
          <cell r="Q790" t="str">
            <v>أدخل رقم العقد</v>
          </cell>
        </row>
        <row r="791">
          <cell r="Q791" t="str">
            <v>أدخل رقم العقد</v>
          </cell>
        </row>
        <row r="792">
          <cell r="Q792" t="str">
            <v>أدخل رقم العقد</v>
          </cell>
        </row>
        <row r="793">
          <cell r="Q793" t="str">
            <v>أدخل رقم العقد</v>
          </cell>
        </row>
        <row r="794">
          <cell r="Q794" t="str">
            <v>أدخل رقم العقد</v>
          </cell>
        </row>
        <row r="795">
          <cell r="Q795" t="str">
            <v>أدخل رقم العقد</v>
          </cell>
        </row>
        <row r="796">
          <cell r="Q796" t="str">
            <v>أدخل رقم العقد</v>
          </cell>
        </row>
        <row r="797">
          <cell r="Q797" t="str">
            <v>أدخل رقم العقد</v>
          </cell>
        </row>
        <row r="798">
          <cell r="Q798" t="str">
            <v>أدخل رقم العقد</v>
          </cell>
        </row>
        <row r="799">
          <cell r="Q799" t="str">
            <v>أدخل رقم العقد</v>
          </cell>
        </row>
        <row r="800">
          <cell r="Q800" t="str">
            <v>أدخل رقم العقد</v>
          </cell>
        </row>
        <row r="801">
          <cell r="Q801" t="str">
            <v>أدخل رقم العقد</v>
          </cell>
        </row>
        <row r="802">
          <cell r="Q802" t="str">
            <v>أدخل رقم العقد</v>
          </cell>
        </row>
        <row r="803">
          <cell r="Q803" t="str">
            <v>أدخل رقم العقد</v>
          </cell>
        </row>
        <row r="804">
          <cell r="Q804" t="str">
            <v>أدخل رقم العقد</v>
          </cell>
        </row>
        <row r="805">
          <cell r="Q805" t="str">
            <v>أدخل رقم العقد</v>
          </cell>
        </row>
        <row r="806">
          <cell r="Q806" t="str">
            <v>أدخل رقم العقد</v>
          </cell>
        </row>
        <row r="807">
          <cell r="Q807" t="str">
            <v>أدخل رقم العقد</v>
          </cell>
        </row>
        <row r="808">
          <cell r="Q808" t="str">
            <v>أدخل رقم العقد</v>
          </cell>
        </row>
        <row r="809">
          <cell r="Q809" t="str">
            <v>أدخل رقم العقد</v>
          </cell>
        </row>
        <row r="810">
          <cell r="Q810" t="str">
            <v>أدخل رقم العقد</v>
          </cell>
        </row>
        <row r="811">
          <cell r="Q811" t="str">
            <v>أدخل رقم العقد</v>
          </cell>
        </row>
        <row r="812">
          <cell r="Q812" t="str">
            <v>أدخل رقم العقد</v>
          </cell>
        </row>
        <row r="813">
          <cell r="Q813" t="str">
            <v>أدخل رقم العقد</v>
          </cell>
        </row>
        <row r="814">
          <cell r="Q814" t="str">
            <v>أدخل رقم العقد</v>
          </cell>
        </row>
        <row r="815">
          <cell r="Q815" t="str">
            <v>أدخل رقم العقد</v>
          </cell>
        </row>
        <row r="816">
          <cell r="Q816" t="str">
            <v>أدخل رقم العقد</v>
          </cell>
        </row>
        <row r="817">
          <cell r="Q817" t="str">
            <v>أدخل رقم العقد</v>
          </cell>
        </row>
        <row r="818">
          <cell r="Q818" t="str">
            <v>أدخل رقم العقد</v>
          </cell>
        </row>
        <row r="819">
          <cell r="Q819" t="str">
            <v>أدخل رقم العقد</v>
          </cell>
        </row>
        <row r="820">
          <cell r="Q820" t="str">
            <v>أدخل رقم العقد</v>
          </cell>
        </row>
        <row r="821">
          <cell r="Q821" t="str">
            <v>أدخل رقم العقد</v>
          </cell>
        </row>
        <row r="822">
          <cell r="Q822" t="str">
            <v>أدخل رقم العقد</v>
          </cell>
        </row>
        <row r="823">
          <cell r="Q823" t="str">
            <v>أدخل رقم العقد</v>
          </cell>
        </row>
        <row r="824">
          <cell r="Q824" t="str">
            <v>أدخل رقم العقد</v>
          </cell>
        </row>
        <row r="825">
          <cell r="Q825" t="str">
            <v>أدخل رقم العقد</v>
          </cell>
        </row>
        <row r="826">
          <cell r="Q826" t="str">
            <v>أدخل رقم العقد</v>
          </cell>
        </row>
        <row r="827">
          <cell r="Q827" t="str">
            <v>أدخل رقم العقد</v>
          </cell>
        </row>
        <row r="828">
          <cell r="Q828" t="str">
            <v>أدخل رقم العقد</v>
          </cell>
        </row>
        <row r="829">
          <cell r="Q829" t="str">
            <v>أدخل رقم العقد</v>
          </cell>
        </row>
        <row r="830">
          <cell r="Q830" t="str">
            <v>أدخل رقم العقد</v>
          </cell>
        </row>
        <row r="831">
          <cell r="Q831" t="str">
            <v>أدخل رقم العقد</v>
          </cell>
        </row>
        <row r="832">
          <cell r="Q832" t="str">
            <v>أدخل رقم العقد</v>
          </cell>
        </row>
        <row r="833">
          <cell r="Q833" t="str">
            <v>أدخل رقم العقد</v>
          </cell>
        </row>
        <row r="834">
          <cell r="Q834" t="str">
            <v>أدخل رقم العقد</v>
          </cell>
        </row>
        <row r="835">
          <cell r="Q835" t="str">
            <v>أدخل رقم العقد</v>
          </cell>
        </row>
        <row r="836">
          <cell r="Q836" t="str">
            <v>أدخل رقم العقد</v>
          </cell>
        </row>
        <row r="837">
          <cell r="Q837" t="str">
            <v>أدخل رقم العقد</v>
          </cell>
        </row>
        <row r="838">
          <cell r="Q838" t="str">
            <v>أدخل رقم العقد</v>
          </cell>
        </row>
        <row r="839">
          <cell r="Q839" t="str">
            <v>أدخل رقم العقد</v>
          </cell>
        </row>
        <row r="840">
          <cell r="Q840" t="str">
            <v>أدخل رقم العقد</v>
          </cell>
        </row>
        <row r="841">
          <cell r="Q841" t="str">
            <v>أدخل رقم العقد</v>
          </cell>
        </row>
        <row r="842">
          <cell r="Q842" t="str">
            <v>أدخل رقم العقد</v>
          </cell>
        </row>
        <row r="843">
          <cell r="Q843" t="str">
            <v>أدخل رقم العقد</v>
          </cell>
        </row>
        <row r="844">
          <cell r="Q844" t="str">
            <v>أدخل رقم العقد</v>
          </cell>
        </row>
        <row r="845">
          <cell r="Q845" t="str">
            <v>أدخل رقم العقد</v>
          </cell>
        </row>
        <row r="846">
          <cell r="Q846" t="str">
            <v>أدخل رقم العقد</v>
          </cell>
        </row>
        <row r="847">
          <cell r="Q847" t="str">
            <v>أدخل رقم العقد</v>
          </cell>
        </row>
        <row r="848">
          <cell r="Q848" t="str">
            <v>أدخل رقم العقد</v>
          </cell>
        </row>
        <row r="849">
          <cell r="Q849" t="str">
            <v>أدخل رقم العقد</v>
          </cell>
        </row>
        <row r="850">
          <cell r="Q850" t="str">
            <v>أدخل رقم العقد</v>
          </cell>
        </row>
        <row r="851">
          <cell r="Q851" t="str">
            <v>أدخل رقم العقد</v>
          </cell>
        </row>
        <row r="852">
          <cell r="Q852" t="str">
            <v>أدخل رقم العقد</v>
          </cell>
        </row>
        <row r="853">
          <cell r="Q853" t="str">
            <v>أدخل رقم العقد</v>
          </cell>
        </row>
        <row r="854">
          <cell r="Q854" t="str">
            <v>أدخل رقم العقد</v>
          </cell>
        </row>
        <row r="855">
          <cell r="Q855" t="str">
            <v>أدخل رقم العقد</v>
          </cell>
        </row>
        <row r="856">
          <cell r="Q856" t="str">
            <v>أدخل رقم العقد</v>
          </cell>
        </row>
        <row r="857">
          <cell r="Q857" t="str">
            <v>أدخل رقم العقد</v>
          </cell>
        </row>
        <row r="858">
          <cell r="Q858" t="str">
            <v>أدخل رقم العقد</v>
          </cell>
        </row>
        <row r="859">
          <cell r="Q859" t="str">
            <v>أدخل رقم العقد</v>
          </cell>
        </row>
        <row r="860">
          <cell r="Q860" t="str">
            <v>أدخل رقم العقد</v>
          </cell>
        </row>
        <row r="861">
          <cell r="Q861" t="str">
            <v>أدخل رقم العقد</v>
          </cell>
        </row>
        <row r="862">
          <cell r="Q862" t="str">
            <v>أدخل رقم العقد</v>
          </cell>
        </row>
        <row r="863">
          <cell r="Q863" t="str">
            <v>أدخل رقم العقد</v>
          </cell>
        </row>
        <row r="864">
          <cell r="Q864" t="str">
            <v>أدخل رقم العقد</v>
          </cell>
        </row>
        <row r="865">
          <cell r="Q865" t="str">
            <v>أدخل رقم العقد</v>
          </cell>
        </row>
        <row r="866">
          <cell r="Q866" t="str">
            <v>أدخل رقم العقد</v>
          </cell>
        </row>
        <row r="867">
          <cell r="Q867" t="str">
            <v>أدخل رقم العقد</v>
          </cell>
        </row>
        <row r="868">
          <cell r="Q868" t="str">
            <v>أدخل رقم العقد</v>
          </cell>
        </row>
        <row r="869">
          <cell r="Q869" t="str">
            <v>أدخل رقم العقد</v>
          </cell>
        </row>
        <row r="870">
          <cell r="Q870" t="str">
            <v>أدخل رقم العقد</v>
          </cell>
        </row>
        <row r="871">
          <cell r="Q871" t="str">
            <v>أدخل رقم العقد</v>
          </cell>
        </row>
        <row r="872">
          <cell r="Q872" t="str">
            <v>أدخل رقم العقد</v>
          </cell>
        </row>
        <row r="873">
          <cell r="Q873" t="str">
            <v>أدخل رقم العقد</v>
          </cell>
        </row>
        <row r="874">
          <cell r="Q874" t="str">
            <v>أدخل رقم العقد</v>
          </cell>
        </row>
        <row r="875">
          <cell r="Q875" t="str">
            <v>أدخل رقم العقد</v>
          </cell>
        </row>
        <row r="876">
          <cell r="Q876" t="str">
            <v>أدخل رقم العقد</v>
          </cell>
        </row>
        <row r="877">
          <cell r="Q877" t="str">
            <v>أدخل رقم العقد</v>
          </cell>
        </row>
        <row r="878">
          <cell r="Q878" t="str">
            <v>أدخل رقم العقد</v>
          </cell>
        </row>
        <row r="879">
          <cell r="Q879" t="str">
            <v>أدخل رقم العقد</v>
          </cell>
        </row>
        <row r="880">
          <cell r="Q880" t="str">
            <v>أدخل رقم العقد</v>
          </cell>
        </row>
        <row r="881">
          <cell r="Q881" t="str">
            <v>أدخل رقم العقد</v>
          </cell>
        </row>
        <row r="882">
          <cell r="Q882" t="str">
            <v>أدخل رقم العقد</v>
          </cell>
        </row>
        <row r="883">
          <cell r="Q883" t="str">
            <v>أدخل رقم العقد</v>
          </cell>
        </row>
        <row r="884">
          <cell r="Q884" t="str">
            <v>أدخل رقم العقد</v>
          </cell>
        </row>
        <row r="885">
          <cell r="Q885" t="str">
            <v>أدخل رقم العقد</v>
          </cell>
        </row>
        <row r="886">
          <cell r="Q886" t="str">
            <v>أدخل رقم العقد</v>
          </cell>
        </row>
        <row r="887">
          <cell r="Q887" t="str">
            <v>أدخل رقم العقد</v>
          </cell>
        </row>
        <row r="888">
          <cell r="Q888" t="str">
            <v>أدخل رقم العقد</v>
          </cell>
        </row>
        <row r="889">
          <cell r="Q889" t="str">
            <v>أدخل رقم العقد</v>
          </cell>
        </row>
        <row r="890">
          <cell r="Q890" t="str">
            <v>أدخل رقم العقد</v>
          </cell>
        </row>
        <row r="891">
          <cell r="Q891" t="str">
            <v>أدخل رقم العقد</v>
          </cell>
        </row>
        <row r="892">
          <cell r="Q892" t="str">
            <v>أدخل رقم العقد</v>
          </cell>
        </row>
        <row r="893">
          <cell r="Q893" t="str">
            <v>أدخل رقم العقد</v>
          </cell>
        </row>
        <row r="894">
          <cell r="Q894" t="str">
            <v>أدخل رقم العقد</v>
          </cell>
        </row>
        <row r="895">
          <cell r="Q895" t="str">
            <v>أدخل رقم العقد</v>
          </cell>
        </row>
        <row r="896">
          <cell r="Q896" t="str">
            <v>أدخل رقم العقد</v>
          </cell>
        </row>
        <row r="897">
          <cell r="Q897" t="str">
            <v>أدخل رقم العقد</v>
          </cell>
        </row>
        <row r="898">
          <cell r="Q898" t="str">
            <v>أدخل رقم العقد</v>
          </cell>
        </row>
        <row r="899">
          <cell r="Q899" t="str">
            <v>أدخل رقم العقد</v>
          </cell>
        </row>
        <row r="900">
          <cell r="Q900" t="str">
            <v>أدخل رقم العقد</v>
          </cell>
        </row>
        <row r="901">
          <cell r="Q901" t="str">
            <v>أدخل رقم العقد</v>
          </cell>
        </row>
        <row r="902">
          <cell r="Q902" t="str">
            <v>أدخل رقم العقد</v>
          </cell>
        </row>
        <row r="903">
          <cell r="Q903" t="str">
            <v>أدخل رقم العقد</v>
          </cell>
        </row>
        <row r="904">
          <cell r="Q904" t="str">
            <v>أدخل رقم العقد</v>
          </cell>
        </row>
        <row r="905">
          <cell r="Q905" t="str">
            <v>أدخل رقم العقد</v>
          </cell>
        </row>
        <row r="906">
          <cell r="Q906" t="str">
            <v>أدخل رقم العقد</v>
          </cell>
        </row>
        <row r="907">
          <cell r="Q907" t="str">
            <v>أدخل رقم العقد</v>
          </cell>
        </row>
        <row r="908">
          <cell r="Q908" t="str">
            <v>أدخل رقم العقد</v>
          </cell>
        </row>
        <row r="909">
          <cell r="Q909" t="str">
            <v>أدخل رقم العقد</v>
          </cell>
        </row>
        <row r="910">
          <cell r="Q910" t="str">
            <v>أدخل رقم العقد</v>
          </cell>
        </row>
        <row r="911">
          <cell r="Q911" t="str">
            <v>أدخل رقم العقد</v>
          </cell>
        </row>
        <row r="912">
          <cell r="Q912" t="str">
            <v>أدخل رقم العقد</v>
          </cell>
        </row>
        <row r="913">
          <cell r="Q913" t="str">
            <v>أدخل رقم العقد</v>
          </cell>
        </row>
        <row r="914">
          <cell r="Q914" t="str">
            <v>أدخل رقم العقد</v>
          </cell>
        </row>
        <row r="915">
          <cell r="Q915" t="str">
            <v>أدخل رقم العقد</v>
          </cell>
        </row>
        <row r="916">
          <cell r="Q916" t="str">
            <v>أدخل رقم العقد</v>
          </cell>
        </row>
        <row r="917">
          <cell r="Q917" t="str">
            <v>أدخل رقم العقد</v>
          </cell>
        </row>
        <row r="918">
          <cell r="Q918" t="str">
            <v>أدخل رقم العقد</v>
          </cell>
        </row>
        <row r="919">
          <cell r="Q919" t="str">
            <v>أدخل رقم العقد</v>
          </cell>
        </row>
        <row r="920">
          <cell r="Q920" t="str">
            <v>أدخل رقم العقد</v>
          </cell>
        </row>
        <row r="921">
          <cell r="Q921" t="str">
            <v>أدخل رقم العقد</v>
          </cell>
        </row>
        <row r="922">
          <cell r="Q922" t="str">
            <v>أدخل رقم العقد</v>
          </cell>
        </row>
        <row r="923">
          <cell r="Q923" t="str">
            <v>أدخل رقم العقد</v>
          </cell>
        </row>
        <row r="924">
          <cell r="Q924" t="str">
            <v>أدخل رقم العقد</v>
          </cell>
        </row>
        <row r="925">
          <cell r="Q925" t="str">
            <v>أدخل رقم العقد</v>
          </cell>
        </row>
        <row r="926">
          <cell r="Q926" t="str">
            <v>أدخل رقم العقد</v>
          </cell>
        </row>
        <row r="927">
          <cell r="Q927" t="str">
            <v>أدخل رقم العقد</v>
          </cell>
        </row>
        <row r="928">
          <cell r="Q928" t="str">
            <v>أدخل رقم العقد</v>
          </cell>
        </row>
        <row r="929">
          <cell r="Q929" t="str">
            <v>أدخل رقم العقد</v>
          </cell>
        </row>
        <row r="930">
          <cell r="Q930" t="str">
            <v>أدخل رقم العقد</v>
          </cell>
        </row>
        <row r="931">
          <cell r="Q931" t="str">
            <v>أدخل رقم العقد</v>
          </cell>
        </row>
        <row r="932">
          <cell r="Q932" t="str">
            <v>أدخل رقم العقد</v>
          </cell>
        </row>
        <row r="933">
          <cell r="Q933" t="str">
            <v>أدخل رقم العقد</v>
          </cell>
        </row>
        <row r="934">
          <cell r="Q934" t="str">
            <v>أدخل رقم العقد</v>
          </cell>
        </row>
        <row r="935">
          <cell r="Q935" t="str">
            <v>أدخل رقم العقد</v>
          </cell>
        </row>
        <row r="936">
          <cell r="Q936" t="str">
            <v>أدخل رقم العقد</v>
          </cell>
        </row>
        <row r="937">
          <cell r="Q937" t="str">
            <v>أدخل رقم العقد</v>
          </cell>
        </row>
        <row r="938">
          <cell r="Q938" t="str">
            <v>أدخل رقم العقد</v>
          </cell>
        </row>
        <row r="939">
          <cell r="Q939" t="str">
            <v>أدخل رقم العقد</v>
          </cell>
        </row>
        <row r="940">
          <cell r="Q940" t="str">
            <v>أدخل رقم العقد</v>
          </cell>
        </row>
        <row r="941">
          <cell r="Q941" t="str">
            <v>أدخل رقم العقد</v>
          </cell>
        </row>
        <row r="942">
          <cell r="Q942" t="str">
            <v>أدخل رقم العقد</v>
          </cell>
        </row>
        <row r="943">
          <cell r="Q943" t="str">
            <v>أدخل رقم العقد</v>
          </cell>
        </row>
        <row r="944">
          <cell r="Q944" t="str">
            <v>أدخل رقم العقد</v>
          </cell>
        </row>
        <row r="945">
          <cell r="Q945" t="str">
            <v>أدخل رقم العقد</v>
          </cell>
        </row>
        <row r="946">
          <cell r="Q946" t="str">
            <v>أدخل رقم العقد</v>
          </cell>
        </row>
        <row r="947">
          <cell r="Q947" t="str">
            <v>أدخل رقم العقد</v>
          </cell>
        </row>
        <row r="948">
          <cell r="Q948" t="str">
            <v>أدخل رقم العقد</v>
          </cell>
        </row>
        <row r="949">
          <cell r="Q949" t="str">
            <v>أدخل رقم العقد</v>
          </cell>
        </row>
        <row r="950">
          <cell r="Q950" t="str">
            <v>أدخل رقم العقد</v>
          </cell>
        </row>
        <row r="951">
          <cell r="Q951" t="str">
            <v>أدخل رقم العقد</v>
          </cell>
        </row>
        <row r="952">
          <cell r="Q952" t="str">
            <v>أدخل رقم العقد</v>
          </cell>
        </row>
        <row r="953">
          <cell r="Q953" t="str">
            <v>أدخل رقم العقد</v>
          </cell>
        </row>
        <row r="954">
          <cell r="Q954" t="str">
            <v>أدخل رقم العقد</v>
          </cell>
        </row>
        <row r="955">
          <cell r="Q955" t="str">
            <v>أدخل رقم العقد</v>
          </cell>
        </row>
        <row r="956">
          <cell r="Q956" t="str">
            <v>أدخل رقم العقد</v>
          </cell>
        </row>
        <row r="957">
          <cell r="Q957" t="str">
            <v>أدخل رقم العقد</v>
          </cell>
        </row>
        <row r="958">
          <cell r="Q958" t="str">
            <v>أدخل رقم العقد</v>
          </cell>
        </row>
        <row r="959">
          <cell r="Q959" t="str">
            <v>أدخل رقم العقد</v>
          </cell>
        </row>
        <row r="960">
          <cell r="Q960" t="str">
            <v>أدخل رقم العقد</v>
          </cell>
        </row>
        <row r="961">
          <cell r="Q961" t="str">
            <v>أدخل رقم العقد</v>
          </cell>
        </row>
        <row r="962">
          <cell r="Q962" t="str">
            <v>أدخل رقم العقد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أصول2016 (2)"/>
      <sheetName val="الرئيسية"/>
      <sheetName val="دليل"/>
      <sheetName val="اليوميه"/>
      <sheetName val="الصندوق"/>
      <sheetName val="جرد الصندوق"/>
      <sheetName val="حساب العملاء"/>
      <sheetName val="بيان العملاء"/>
      <sheetName val="جرد"/>
      <sheetName val="أصول 2016"/>
      <sheetName val="أصول2017"/>
      <sheetName val="معلومات"/>
      <sheetName val="جمجوم"/>
      <sheetName val="الحبتور"/>
      <sheetName val="Sheet1"/>
      <sheetName val="Al Raseen 2017 (Autosaved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أثاث و مفروشات</v>
          </cell>
          <cell r="C5" t="str">
            <v>الرياض</v>
          </cell>
          <cell r="E5" t="str">
            <v xml:space="preserve">الحسابات </v>
          </cell>
          <cell r="F5" t="str">
            <v>محمد مهدي</v>
          </cell>
        </row>
        <row r="6">
          <cell r="B6" t="str">
            <v>سيارات التشغيل</v>
          </cell>
          <cell r="C6" t="str">
            <v>ينبع</v>
          </cell>
          <cell r="E6" t="str">
            <v>الإدارية</v>
          </cell>
          <cell r="F6" t="str">
            <v>أحمد الشاعر</v>
          </cell>
        </row>
        <row r="7">
          <cell r="B7" t="str">
            <v>حاويات نفايات</v>
          </cell>
          <cell r="C7" t="str">
            <v>المدينة</v>
          </cell>
          <cell r="E7" t="str">
            <v>التشغيل</v>
          </cell>
          <cell r="F7" t="str">
            <v>محمد خليل محمد خليل</v>
          </cell>
        </row>
        <row r="8">
          <cell r="B8" t="str">
            <v>حاويات أنقاض</v>
          </cell>
          <cell r="C8" t="str">
            <v>حائل</v>
          </cell>
          <cell r="E8" t="str">
            <v>المبيعات</v>
          </cell>
          <cell r="F8" t="str">
            <v>محمد السعيد</v>
          </cell>
        </row>
        <row r="9">
          <cell r="B9" t="str">
            <v>سيارات سيدان</v>
          </cell>
          <cell r="C9" t="str">
            <v>الأحساء</v>
          </cell>
          <cell r="E9" t="str">
            <v>التحصيل</v>
          </cell>
          <cell r="F9" t="str">
            <v>محمد خميس</v>
          </cell>
        </row>
        <row r="10">
          <cell r="B10" t="str">
            <v>مكابس أرضية</v>
          </cell>
          <cell r="C10" t="str">
            <v>عنيزة</v>
          </cell>
          <cell r="F10" t="str">
            <v>محمد الكاتب</v>
          </cell>
        </row>
        <row r="11">
          <cell r="B11" t="str">
            <v>محولات مكابس أرضية</v>
          </cell>
          <cell r="C11" t="str">
            <v>الدرب</v>
          </cell>
          <cell r="F11" t="str">
            <v>إبراهيم عبد الله الباحوث</v>
          </cell>
        </row>
        <row r="12">
          <cell r="B12" t="str">
            <v>إلكترونيات</v>
          </cell>
          <cell r="C12" t="str">
            <v>جده</v>
          </cell>
          <cell r="F12" t="str">
            <v>مشروع المطار الرياض</v>
          </cell>
        </row>
        <row r="13">
          <cell r="B13" t="str">
            <v>بيوت جاهزة</v>
          </cell>
          <cell r="C13" t="str">
            <v>الشقيق</v>
          </cell>
        </row>
        <row r="14">
          <cell r="B14" t="str">
            <v>مكابس نفايات</v>
          </cell>
          <cell r="C14" t="str">
            <v>ارامكو</v>
          </cell>
        </row>
        <row r="15">
          <cell r="B15" t="str">
            <v>تجهيزات أصول</v>
          </cell>
        </row>
        <row r="16">
          <cell r="B16" t="str">
            <v>عدد و أدوات ميكانيكية</v>
          </cell>
        </row>
        <row r="17">
          <cell r="B17" t="str">
            <v>عدد و أدوات أخرى</v>
          </cell>
        </row>
      </sheetData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دليل"/>
      <sheetName val="اليوميه "/>
      <sheetName val="الصندوق"/>
      <sheetName val="جرد الصندوق"/>
      <sheetName val="حساب العملاء"/>
      <sheetName val="بيان العملاء"/>
      <sheetName val="جرد"/>
      <sheetName val="أصول"/>
      <sheetName val="Sheet3"/>
      <sheetName val="جمجو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 t="str">
            <v>أثاث و مفروشات</v>
          </cell>
          <cell r="C5" t="str">
            <v>الرياض</v>
          </cell>
          <cell r="E5" t="str">
            <v xml:space="preserve">الحسابات </v>
          </cell>
          <cell r="F5" t="str">
            <v>محمد مهدي</v>
          </cell>
        </row>
        <row r="6">
          <cell r="B6" t="str">
            <v>سيارات التشغيل</v>
          </cell>
          <cell r="C6" t="str">
            <v>ينبع</v>
          </cell>
          <cell r="E6" t="str">
            <v>الإدارية</v>
          </cell>
          <cell r="F6" t="str">
            <v>أحمد الشاعر</v>
          </cell>
        </row>
        <row r="7">
          <cell r="B7" t="str">
            <v>حاويات نفايات</v>
          </cell>
          <cell r="C7" t="str">
            <v>المدينة</v>
          </cell>
          <cell r="E7" t="str">
            <v>التشغيل</v>
          </cell>
          <cell r="F7" t="str">
            <v>محمد خليل محمد خليل</v>
          </cell>
        </row>
        <row r="8">
          <cell r="B8" t="str">
            <v>حاويات أنقاض</v>
          </cell>
          <cell r="C8" t="str">
            <v>حائل</v>
          </cell>
          <cell r="E8" t="str">
            <v>المبيعات</v>
          </cell>
          <cell r="F8" t="str">
            <v>محمد السعيد</v>
          </cell>
        </row>
        <row r="9">
          <cell r="B9" t="str">
            <v>سيارات سيدان</v>
          </cell>
          <cell r="C9" t="str">
            <v>الأحساء</v>
          </cell>
          <cell r="E9" t="str">
            <v>التحصيل</v>
          </cell>
          <cell r="F9" t="str">
            <v>محمد خميس</v>
          </cell>
        </row>
        <row r="10">
          <cell r="B10" t="str">
            <v>مكابس أرضية</v>
          </cell>
          <cell r="C10" t="str">
            <v>عنيزة</v>
          </cell>
          <cell r="F10" t="str">
            <v>محمد الكاتب</v>
          </cell>
        </row>
        <row r="11">
          <cell r="B11" t="str">
            <v>محولات مكابس أرضية</v>
          </cell>
          <cell r="C11" t="str">
            <v>الدرب</v>
          </cell>
          <cell r="F11" t="str">
            <v>إبراهيم عبد الله الباحوث</v>
          </cell>
        </row>
        <row r="12">
          <cell r="B12" t="str">
            <v>إلكترونيات</v>
          </cell>
          <cell r="C12" t="str">
            <v>جده</v>
          </cell>
        </row>
        <row r="13">
          <cell r="B13" t="str">
            <v>بيوت جاهزة</v>
          </cell>
          <cell r="C13" t="str">
            <v>الشقيق</v>
          </cell>
        </row>
        <row r="14">
          <cell r="B14" t="str">
            <v>مكابس نفايات</v>
          </cell>
          <cell r="C14" t="str">
            <v>ارامكو</v>
          </cell>
        </row>
        <row r="15">
          <cell r="B15" t="str">
            <v>تجهيزات أصول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ليل الحسابات"/>
      <sheetName val="مصاريف البيع"/>
      <sheetName val="تفاصيل الحسابات "/>
      <sheetName val="قيود اليومية"/>
      <sheetName val="ميزان المراجعة"/>
      <sheetName val="المبيعات(قطع غيار)"/>
      <sheetName val="مبيعات الكفرات"/>
      <sheetName val="مبيعات الزيوت"/>
      <sheetName val="مبيعات البطاريات"/>
      <sheetName val="تتبع المركبات VTM"/>
      <sheetName val="مبيعات المكانس"/>
      <sheetName val="إيجار المعدات"/>
      <sheetName val="مبيعات قطع غيار المكانس"/>
      <sheetName val="الصندوق"/>
      <sheetName val="مبيعات الفلاتر"/>
      <sheetName val="شركة الأواني التجارية"/>
      <sheetName val="دار الكساب"/>
      <sheetName val="مؤسسة عبدالله الزهير"/>
      <sheetName val="العقيل للفلاتر"/>
      <sheetName val="المطلق للفلاتر"/>
      <sheetName val="أبوزياب خميس مشيط"/>
      <sheetName val="محلات محمد الشاعر"/>
      <sheetName val="مؤسسة الصغير التجارية المدينة ا"/>
      <sheetName val="النور للتجارة"/>
      <sheetName val="مؤسسة الصغير للتجارة فرع ينبع"/>
      <sheetName val="مؤسسة الصغير للتجارة فرع الرياض"/>
      <sheetName val="الساهلي للفلاتر"/>
      <sheetName val="مؤسسة بيت بلقيس"/>
      <sheetName val="مؤسسة الهيفاني التجارية"/>
      <sheetName val="مؤسسة تركي بن مقرن"/>
      <sheetName val="الاهتمام بالتقنية للتجارة"/>
      <sheetName val="الوطن للهيدروليك"/>
      <sheetName val="مركز حائل للهيدروليك"/>
      <sheetName val="مؤسسة السعادة الحقيقية"/>
      <sheetName val="أبو رامز ببريدة"/>
      <sheetName val="مؤسسة أحمد سعد العتيبي للتجارة"/>
      <sheetName val="مؤسسة محمد مفرح العتيبي"/>
      <sheetName val="مؤسسة مكانة للتجارة"/>
      <sheetName val="شركة جاسورا العربية للتجارة"/>
      <sheetName val="مؤسسة صالح البغشان للتجارة"/>
      <sheetName val="شركة الروسان"/>
      <sheetName val="مؤسسة تطوير المروان للتجارة"/>
      <sheetName val="مؤسسة العجلات للتجارة"/>
      <sheetName val="مؤسسة الرشيد"/>
      <sheetName val="مركز عبدالله للهيدروليك"/>
      <sheetName val="عالم الفلاتر للتجارة "/>
      <sheetName val="مؤسسة أحمد للتجارة "/>
      <sheetName val="القربان للهيدروليك"/>
      <sheetName val="الصغير فرع الدمام"/>
      <sheetName val="المشيلي"/>
      <sheetName val="الوهابي للتجارة "/>
      <sheetName val="مؤسسة أعمال الارياف للتجارة "/>
      <sheetName val="شكيل"/>
      <sheetName val="عماد الشاير"/>
      <sheetName val="مؤسسة الأنصاري"/>
      <sheetName val="مؤسسة بن هاشم "/>
      <sheetName val="مؤسسة يحيي أحمد رقواني"/>
      <sheetName val="قباء للمعدات الثقيلة "/>
      <sheetName val="الصغير للتجارة فرع الجبيل "/>
      <sheetName val="فيصل للهيدروليك"/>
      <sheetName val="conseco"/>
      <sheetName val="مؤسسة الوسام"/>
      <sheetName val="مؤسسة طيف الله العجمي"/>
      <sheetName val="I.F.C"/>
      <sheetName val="TWC ARABIA"/>
      <sheetName val="ماجد للهيدروليك"/>
      <sheetName val="SUPPORT"/>
      <sheetName val="LAMSATH"/>
      <sheetName val="الرسام"/>
      <sheetName val="خالد المنيف"/>
      <sheetName val="معرض الخليج"/>
      <sheetName val="ALI TALEB"/>
      <sheetName val="أبيار القصيم"/>
      <sheetName val="الصبياني"/>
      <sheetName val="SHAMS BLOCK"/>
      <sheetName val="تركي للمقاولات"/>
      <sheetName val="مؤسسة الأكتساب"/>
      <sheetName val="مؤسسة الرائد"/>
      <sheetName val="مغربان للفلاتر"/>
      <sheetName val="فهد دهيم "/>
      <sheetName val="الترسيب"/>
      <sheetName val="المثالية العالمية "/>
      <sheetName val="شامل لقطع الغيار"/>
      <sheetName val="العيد للمعدات الثقيلة "/>
      <sheetName val="k.e al johani est"/>
      <sheetName val="الرياض لقطع الغيار"/>
      <sheetName val="السلطة الكبيرة"/>
      <sheetName val="فهيد الصقور"/>
      <sheetName val="باكارموم"/>
      <sheetName val="الخليج للتصدير"/>
      <sheetName val="الجهيني"/>
      <sheetName val="عالم قطع غيار الديزل"/>
      <sheetName val="العرب للديزل"/>
      <sheetName val="عبدالله ناصر"/>
      <sheetName val="السوهال للتجارة"/>
      <sheetName val="سلمان إشفاق"/>
      <sheetName val="مؤسسة الثقة الكاملة"/>
      <sheetName val="المولاوي"/>
      <sheetName val="I.P.C"/>
      <sheetName val="مركز جدة لقطع الغيار"/>
      <sheetName val="شركة أمداد"/>
      <sheetName val="التويجري للهيدرولبك"/>
      <sheetName val="التويجري "/>
      <sheetName val="عبدالله المغربي"/>
      <sheetName val="الفلاح"/>
      <sheetName val="الزروي"/>
      <sheetName val="ASIAN TAJ"/>
      <sheetName val="محمد عبدالرحمن الطريف"/>
      <sheetName val="الإنصاف للهيدروليك"/>
      <sheetName val="جلموج"/>
      <sheetName val="زوالفقار للتجارة "/>
      <sheetName val="عبدالله ناصر للتجارة "/>
      <sheetName val="سعد الحارثي للتجارة "/>
      <sheetName val="HASAN EBRAHIM AL MAKHAWY "/>
      <sheetName val="ALTAHNOON TRD "/>
      <sheetName val="حمود"/>
      <sheetName val="مؤسسة صالح حسين"/>
      <sheetName val="سعودي للهيدروليك"/>
      <sheetName val="أبوزياب"/>
      <sheetName val="yellow partes "/>
      <sheetName val="HYDROGEN TRADING "/>
      <sheetName val="الشزلي"/>
      <sheetName val="الفاني لقطع الغيار "/>
      <sheetName val="قرية الطاقة"/>
      <sheetName val="دنيا الرمان"/>
      <sheetName val="مؤسسة الجليفي"/>
      <sheetName val="سعيد بازاهير"/>
      <sheetName val="الفهاد سنتر"/>
      <sheetName val="ورشة البراق"/>
      <sheetName val="مؤسسة النهضة"/>
      <sheetName val="al soghoo"/>
      <sheetName val="مؤسسة ركن الجنوب"/>
      <sheetName val="مؤسسة أبراهيم للتجارة "/>
      <sheetName val="التهامي"/>
      <sheetName val="أحمد النجيب"/>
      <sheetName val="ALMESFER ATORE "/>
      <sheetName val="ابراهيم عبدالله "/>
      <sheetName val="صقور الوادي"/>
      <sheetName val="الحواس"/>
      <sheetName val="سعيد محمد مرزوق "/>
      <sheetName val="مرسيدس سنتر"/>
      <sheetName val="مؤسسة طارق فهد المعجل"/>
      <sheetName val="MAJDAL EST"/>
      <sheetName val="شبة الجزيرة"/>
      <sheetName val="بن جلبان"/>
      <sheetName val="EASTERN MOUNTAIN TRD.EST"/>
      <sheetName val="globe marine"/>
      <sheetName val="AL SAMED"/>
      <sheetName val="صقور الروابي"/>
      <sheetName val="نبعت الريحان للتجارة"/>
      <sheetName val="ورشة طريق"/>
      <sheetName val="EAGLE TOWER"/>
      <sheetName val="مركز الخدمات"/>
      <sheetName val="abu hani"/>
      <sheetName val="العيسا"/>
      <sheetName val="JEEDAH PARTS"/>
      <sheetName val="ITLAL AL SHARQ "/>
      <sheetName val="GLOBAL HEAVY "/>
      <sheetName val="مؤسسة نجيب"/>
      <sheetName val="عبيد الشمري"/>
      <sheetName val="شركة العويضة"/>
      <sheetName val="AL SIYAL "/>
      <sheetName val="AL SALMIA EST "/>
      <sheetName val="الهيدرس"/>
      <sheetName val="بن همام"/>
      <sheetName val="al julaify"/>
      <sheetName val="ground sound "/>
      <sheetName val="FILTER EXPERT EST"/>
      <sheetName val="المزيد للقطع الثقيلة "/>
      <sheetName val="FILA CENTER"/>
      <sheetName val="AL SARWAT"/>
      <sheetName val="AL WASEEL TRD"/>
      <sheetName val="دار الغايا"/>
      <sheetName val="AL JIDANY"/>
      <sheetName val="فلاح الشمري"/>
      <sheetName val="خالد الزهراني"/>
      <sheetName val="AL DKHINI TRD"/>
      <sheetName val="GULF TRD"/>
      <sheetName val="العجمي لقطع الغيار "/>
      <sheetName val="مؤسسة المحميد للتجارة"/>
      <sheetName val="أمانات لقطع الغيار"/>
      <sheetName val="الأنفال"/>
      <sheetName val="خالد إبراهيم"/>
      <sheetName val="مؤسسة التامر"/>
      <sheetName val="SAHILE FILTER"/>
      <sheetName val="خبراء الفلاتر"/>
      <sheetName val="AL SAIRI"/>
      <sheetName val="AL GOOD UNITED"/>
      <sheetName val="أحمد للهيدروليك"/>
      <sheetName val="القفاري للهيدروليك"/>
      <sheetName val="AL NAZAL BEARINDA"/>
      <sheetName val="الشمري للتجارة"/>
      <sheetName val="AL DAGHRERY"/>
      <sheetName val="الرفيع"/>
      <sheetName val="AL ZAWI"/>
      <sheetName val="AL AWLAQI"/>
      <sheetName val="أسيا للتجارة"/>
      <sheetName val="الحماد"/>
      <sheetName val="AL DARWI HYD"/>
      <sheetName val="صقور الشرورا"/>
      <sheetName val="SPORT PARTS"/>
      <sheetName val="SALAH MAKKAH"/>
      <sheetName val="عالم عزان للتجارة"/>
      <sheetName val="AL MENHALI"/>
      <sheetName val="افهاد صقور"/>
      <sheetName val="مركز عصام"/>
      <sheetName val="واحة الوادي"/>
      <sheetName val="محمد الراجح"/>
      <sheetName val="يعقوب الميمني"/>
      <sheetName val="SONDOS"/>
      <sheetName val="القصير"/>
      <sheetName val="مركز المعدات الصناعية"/>
      <sheetName val="UMER AL AHMADI EST"/>
      <sheetName val="دونجو الكورية"/>
      <sheetName val="ALAM AZAN"/>
      <sheetName val="JAMEEL ENTERPRISES"/>
      <sheetName val="الشجيران"/>
      <sheetName val="سرايا الجزيرة"/>
      <sheetName val="C.P.C"/>
      <sheetName val="ياسر عبدالعال"/>
      <sheetName val="خبراء الديزل"/>
      <sheetName val="WAFAQ"/>
      <sheetName val="السوكير"/>
      <sheetName val="قحطاني"/>
      <sheetName val="TRUSTED SOURCE"/>
      <sheetName val="سعود فلتر"/>
      <sheetName val="مؤسسة السلطان"/>
      <sheetName val="القواه الخضراء "/>
      <sheetName val="al jalwi"/>
      <sheetName val="رواد الفلاتر"/>
      <sheetName val="al saqoor"/>
      <sheetName val="المسار"/>
      <sheetName val="بوازير"/>
      <sheetName val="عجيل الصبر"/>
      <sheetName val="فيراس"/>
      <sheetName val="شاكر"/>
      <sheetName val="رواد القطع"/>
      <sheetName val="خبراء المعدات"/>
      <sheetName val="الهوشان"/>
      <sheetName val="المقهوي التجارية"/>
      <sheetName val="المزعل"/>
      <sheetName val="البيان"/>
      <sheetName val="دريل تك لقطع الغيار"/>
      <sheetName val="القسي"/>
      <sheetName val="عبدالله خالد"/>
      <sheetName val="الثقه التامة"/>
      <sheetName val="الراقي"/>
      <sheetName val="مؤسسة الرفاد"/>
      <sheetName val="مؤسسة مشاتل العاصمة"/>
      <sheetName val="RADEEF AL HAMOOD"/>
      <sheetName val="شركة بيشة"/>
      <sheetName val="نور المدينة"/>
      <sheetName val="التكنولوجيا الخليجية"/>
      <sheetName val="AL SAHAL "/>
      <sheetName val="FAC"/>
      <sheetName val="الخراشي"/>
      <sheetName val="أمين"/>
      <sheetName val="عامر "/>
      <sheetName val="شركة جمجوم"/>
      <sheetName val="مؤسسة محمد الظافر"/>
      <sheetName val="شركة ماثيو الفرنسية"/>
      <sheetName val="شركة نتلوج للشحن"/>
      <sheetName val="شركة إسكارب"/>
      <sheetName val="ماسكات التركية أوراتشي"/>
      <sheetName val="بروسري لكلر الفرنسية "/>
      <sheetName val="شافي القحطاني للتخليص الجمركي"/>
      <sheetName val="شركة الخضري دائن"/>
      <sheetName val="دائنون متنوعون"/>
      <sheetName val="سرايا الجزيرةمعدات"/>
      <sheetName val="المجال العربي"/>
      <sheetName val="مدينون متنوعون"/>
      <sheetName val="شركة مشاتل العاصمة"/>
      <sheetName val="شركة زهران"/>
      <sheetName val="مصنع أسكارب"/>
      <sheetName val="شركة آيلكا"/>
      <sheetName val="سالم بغشان"/>
      <sheetName val="شركة فاست"/>
      <sheetName val="ARAIL CONSTRUCTION"/>
      <sheetName val="شركة سفاري"/>
      <sheetName val="الأسطول الآلي"/>
      <sheetName val="شركة طويق"/>
      <sheetName val="مؤسسة ألوان الشموس"/>
      <sheetName val="مقدم بيع سيارات "/>
      <sheetName val="ذمم الموظفين"/>
      <sheetName val="تمويلات البنك العربي"/>
      <sheetName val="الإعتمادات المفتوجة"/>
      <sheetName val="أصول الإدارة"/>
      <sheetName val="مشروعات تحت التنفيذ"/>
      <sheetName val="تحليل مصاريف الفلاتر"/>
      <sheetName val="متنوع"/>
      <sheetName val="البيانات الجمركية"/>
      <sheetName val="شركة الحدادة"/>
      <sheetName val="المشتريات الخارجية"/>
      <sheetName val="الحسابات2017"/>
    </sheetNames>
    <sheetDataSet>
      <sheetData sheetId="0"/>
      <sheetData sheetId="1"/>
      <sheetData sheetId="2"/>
      <sheetData sheetId="3"/>
      <sheetData sheetId="4">
        <row r="45">
          <cell r="B45">
            <v>38395565.479999997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ليل الحسابات"/>
      <sheetName val="مصاريف البيع"/>
      <sheetName val="تفاصيل الحسابات "/>
      <sheetName val="قيود اليومية"/>
      <sheetName val="ميزان المراجعة"/>
      <sheetName val="المبيعات(قطع غيار)"/>
      <sheetName val="مبيعات الكفرات"/>
      <sheetName val="مبيعات الزيوت"/>
      <sheetName val="مبيعات البطاريات"/>
      <sheetName val="تتبع المركبات VTM"/>
      <sheetName val="مبيعات المكانس"/>
      <sheetName val="إيجار المعدات"/>
      <sheetName val="الدليل بالأرقام"/>
      <sheetName val="مبيعات قطع غيار المكانس"/>
      <sheetName val="صيانة المكانس"/>
      <sheetName val="مبيعات الفلاتر"/>
      <sheetName val="تقرير مبيعات الفلاتر"/>
      <sheetName val="الصندوق"/>
      <sheetName val="البنك العربي"/>
      <sheetName val="بنك الرياض"/>
      <sheetName val="البنك السعودي الهولندي"/>
      <sheetName val="بنك الأنماء"/>
      <sheetName val="مصرف الراجحي"/>
      <sheetName val="شركة الأواني التجارية"/>
      <sheetName val="دار الكساب"/>
      <sheetName val="مؤسسة عبدالله الزهير"/>
      <sheetName val="العقيل للفلاتر"/>
      <sheetName val="المطلق للفلاتر"/>
      <sheetName val="سيد باوزير"/>
      <sheetName val="أبوزياب خميس مشيط"/>
      <sheetName val="محلات محمد الشاعر"/>
      <sheetName val="مؤسسة الصغير التجارية المدينة ا"/>
      <sheetName val="النور للتجارة"/>
      <sheetName val="مؤسسة الصغير للتجارة فرع ينبع"/>
      <sheetName val="مؤسسة الصغير للتجارة فرع الرياض"/>
      <sheetName val="الساهلي للفلاتر"/>
      <sheetName val="مؤسسة بيت بلقيس"/>
      <sheetName val="مؤسسة الهيفاني التجارية"/>
      <sheetName val="مؤسسة تركي بن مقرن"/>
      <sheetName val="الاهتمام بالتقنية للتجارة"/>
      <sheetName val="الوطن للهيدروليك"/>
      <sheetName val="مركز حائل للهيدروليك"/>
      <sheetName val="مؤسسة السعادة الحقيقية"/>
      <sheetName val="أبو رامز ببريدة"/>
      <sheetName val="مؤسسة أحمد سعد العتيبي للتجارة"/>
      <sheetName val="مؤسسة محمد مفرح العتيبي"/>
      <sheetName val="مؤسسة مكانة للتجارة"/>
      <sheetName val="شركة جاسورا العربية للتجارة"/>
      <sheetName val="مؤسسة صالح البغشان للتجارة"/>
      <sheetName val="شركة الروسان"/>
      <sheetName val="مؤسسة تطوير المروان للتجارة"/>
      <sheetName val="مؤسسة العجلات للتجارة"/>
      <sheetName val="مؤسسة الرشيد"/>
      <sheetName val="مركز عبدالله للهيدروليك"/>
      <sheetName val="عالم الفلاتر للتجارة "/>
      <sheetName val="مؤسسة أحمد للتجارة "/>
      <sheetName val="القربان للهيدروليك"/>
      <sheetName val="الصغير فرع الدمام"/>
      <sheetName val="المشيلي"/>
      <sheetName val="الوهابي للتجارة "/>
      <sheetName val="مؤسسة أعمال الارياف للتجارة "/>
      <sheetName val="شكيل"/>
      <sheetName val="عماد الشاير"/>
      <sheetName val="مؤسسة الأنصاري"/>
      <sheetName val="مؤسسة بن هاشم "/>
      <sheetName val="مؤسسة يحيي أحمد رقواني"/>
      <sheetName val="قباء للمعدات الثقيلة "/>
      <sheetName val="الصغير للتجارة فرع الجبيل "/>
      <sheetName val="فيصل للهيدروليك"/>
      <sheetName val="conseco"/>
      <sheetName val="مؤسسة الوسام"/>
      <sheetName val="مؤسسة طيف الله العجمي"/>
      <sheetName val="I.F.C"/>
      <sheetName val="TWC ARABIA"/>
      <sheetName val="ماجد للهيدروليك"/>
      <sheetName val="SUPPORT"/>
      <sheetName val="LAMSATH"/>
      <sheetName val="الرسام"/>
      <sheetName val="خالد المنيف"/>
      <sheetName val="معرض الخليج"/>
      <sheetName val="ALI TALEB"/>
      <sheetName val="أبيار القصيم"/>
      <sheetName val="الصبياني"/>
      <sheetName val="SHAMS BLOCK"/>
      <sheetName val="تركي للمقاولات"/>
      <sheetName val="مؤسسة الأكتساب"/>
      <sheetName val="مؤسسة الرائد"/>
      <sheetName val="مغربان للفلاتر"/>
      <sheetName val="فهد دهيم "/>
      <sheetName val="الترسيب"/>
      <sheetName val="المثالية العالمية "/>
      <sheetName val="شامل لقطع الغيار"/>
      <sheetName val="العيد للمعدات الثقيلة "/>
      <sheetName val="k.e al johani est"/>
      <sheetName val="الرياض لقطع الغيار"/>
      <sheetName val="السلطة الكبيرة"/>
      <sheetName val="فهيد الصقور"/>
      <sheetName val="باكارموم"/>
      <sheetName val="الخليج للتصدير"/>
      <sheetName val="الجهيني"/>
      <sheetName val="عالم قطع غيار الديزل"/>
      <sheetName val="العرب للديزل"/>
      <sheetName val="عبدالله ناصر"/>
      <sheetName val="السوهال للتجارة"/>
      <sheetName val="سلمان إشفاق"/>
      <sheetName val="مؤسسة الثقة الكاملة"/>
      <sheetName val="المولاوي"/>
      <sheetName val="I.P.C"/>
      <sheetName val="مركز جدة لقطع الغيار"/>
      <sheetName val="شركة أمداد"/>
      <sheetName val="التويجري للهيدرولبك"/>
      <sheetName val="التويجري "/>
      <sheetName val="عبدالله المغربي"/>
      <sheetName val="الفلاح"/>
      <sheetName val="الزروي"/>
      <sheetName val="ASIAN TAJ"/>
      <sheetName val="محمد عبدالرحمن الطريف"/>
      <sheetName val="الإنصاف للهيدروليك"/>
      <sheetName val="جلموج"/>
      <sheetName val="زوالفقار للتجارة "/>
      <sheetName val="عبدالله ناصر للتجارة "/>
      <sheetName val="سعد الحارثي للتجارة "/>
      <sheetName val="HASAN EBRAHIM AL MAKHAWY "/>
      <sheetName val="ALTAHNOON TRD "/>
      <sheetName val="حمود"/>
      <sheetName val="مؤسسة صالح حسين"/>
      <sheetName val="سعودي للهيدروليك"/>
      <sheetName val="أبوزياب"/>
      <sheetName val="yellow partes "/>
      <sheetName val="HYDROGEN TRADING "/>
      <sheetName val="الشزلي"/>
      <sheetName val="الفاني لقطع الغيار "/>
      <sheetName val="قرية الطاقة"/>
      <sheetName val="دنيا الرمان"/>
      <sheetName val="مؤسسة الجليفي"/>
      <sheetName val="سعيد بازاهير"/>
      <sheetName val="الفهاد سنتر"/>
      <sheetName val="ورشة البراق"/>
      <sheetName val="مؤسسة النهضة"/>
      <sheetName val="al soghoo"/>
      <sheetName val="مؤسسة ركن الجنوب"/>
      <sheetName val="مؤسسة أبراهيم للتجارة "/>
      <sheetName val="التهامي"/>
      <sheetName val="أحمد النجيب"/>
      <sheetName val="ALMESFER ATORE "/>
      <sheetName val="ابراهيم عبدالله "/>
      <sheetName val="صقور الوادي"/>
      <sheetName val="الحواس"/>
      <sheetName val="سعيد محمد مرزوق "/>
      <sheetName val="مرسيدس سنتر"/>
      <sheetName val="مؤسسة طارق فهد المعجل"/>
      <sheetName val="MAJDAL EST"/>
      <sheetName val="شبة الجزيرة"/>
      <sheetName val="بن جلبان"/>
      <sheetName val="EASTERN MOUNTAIN TRD.EST"/>
      <sheetName val="globe marine"/>
      <sheetName val="AL SAMED"/>
      <sheetName val="صقور الروابي"/>
      <sheetName val="نبعت الريحان للتجارة"/>
      <sheetName val="ورشة طريق"/>
      <sheetName val="EAGLE TOWER"/>
      <sheetName val="مركز الخدمات"/>
      <sheetName val="abu hani"/>
      <sheetName val="العيسا"/>
      <sheetName val="JEEDAH PARTS"/>
      <sheetName val="ITLAL AL SHARQ "/>
      <sheetName val="GLOBAL HEAVY "/>
      <sheetName val="مؤسسة نجيب"/>
      <sheetName val="عبيد الشمري"/>
      <sheetName val="شركة العويضة"/>
      <sheetName val="AL SIYAL "/>
      <sheetName val="AL SALMIA EST "/>
      <sheetName val="الهيدرس"/>
      <sheetName val="بن همام"/>
      <sheetName val="al julaify"/>
      <sheetName val="ground sound "/>
      <sheetName val="FILTER EXPERT EST"/>
      <sheetName val="المزيد للقطع الثقيلة "/>
      <sheetName val="FILA CENTER"/>
      <sheetName val="AL SARWAT"/>
      <sheetName val="AL WASEEL TRD"/>
      <sheetName val="دار الغايا"/>
      <sheetName val="AL JIDANY"/>
      <sheetName val="فلاح الشمري"/>
      <sheetName val="خالد الزهراني"/>
      <sheetName val="AL DKHINI TRD"/>
      <sheetName val="GULF TRD"/>
      <sheetName val="العجمي لقطع الغيار "/>
      <sheetName val="مؤسسة المحميد للتجارة"/>
      <sheetName val="أمانات لقطع الغيار"/>
      <sheetName val="الأنفال"/>
      <sheetName val="خالد إبراهيم"/>
      <sheetName val="مؤسسة التامر"/>
      <sheetName val="SAHILE FILTER"/>
      <sheetName val="خبراء الفلاتر"/>
      <sheetName val="AL SAIRI"/>
      <sheetName val="AL GOOD UNITED"/>
      <sheetName val="أحمد للهيدروليك"/>
      <sheetName val="القفاري للهيدروليك"/>
      <sheetName val="AL NAZAL BEARINDA"/>
      <sheetName val="الشمري للتجارة"/>
      <sheetName val="AL DAGHRERY"/>
      <sheetName val="الرفيع"/>
      <sheetName val="AL ZAWI"/>
      <sheetName val="AL AWLAQI"/>
      <sheetName val="أسيا للتجارة"/>
      <sheetName val="الحماد"/>
      <sheetName val="AL DARWI HYD"/>
      <sheetName val="صقور الشرورا"/>
      <sheetName val="SPORT PARTS"/>
      <sheetName val="SALAH MAKKAH"/>
      <sheetName val="عالم عزان للتجارة"/>
      <sheetName val="AL MENHALI"/>
      <sheetName val="افهاد صقور"/>
      <sheetName val="مركز عصام"/>
      <sheetName val="واحة الوادي"/>
      <sheetName val="محمد الراجح"/>
      <sheetName val="يعقوب الميمني"/>
      <sheetName val="SONDOS"/>
      <sheetName val="القصير"/>
      <sheetName val="مركز المعدات الصناعية"/>
      <sheetName val="UMER AL AHMADI EST"/>
      <sheetName val="دونجو الكورية"/>
      <sheetName val="ALAM AZAN"/>
      <sheetName val="JAMEEL ENTERPRISES"/>
      <sheetName val="الشجيران"/>
      <sheetName val="سرايا الجزيرة"/>
      <sheetName val="C.P.C"/>
      <sheetName val="ياسر عبدالعال"/>
      <sheetName val="خبراء الديزل"/>
      <sheetName val="WAFAQ"/>
      <sheetName val="السوكير"/>
      <sheetName val="قحطاني"/>
      <sheetName val="TRUSTED SOURCE"/>
      <sheetName val="سعود فلتر"/>
      <sheetName val="مؤسسة السلطان"/>
      <sheetName val="القواه الخضراء "/>
      <sheetName val="al jalwi"/>
      <sheetName val="رواد الفلاتر"/>
      <sheetName val="al saqoor"/>
      <sheetName val="المسار"/>
      <sheetName val="بوازير"/>
      <sheetName val="عجيل الصبر"/>
      <sheetName val="فيراس"/>
      <sheetName val="شاكر"/>
      <sheetName val="رواد القطع"/>
      <sheetName val="خبراء المعدات"/>
      <sheetName val="الهوشان"/>
      <sheetName val="المقهوي التجارية"/>
      <sheetName val="المزعل"/>
      <sheetName val="البيان"/>
      <sheetName val="دريل تك لقطع الغيار"/>
      <sheetName val="القسي"/>
      <sheetName val="عبدالله خالد"/>
      <sheetName val="الثقه التامة"/>
      <sheetName val="الراقي"/>
      <sheetName val="مؤسسة الرفاد"/>
      <sheetName val="مؤسسة مشاتل العاصمة"/>
      <sheetName val="RADEEF AL HAMOOD"/>
      <sheetName val="شركة بيشة"/>
      <sheetName val="نور المدينة"/>
      <sheetName val="أمين"/>
      <sheetName val="عامر "/>
      <sheetName val="شركة جمجوم"/>
      <sheetName val="مؤسسة محمد الظافر"/>
      <sheetName val="شركة ماثيو الفرنسية"/>
      <sheetName val="شركة نتلوج للشحن"/>
      <sheetName val="شركة إسكارب"/>
      <sheetName val="ماسكات التركية أوراتشي"/>
      <sheetName val="بروسري لكلر الفرنسية "/>
      <sheetName val="شافي القحطاني للتخليص الجمركي"/>
      <sheetName val="شركة الخضري دائن"/>
      <sheetName val="دائنون متنوعون"/>
      <sheetName val="سرايا الجزيرةمعدات"/>
      <sheetName val="المجال العربي"/>
      <sheetName val="مدينون متنوعون"/>
      <sheetName val="شركة مشاتل العاصمة"/>
      <sheetName val="شركة زهران"/>
      <sheetName val="مصنع أسكارب"/>
      <sheetName val="شركة آيلكا"/>
      <sheetName val="سالم بغشان"/>
      <sheetName val="شركة فاست"/>
      <sheetName val="شركة سفاري"/>
      <sheetName val="الأسطول الآلي"/>
      <sheetName val="شركة طويق"/>
      <sheetName val="مؤسسة ألوان الشموس"/>
      <sheetName val="مقدم بيع سيارات "/>
      <sheetName val="ذمم الموظفين"/>
      <sheetName val="تمويلات البنك العربي"/>
      <sheetName val="الإعتمادات المفتوجة"/>
      <sheetName val="أصول الإدارة"/>
      <sheetName val="مشروعات تحت التنفيذ"/>
      <sheetName val="تحليل مصاريف الفلاتر"/>
      <sheetName val="متنوع"/>
      <sheetName val="تسوية فواتي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79" displayName="Table79" ref="B5:M6" totalsRowShown="0" headerRowDxfId="140" dataDxfId="139" dataCellStyle="Comma">
  <autoFilter ref="B5:M6" xr:uid="{00000000-0009-0000-0100-000008000000}"/>
  <tableColumns count="12">
    <tableColumn id="1" xr3:uid="{00000000-0010-0000-0000-000001000000}" name="العدد" dataDxfId="138" dataCellStyle="Comma"/>
    <tableColumn id="2" xr3:uid="{00000000-0010-0000-0000-000002000000}" name="سعر/ الحبة" dataDxfId="137" dataCellStyle="Comma"/>
    <tableColumn id="3" xr3:uid="{00000000-0010-0000-0000-000003000000}" name="الإجمالي" dataDxfId="136" dataCellStyle="Comma">
      <calculatedColumnFormula>Table79[سعر/ الحبة]*Table79[العدد]</calculatedColumnFormula>
    </tableColumn>
    <tableColumn id="4" xr3:uid="{00000000-0010-0000-0000-000004000000}" name="الدفعة المقدمة" dataDxfId="135" dataCellStyle="Comma"/>
    <tableColumn id="5" xr3:uid="{00000000-0010-0000-0000-000005000000}" name="المتبقي " dataDxfId="134" dataCellStyle="Comma">
      <calculatedColumnFormula>Table79[الإجمالي]-Table79[الدفعة المقدمة]</calculatedColumnFormula>
    </tableColumn>
    <tableColumn id="6" xr3:uid="{00000000-0010-0000-0000-000006000000}" name="الفائدة" dataDxfId="133" dataCellStyle="Comma"/>
    <tableColumn id="7" xr3:uid="{00000000-0010-0000-0000-000007000000}" name="الإجمالي بالفائدة" dataDxfId="132" dataCellStyle="Comma">
      <calculatedColumnFormula>Table79[[المتبقي ]]*Table79[الفائدة]+Table79[[المتبقي ]]</calculatedColumnFormula>
    </tableColumn>
    <tableColumn id="8" xr3:uid="{00000000-0010-0000-0000-000008000000}" name="عدد الاقساط" dataDxfId="131" dataCellStyle="Comma"/>
    <tableColumn id="9" xr3:uid="{00000000-0010-0000-0000-000009000000}" name="قيمة القسط الواحد" dataDxfId="130" dataCellStyle="Comma">
      <calculatedColumnFormula>Table79[الإجمالي بالفائدة]/Table79[عدد الاقساط]</calculatedColumnFormula>
    </tableColumn>
    <tableColumn id="10" xr3:uid="{00000000-0010-0000-0000-00000A000000}" name="بداية الاقساط" dataDxfId="129" dataCellStyle="Comma"/>
    <tableColumn id="11" xr3:uid="{00000000-0010-0000-0000-00000B000000}" name="عدد الاقساط المسدده" dataDxfId="128" dataCellStyle="Comma">
      <calculatedColumnFormula>COUNTA(Table8[ملاحظات السداد])</calculatedColumnFormula>
    </tableColumn>
    <tableColumn id="12" xr3:uid="{00000000-0010-0000-0000-00000C000000}" name="عدد الأقساط المستحقة" dataDxfId="12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e8" displayName="Table8" ref="B9:M27" totalsRowShown="0" headerRowDxfId="126" dataDxfId="125" dataCellStyle="Comma">
  <autoFilter ref="B9:M27" xr:uid="{00000000-0009-0000-0100-000009000000}"/>
  <tableColumns count="12">
    <tableColumn id="1" xr3:uid="{00000000-0010-0000-0100-000001000000}" name="رقم القسط" dataDxfId="124" dataCellStyle="Comma"/>
    <tableColumn id="2" xr3:uid="{00000000-0010-0000-0100-000002000000}" name="المبلغ الاساسي" dataDxfId="123" dataCellStyle="Comma">
      <calculatedColumnFormula>1200000/18</calculatedColumnFormula>
    </tableColumn>
    <tableColumn id="3" xr3:uid="{00000000-0010-0000-0100-000003000000}" name="نسبة الفائدة" dataDxfId="122" dataCellStyle="Comma"/>
    <tableColumn id="4" xr3:uid="{00000000-0010-0000-0100-000004000000}" name="الفائدة" dataDxfId="121" dataCellStyle="Comma">
      <calculatedColumnFormula>Table8[نسبة الفائدة]*Table8[المبلغ الاساسي]</calculatedColumnFormula>
    </tableColumn>
    <tableColumn id="5" xr3:uid="{00000000-0010-0000-0100-000005000000}" name="المبلغ بالفائدة" dataDxfId="120" dataCellStyle="Comma">
      <calculatedColumnFormula>Table8[الفائدة]+Table8[المبلغ الاساسي]</calculatedColumnFormula>
    </tableColumn>
    <tableColumn id="6" xr3:uid="{00000000-0010-0000-0100-000006000000}" name="تاريخ الأستحقاق" dataDxfId="119" dataCellStyle="Comma"/>
    <tableColumn id="7" xr3:uid="{00000000-0010-0000-0100-000007000000}" name="عدد الاقساط المتبقية" dataDxfId="118" dataCellStyle="Comma">
      <calculatedColumnFormula>Table79[عدد الاقساط]-Table8[رقم القسط]</calculatedColumnFormula>
    </tableColumn>
    <tableColumn id="8" xr3:uid="{00000000-0010-0000-0100-000008000000}" name="قيمة الاقساط المتبقية" dataDxfId="117" dataCellStyle="Comma">
      <calculatedColumnFormula>Table79[[المتبقي ]]/Table79[عدد الاقساط]*Table8[عدد الاقساط المتبقية]</calculatedColumnFormula>
    </tableColumn>
    <tableColumn id="9" xr3:uid="{00000000-0010-0000-0100-000009000000}" name="قيمة الفائدة" dataDxfId="116" dataCellStyle="Comma">
      <calculatedColumnFormula>Table8[نسبة الفائدة]*Table8[قيمة الاقساط المتبقية]</calculatedColumnFormula>
    </tableColumn>
    <tableColumn id="10" xr3:uid="{00000000-0010-0000-0100-00000A000000}" name="اجمالي الاقساط المتبقية بالفائدة" dataDxfId="115" dataCellStyle="Comma">
      <calculatedColumnFormula>Table79[قيمة القسط الواحد]*Table8[عدد الاقساط المتبقية]</calculatedColumnFormula>
    </tableColumn>
    <tableColumn id="11" xr3:uid="{00000000-0010-0000-0100-00000B000000}" name="ملاحظات السداد" dataDxfId="114" dataCellStyle="Comma"/>
    <tableColumn id="12" xr3:uid="{00000000-0010-0000-0100-00000C000000}" name="ملاحظات" dataDxfId="113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1" displayName="Table1" ref="A5:J43" totalsRowShown="0" headerRowDxfId="112" dataDxfId="111" tableBorderDxfId="110">
  <autoFilter ref="A5:J43" xr:uid="{00000000-0009-0000-0100-000006000000}"/>
  <tableColumns count="10">
    <tableColumn id="1" xr3:uid="{00000000-0010-0000-0200-000001000000}" name="التاريخ_x000a_Date" dataDxfId="109"/>
    <tableColumn id="2" xr3:uid="{00000000-0010-0000-0200-000002000000}" name="الشهر_x000a_Month" dataDxfId="108"/>
    <tableColumn id="3" xr3:uid="{00000000-0010-0000-0200-000003000000}" name="رقم _x000a_القيد_x000a_ASCON" dataDxfId="107"/>
    <tableColumn id="4" xr3:uid="{00000000-0010-0000-0200-000004000000}" name="البيان _x000a_Description" dataDxfId="106"/>
    <tableColumn id="5" xr3:uid="{00000000-0010-0000-0200-000005000000}" name="رقم _x000a_المستند" dataDxfId="105"/>
    <tableColumn id="6" xr3:uid="{00000000-0010-0000-0200-000006000000}" name="ملاحظات_x000a_Notes" dataDxfId="104"/>
    <tableColumn id="10" xr3:uid="{00000000-0010-0000-0200-00000A000000}" name="المشروع_x000a_Project" dataDxfId="103"/>
    <tableColumn id="7" xr3:uid="{00000000-0010-0000-0200-000007000000}" name="دائن" dataDxfId="102"/>
    <tableColumn id="8" xr3:uid="{00000000-0010-0000-0200-000008000000}" name="مدين" dataDxfId="101"/>
    <tableColumn id="9" xr3:uid="{00000000-0010-0000-0200-000009000000}" name="الرصيد _x000a_Balance" dataDxfId="100">
      <calculatedColumnFormula>J5+H6-I6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6" displayName="Table16" ref="A7:L588" totalsRowShown="0" headerRowDxfId="99" dataDxfId="98">
  <autoFilter ref="A7:L588" xr:uid="{00000000-0009-0000-0100-000003000000}">
    <filterColumn colId="9">
      <filters>
        <filter val="9,900.00"/>
      </filters>
    </filterColumn>
  </autoFilter>
  <tableColumns count="12">
    <tableColumn id="1" xr3:uid="{00000000-0010-0000-0300-000001000000}" name="م" dataDxfId="97">
      <calculatedColumnFormula>SUBTOTAL(3,$E$8:E8)</calculatedColumnFormula>
    </tableColumn>
    <tableColumn id="2" xr3:uid="{00000000-0010-0000-0300-000002000000}" name="التاريخ" dataDxfId="96"/>
    <tableColumn id="3" xr3:uid="{00000000-0010-0000-0300-000003000000}" name="المطابقة" dataDxfId="95"/>
    <tableColumn id="4" xr3:uid="{00000000-0010-0000-0300-000004000000}" name="قيد الأسكون" dataDxfId="94"/>
    <tableColumn id="5" xr3:uid="{00000000-0010-0000-0300-000005000000}" name="البيــــــــــــــــــــــــــــــــــــــــــــــــــــــــــــــــــــــــــــــــــــــــــــــــــــــــان" dataDxfId="93"/>
    <tableColumn id="6" xr3:uid="{00000000-0010-0000-0300-000006000000}" name="نوع الحركة" dataDxfId="92"/>
    <tableColumn id="7" xr3:uid="{00000000-0010-0000-0300-000007000000}" name="الرقم" dataDxfId="91"/>
    <tableColumn id="11" xr3:uid="{00000000-0010-0000-0300-00000B000000}" name="الجهه" dataDxfId="90"/>
    <tableColumn id="12" xr3:uid="{00000000-0010-0000-0300-00000C000000}" name="ملاحظات" dataDxfId="89"/>
    <tableColumn id="8" xr3:uid="{00000000-0010-0000-0300-000008000000}" name="المدين (إيداع)" dataDxfId="88"/>
    <tableColumn id="9" xr3:uid="{00000000-0010-0000-0300-000009000000}" name="الدائن (السحب)" dataDxfId="87"/>
    <tableColumn id="10" xr3:uid="{00000000-0010-0000-0300-00000A000000}" name="الرصيد" dataDxfId="86">
      <calculatedColumnFormula>L7+Table16[[#This Row],[المدين (إيداع)]]-Table16[[#This Row],[الدائن (السحب)]]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210" displayName="Table210" ref="H1:K5" totalsRowShown="0" headerRowDxfId="85" dataDxfId="84">
  <autoFilter ref="H1:K5" xr:uid="{00000000-0009-0000-0100-000004000000}"/>
  <tableColumns count="4">
    <tableColumn id="1" xr3:uid="{00000000-0010-0000-0400-000001000000}" name="البــــــــــــــــــــــــــــــــــــــــــــيان" dataDxfId="83"/>
    <tableColumn id="4" xr3:uid="{00000000-0010-0000-0400-000004000000}" name="مدين" dataDxfId="82"/>
    <tableColumn id="5" xr3:uid="{00000000-0010-0000-0400-000005000000}" name="دائن" dataDxfId="81"/>
    <tableColumn id="6" xr3:uid="{00000000-0010-0000-0400-000006000000}" name="الرصيد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21011" displayName="Table21011" ref="B1:E5" totalsRowShown="0" headerRowDxfId="79" dataDxfId="78">
  <autoFilter ref="B1:E5" xr:uid="{00000000-0009-0000-0100-000005000000}"/>
  <tableColumns count="4">
    <tableColumn id="1" xr3:uid="{00000000-0010-0000-0500-000001000000}" name="البــــــــــــــــــــــــــــــــــــــــــــيان" dataDxfId="77"/>
    <tableColumn id="4" xr3:uid="{00000000-0010-0000-0500-000004000000}" name="مدين" dataDxfId="76"/>
    <tableColumn id="5" xr3:uid="{00000000-0010-0000-0500-000005000000}" name="دائن" dataDxfId="75"/>
    <tableColumn id="6" xr3:uid="{00000000-0010-0000-0500-000006000000}" name="الرصيد" dataDxfId="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51013454" displayName="Table51013454" ref="A5:AM279" totalsRowShown="0" headerRowDxfId="73" dataDxfId="72" headerRowCellStyle="Comma" dataCellStyle="Comma">
  <autoFilter ref="A5:AM279" xr:uid="{00000000-0009-0000-0100-000001000000}">
    <filterColumn colId="1">
      <filters>
        <filter val="أغطية حاويات 06 ياردة"/>
        <filter val="حاويات 06 ياردة"/>
        <filter val="حاويات 06 ياردة بغطاء"/>
        <filter val="حاويات سعة 06 ياردة بدون غطاء"/>
        <filter val="حاوية 06 ياردة بدون غطاء"/>
        <filter val="حاوية 06 ياردة بغطاء"/>
        <filter val="حاوية سعة 06 ياردة"/>
      </filters>
    </filterColumn>
    <filterColumn colId="2">
      <filters>
        <filter val="شركة الفهاد - الرسين"/>
        <filter val="مؤسسة الرسين للصيانة"/>
      </filters>
    </filterColumn>
    <filterColumn colId="5">
      <filters>
        <filter val="الرياض"/>
      </filters>
    </filterColumn>
  </autoFilter>
  <sortState ref="A51:AM218">
    <sortCondition ref="K5:K279"/>
  </sortState>
  <tableColumns count="39">
    <tableColumn id="1" xr3:uid="{00000000-0010-0000-0600-000001000000}" name="م" dataDxfId="71">
      <calculatedColumnFormula>IF(B6="","",SUBTOTAL(3,$B$6:B6))</calculatedColumnFormula>
    </tableColumn>
    <tableColumn id="2" xr3:uid="{00000000-0010-0000-0600-000002000000}" name="الأصل" dataDxfId="70"/>
    <tableColumn id="27" xr3:uid="{00000000-0010-0000-0600-00001B000000}" name="المالك" dataDxfId="69"/>
    <tableColumn id="34" xr3:uid="{00000000-0010-0000-0600-000022000000}" name="Column1" dataDxfId="68" dataCellStyle="Normal 6"/>
    <tableColumn id="3" xr3:uid="{00000000-0010-0000-0600-000003000000}" name="مجموعة الاصول" dataDxfId="67"/>
    <tableColumn id="4" xr3:uid="{00000000-0010-0000-0600-000004000000}" name="المشروع" dataDxfId="66"/>
    <tableColumn id="21" xr3:uid="{00000000-0010-0000-0600-000015000000}" name="القطاع" dataDxfId="65"/>
    <tableColumn id="5" xr3:uid="{00000000-0010-0000-0600-000005000000}" name="الإدارة" dataDxfId="64"/>
    <tableColumn id="6" xr3:uid="{00000000-0010-0000-0600-000006000000}" name="المستخدم" dataDxfId="63"/>
    <tableColumn id="7" xr3:uid="{00000000-0010-0000-0600-000007000000}" name="plate" dataDxfId="62"/>
    <tableColumn id="8" xr3:uid="{00000000-0010-0000-0600-000008000000}" name="تاريخ الشراء-الاستلام" dataDxfId="61"/>
    <tableColumn id="9" xr3:uid="{00000000-0010-0000-0600-000009000000}" name="المورد" dataDxfId="60"/>
    <tableColumn id="20" xr3:uid="{00000000-0010-0000-0600-000014000000}" name="قيد الاثبات" dataDxfId="59" dataCellStyle="Normal 6"/>
    <tableColumn id="10" xr3:uid="{00000000-0010-0000-0600-00000A000000}" name="الكمية" dataDxfId="58"/>
    <tableColumn id="26" xr3:uid="{00000000-0010-0000-0600-00001A000000}" name="رقم الفاتورة" dataDxfId="57"/>
    <tableColumn id="11" xr3:uid="{00000000-0010-0000-0600-00000B000000}" name="سعر/الحبة" dataDxfId="56" dataCellStyle="Comma"/>
    <tableColumn id="12" xr3:uid="{00000000-0010-0000-0600-00000C000000}" name="الإجمالي" dataDxfId="55" dataCellStyle="Comma">
      <calculatedColumnFormula>P6*N6</calculatedColumnFormula>
    </tableColumn>
    <tableColumn id="32" xr3:uid="{00000000-0010-0000-0600-000020000000}" name="رقم القيد" dataDxfId="54" dataCellStyle="Comma"/>
    <tableColumn id="33" xr3:uid="{00000000-0010-0000-0600-000021000000}" name="التاريخ" dataDxfId="53" dataCellStyle="Comma"/>
    <tableColumn id="13" xr3:uid="{00000000-0010-0000-0600-00000D000000}" name="العدد" dataDxfId="52" dataCellStyle="Comma"/>
    <tableColumn id="22" xr3:uid="{00000000-0010-0000-0600-000016000000}" name="عن طريق" dataDxfId="51" dataCellStyle="Comma"/>
    <tableColumn id="23" xr3:uid="{00000000-0010-0000-0600-000017000000}" name="السعر الافرادي" dataDxfId="50" dataCellStyle="Comma"/>
    <tableColumn id="28" xr3:uid="{00000000-0010-0000-0600-00001C000000}" name="إجمالي المستبعد" dataDxfId="49" dataCellStyle="Comma">
      <calculatedColumnFormula>Table51013454[[#This Row],[العدد]]*Table51013454[[#This Row],[السعر الافرادي]]</calculatedColumnFormula>
    </tableColumn>
    <tableColumn id="36" xr3:uid="{00000000-0010-0000-0600-000024000000}" name="اهلاك المستبعد_x000a_في 2017" dataDxfId="48" dataCellStyle="Comma">
      <calculatedColumnFormula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calculatedColumnFormula>
    </tableColumn>
    <tableColumn id="29" xr3:uid="{00000000-0010-0000-0600-00001D000000}" name="العدد2" dataDxfId="47" dataCellStyle="Comma">
      <calculatedColumnFormula>Table51013454[[#This Row],[الكمية]]-Table51013454[[#This Row],[العدد]]</calculatedColumnFormula>
    </tableColumn>
    <tableColumn id="30" xr3:uid="{00000000-0010-0000-0600-00001E000000}" name="الحبة" dataDxfId="46" dataCellStyle="Comma">
      <calculatedColumnFormula>Table51013454[[#This Row],[سعر/الحبة]]</calculatedColumnFormula>
    </tableColumn>
    <tableColumn id="31" xr3:uid="{00000000-0010-0000-0600-00001F000000}" name="الإجمالي الصافي" dataDxfId="45" dataCellStyle="Comma">
      <calculatedColumnFormula>Table51013454[[#This Row],[الإجمالي]]-Table51013454[[#This Row],[إجمالي المستبعد]]</calculatedColumnFormula>
    </tableColumn>
    <tableColumn id="14" xr3:uid="{00000000-0010-0000-0600-00000E000000}" name="العمر الافتراضي" dataDxfId="44"/>
    <tableColumn id="15" xr3:uid="{00000000-0010-0000-0600-00000F000000}" name="كود الاصل" dataDxfId="43"/>
    <tableColumn id="16" xr3:uid="{00000000-0010-0000-0600-000010000000}" name="حالة الاصل" dataDxfId="42"/>
    <tableColumn id="17" xr3:uid="{00000000-0010-0000-0600-000011000000}" name="مجمع الاهلاك _x000a_في 01-01-2017" dataDxfId="41" dataCellStyle="Comma"/>
    <tableColumn id="18" xr3:uid="{00000000-0010-0000-0600-000012000000}" name="القيمة الدفترية _x000a_في 01-01-2017" dataDxfId="40" dataCellStyle="Comma">
      <calculatedColumnFormula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الشراء-الاستلام]]&lt;DATE(2017,1,1),Q6-AE6,0))</calculatedColumnFormula>
    </tableColumn>
    <tableColumn id="19" xr3:uid="{00000000-0010-0000-0600-000013000000}" name="مصروف الاهلاك 2017" dataDxfId="39" dataCellStyle="Comma">
      <calculatedColumnFormula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calculatedColumnFormula>
    </tableColumn>
    <tableColumn id="37" xr3:uid="{00000000-0010-0000-0600-000025000000}" name="مجمع إهلاك المستبعد _x000a_01-01-2017" dataDxfId="38" dataCellStyle="Comma">
      <calculatedColumnFormula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calculatedColumnFormula>
    </tableColumn>
    <tableColumn id="39" xr3:uid="{00000000-0010-0000-0600-000027000000}" name="مجمع إهلاك المستبعد _x000a_بتاريخ الأستبعاد" dataDxfId="37" dataCellStyle="Comma">
      <calculatedColumnFormula>Table51013454[[#This Row],[اهلاك المستبعد
في 2017]]+Table51013454[[#This Row],[مجمع إهلاك المستبعد 
01-01-2017]]</calculatedColumnFormula>
    </tableColumn>
    <tableColumn id="38" xr3:uid="{00000000-0010-0000-0600-000026000000}" name="الربح/الخسارة من الاستبعاد" dataDxfId="36" dataCellStyle="Comma">
      <calculatedColumnFormula>Table51013454[[#This Row],[إجمالي المستبعد]]-Table51013454[[#This Row],[مجمع إهلاك المستبعد 
بتاريخ الأستبعاد]]</calculatedColumnFormula>
    </tableColumn>
    <tableColumn id="35" xr3:uid="{00000000-0010-0000-0600-000023000000}" name="رقم قيد الأهلاك" dataDxfId="35" dataCellStyle="Comma"/>
    <tableColumn id="24" xr3:uid="{00000000-0010-0000-0600-000018000000}" name="مجمع الاهلاك_x000a_في 31-12-2017" dataDxfId="34" dataCellStyle="Comma">
      <calculatedColumnFormula>IF(OR(Table51013454[[#This Row],[تاريخ الشراء-الاستلام]]="",Table51013454[[#This Row],[الإجمالي]]="",Table51013454[[#This Row],[العمر الافتراضي]]=""),"",IF(((AE6+AG6)-Table51013454[[#This Row],[مجمع إهلاك المستبعد 
بتاريخ الأستبعاد]])&lt;=0,0,((AE6+AG6)-Table51013454[[#This Row],[مجمع إهلاك المستبعد 
بتاريخ الأستبعاد]])))</calculatedColumnFormula>
    </tableColumn>
    <tableColumn id="25" xr3:uid="{00000000-0010-0000-0600-000019000000}" name="القيمة الدفترية _x000a_في 31-12-2017" dataDxfId="33" dataCellStyle="Comma">
      <calculatedColumnFormula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الشراء-الاستلام]]&gt;DATE(2017,12,31),0,AA6-AL6)))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2" displayName="Table2" ref="A7:G17" totalsRowShown="0" headerRowDxfId="32" dataDxfId="30" headerRowBorderDxfId="31" tableBorderDxfId="29" headerRowCellStyle="Comma" dataCellStyle="Comma">
  <autoFilter ref="A7:G17" xr:uid="{00000000-0009-0000-0100-000002000000}"/>
  <sortState ref="A8:G16">
    <sortCondition ref="A7:A16"/>
  </sortState>
  <tableColumns count="7">
    <tableColumn id="1" xr3:uid="{00000000-0010-0000-0700-000001000000}" name="م" dataDxfId="28">
      <calculatedColumnFormula>SUBTOTAL(3,$C$8:C8)</calculatedColumnFormula>
    </tableColumn>
    <tableColumn id="2" xr3:uid="{00000000-0010-0000-0700-000002000000}" name="حساب البرنامج" dataDxfId="27"/>
    <tableColumn id="3" xr3:uid="{00000000-0010-0000-0700-000003000000}" name="الأسم" dataDxfId="26"/>
    <tableColumn id="4" xr3:uid="{00000000-0010-0000-0700-000004000000}" name="في 01-01-2017" dataDxfId="25" dataCellStyle="Comma"/>
    <tableColumn id="5" xr3:uid="{00000000-0010-0000-0700-000005000000}" name="مدين" dataDxfId="24" dataCellStyle="Comma"/>
    <tableColumn id="6" xr3:uid="{00000000-0010-0000-0700-000006000000}" name="دائن" dataDxfId="23" dataCellStyle="Comma"/>
    <tableColumn id="7" xr3:uid="{00000000-0010-0000-0700-000007000000}" name="المبلغ" dataDxfId="22" dataCellStyle="Comma">
      <calculatedColumnFormula>D8+F8-E8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7" displayName="Table7" ref="A5:M15" totalsRowShown="0" headerRowDxfId="21" dataDxfId="20">
  <autoFilter ref="A5:M15" xr:uid="{00000000-0009-0000-0100-000007000000}"/>
  <tableColumns count="13">
    <tableColumn id="1" xr3:uid="{00000000-0010-0000-0800-000001000000}" name="م" dataDxfId="19">
      <calculatedColumnFormula>IF(B6&gt;0,SUBTOTAL(3,B$6:B6),"")</calculatedColumnFormula>
    </tableColumn>
    <tableColumn id="2" xr3:uid="{00000000-0010-0000-0800-000002000000}" name="رقم السجل" dataDxfId="18"/>
    <tableColumn id="3" xr3:uid="{00000000-0010-0000-0800-000003000000}" name="الرئيسي" dataDxfId="17"/>
    <tableColumn id="4" xr3:uid="{00000000-0010-0000-0800-000004000000}" name="الفرعي" dataDxfId="16"/>
    <tableColumn id="5" xr3:uid="{00000000-0010-0000-0800-000005000000}" name="النوع" dataDxfId="15"/>
    <tableColumn id="6" xr3:uid="{00000000-0010-0000-0800-000006000000}" name="الأسم التجاري" dataDxfId="14"/>
    <tableColumn id="7" xr3:uid="{00000000-0010-0000-0800-000007000000}" name="المدينة" dataDxfId="13"/>
    <tableColumn id="8" xr3:uid="{00000000-0010-0000-0800-000008000000}" name="رأس المال " dataDxfId="12" dataCellStyle="Comma"/>
    <tableColumn id="9" xr3:uid="{00000000-0010-0000-0800-000009000000}" name="تاريخ الإصدار الهجري" dataDxfId="11"/>
    <tableColumn id="10" xr3:uid="{00000000-0010-0000-0800-00000A000000}" name="تاريخ الإصدار الميلادي" dataDxfId="10">
      <calculatedColumnFormula>I6</calculatedColumnFormula>
    </tableColumn>
    <tableColumn id="11" xr3:uid="{00000000-0010-0000-0800-00000B000000}" name="جديد خلال الفترة الحالية" dataDxfId="9">
      <calculatedColumnFormula>IF(J6&gt;DATE(2016,12,31),"جديد","قديم مسجل")</calculatedColumnFormula>
    </tableColumn>
    <tableColumn id="12" xr3:uid="{00000000-0010-0000-0800-00000C000000}" name="نهاية الفترة المالية الحالية" dataDxfId="8"/>
    <tableColumn id="13" xr3:uid="{00000000-0010-0000-0800-00000D000000}" name="يسجل / لا " dataDxfId="7">
      <calculatedColumnFormula>IF(J6&lt;L6,"يسجل","لا")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9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6.emf"/><Relationship Id="rId12" Type="http://schemas.openxmlformats.org/officeDocument/2006/relationships/control" Target="../activeX/activeX6.xml"/><Relationship Id="rId17" Type="http://schemas.openxmlformats.org/officeDocument/2006/relationships/table" Target="../tables/table7.xml"/><Relationship Id="rId2" Type="http://schemas.openxmlformats.org/officeDocument/2006/relationships/drawing" Target="../drawings/drawing8.xml"/><Relationship Id="rId16" Type="http://schemas.openxmlformats.org/officeDocument/2006/relationships/control" Target="../activeX/activeX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3.xml"/><Relationship Id="rId11" Type="http://schemas.openxmlformats.org/officeDocument/2006/relationships/image" Target="../media/image8.emf"/><Relationship Id="rId5" Type="http://schemas.openxmlformats.org/officeDocument/2006/relationships/image" Target="../media/image5.emf"/><Relationship Id="rId15" Type="http://schemas.openxmlformats.org/officeDocument/2006/relationships/image" Target="../media/image10.emf"/><Relationship Id="rId10" Type="http://schemas.openxmlformats.org/officeDocument/2006/relationships/control" Target="../activeX/activeX5.xml"/><Relationship Id="rId4" Type="http://schemas.openxmlformats.org/officeDocument/2006/relationships/control" Target="../activeX/activeX2.xml"/><Relationship Id="rId9" Type="http://schemas.openxmlformats.org/officeDocument/2006/relationships/image" Target="../media/image7.emf"/><Relationship Id="rId14" Type="http://schemas.openxmlformats.org/officeDocument/2006/relationships/control" Target="../activeX/activeX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file://D:\..\..\..\..\..\..\..\mohamed.mahdi\AppData\Local\Microsoft\Windows\Temporary%20Internet%20Files\Content.Outlook\AppData\Local\Microsoft\Windows\INetCache\Content.Outlook\AppData\Local\Microsoft\Windows\Temporary%20Internet%20Files\Content.Outlook\2RI7CCME\&#1573;&#1610;&#1590;&#1575;&#1581;&#1575;&#1578;%20&#1593;&#1575;&#1605;%202016.xlsx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file://D:\..\..\..\..\..\..\..\mohamed.mahdi\AppData\Local\Microsoft\Windows\Temporary%20Internet%20Files\Content.Outlook\AppData\Local\Microsoft\Windows\INetCache\Content.Outlook\AppData\Local\Microsoft\Windows\Temporary%20Internet%20Files\Content.Outlook\2RI7CCME\&#1573;&#1610;&#1590;&#1575;&#1581;&#1575;&#1578;%20&#1593;&#1575;&#1605;%202016.xlsx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S40"/>
  <sheetViews>
    <sheetView rightToLeft="1" zoomScale="80" zoomScaleNormal="80" zoomScaleSheetLayoutView="90" workbookViewId="0">
      <pane ySplit="5" topLeftCell="A6" activePane="bottomLeft" state="frozen"/>
      <selection activeCell="C61" sqref="C61"/>
      <selection pane="bottomLeft" activeCell="S4" sqref="S4"/>
    </sheetView>
  </sheetViews>
  <sheetFormatPr defaultRowHeight="21"/>
  <cols>
    <col min="1" max="1" width="44.140625" style="179" customWidth="1"/>
    <col min="2" max="2" width="12" style="487" customWidth="1"/>
    <col min="3" max="3" width="8.5703125" style="122" customWidth="1"/>
    <col min="4" max="5" width="20.140625" style="4" customWidth="1"/>
    <col min="6" max="9" width="20.140625" style="174" customWidth="1"/>
    <col min="10" max="10" width="16.5703125" style="179" hidden="1" customWidth="1"/>
    <col min="11" max="11" width="20.28515625" style="179" hidden="1" customWidth="1"/>
    <col min="12" max="13" width="9.140625" style="179"/>
    <col min="14" max="14" width="17.7109375" style="179" bestFit="1" customWidth="1"/>
    <col min="15" max="18" width="9.140625" style="179"/>
    <col min="19" max="19" width="31.5703125" style="179" customWidth="1"/>
    <col min="20" max="16384" width="9.140625" style="179"/>
  </cols>
  <sheetData>
    <row r="1" spans="1:13" ht="31.5" customHeight="1">
      <c r="A1" s="769" t="s">
        <v>12</v>
      </c>
      <c r="B1" s="769"/>
      <c r="C1" s="769"/>
      <c r="D1" s="769"/>
      <c r="E1" s="769"/>
      <c r="F1" s="769"/>
      <c r="G1" s="769"/>
      <c r="H1" s="769"/>
      <c r="I1" s="769"/>
      <c r="J1" s="177"/>
      <c r="K1" s="177"/>
    </row>
    <row r="2" spans="1:13" ht="31.5" customHeight="1">
      <c r="A2" s="769"/>
      <c r="B2" s="769"/>
      <c r="C2" s="769"/>
      <c r="D2" s="769"/>
      <c r="E2" s="769"/>
      <c r="F2" s="769"/>
      <c r="G2" s="769"/>
      <c r="H2" s="769"/>
      <c r="I2" s="769"/>
      <c r="J2" s="178"/>
      <c r="K2" s="178"/>
    </row>
    <row r="3" spans="1:13" ht="35.25" customHeight="1" thickBot="1">
      <c r="A3" s="767" t="s">
        <v>1500</v>
      </c>
      <c r="B3" s="767"/>
      <c r="C3" s="767"/>
      <c r="D3" s="767"/>
      <c r="E3" s="767"/>
      <c r="F3" s="767"/>
      <c r="G3" s="767"/>
      <c r="H3" s="768"/>
      <c r="I3" s="768"/>
      <c r="J3" s="180"/>
      <c r="K3" s="180"/>
    </row>
    <row r="4" spans="1:13" s="176" customFormat="1" ht="39.75" customHeight="1" thickTop="1">
      <c r="A4" s="773" t="s">
        <v>1</v>
      </c>
      <c r="B4" s="774" t="s">
        <v>1391</v>
      </c>
      <c r="C4" s="629"/>
      <c r="D4" s="676" t="s">
        <v>0</v>
      </c>
      <c r="E4" s="680"/>
      <c r="F4" s="676" t="s">
        <v>1501</v>
      </c>
      <c r="G4" s="680"/>
      <c r="H4" s="676" t="s">
        <v>1502</v>
      </c>
      <c r="I4" s="677"/>
      <c r="J4" s="35"/>
      <c r="K4" s="35"/>
    </row>
    <row r="5" spans="1:13" s="176" customFormat="1" ht="30.75" customHeight="1" thickBot="1">
      <c r="A5" s="775"/>
      <c r="B5" s="776"/>
      <c r="C5" s="630"/>
      <c r="D5" s="171" t="s">
        <v>2</v>
      </c>
      <c r="E5" s="777" t="s">
        <v>3</v>
      </c>
      <c r="F5" s="171" t="s">
        <v>4</v>
      </c>
      <c r="G5" s="777" t="s">
        <v>3</v>
      </c>
      <c r="H5" s="171" t="s">
        <v>4</v>
      </c>
      <c r="I5" s="783" t="s">
        <v>3</v>
      </c>
      <c r="J5" s="34"/>
      <c r="K5" s="34"/>
    </row>
    <row r="6" spans="1:13" ht="34.5" customHeight="1" thickTop="1">
      <c r="A6" s="618" t="s">
        <v>5</v>
      </c>
      <c r="B6" s="488"/>
      <c r="C6" s="169" t="s">
        <v>22</v>
      </c>
      <c r="D6" s="181">
        <v>532033.53</v>
      </c>
      <c r="E6" s="778">
        <v>0</v>
      </c>
      <c r="F6" s="125">
        <f>4790836+65050</f>
        <v>4855886</v>
      </c>
      <c r="G6" s="781">
        <f>5192190.17+120061</f>
        <v>5312251.17</v>
      </c>
      <c r="H6" s="125">
        <f>IF(D6+F6&gt;E6+G6,(D6+F6)-(E6+G6),0)</f>
        <v>75668.360000000335</v>
      </c>
      <c r="I6" s="781">
        <f>IF(E6+G6&gt;D6+F6,(E6+G6)-(D6+F6),0)</f>
        <v>0</v>
      </c>
      <c r="J6" s="36" t="s">
        <v>234</v>
      </c>
      <c r="K6" s="36" t="s">
        <v>237</v>
      </c>
      <c r="L6" s="483" t="s">
        <v>667</v>
      </c>
      <c r="M6" s="347"/>
    </row>
    <row r="7" spans="1:13" ht="34.5" customHeight="1">
      <c r="A7" s="618" t="s">
        <v>6</v>
      </c>
      <c r="B7" s="488"/>
      <c r="C7" s="169" t="s">
        <v>22</v>
      </c>
      <c r="D7" s="183">
        <v>14972</v>
      </c>
      <c r="E7" s="779">
        <v>0</v>
      </c>
      <c r="F7" s="120">
        <v>2748264</v>
      </c>
      <c r="G7" s="782">
        <v>2755083</v>
      </c>
      <c r="H7" s="120">
        <f>IF(D7+F7&gt;E7+G7,(D7+F7)-(E7+G7),0)</f>
        <v>8153</v>
      </c>
      <c r="I7" s="782">
        <f t="shared" ref="I7:I36" si="0">IF(E7+G7&gt;D7+F7,(E7+G7)-(D7+F7),0)</f>
        <v>0</v>
      </c>
      <c r="J7" s="36" t="s">
        <v>234</v>
      </c>
      <c r="K7" s="36" t="s">
        <v>237</v>
      </c>
      <c r="L7" s="483" t="s">
        <v>667</v>
      </c>
      <c r="M7" s="347"/>
    </row>
    <row r="8" spans="1:13" s="341" customFormat="1" ht="34.5" customHeight="1">
      <c r="A8" s="618" t="s">
        <v>715</v>
      </c>
      <c r="B8" s="485"/>
      <c r="C8" s="169" t="s">
        <v>22</v>
      </c>
      <c r="D8" s="183">
        <v>0</v>
      </c>
      <c r="E8" s="779">
        <v>0</v>
      </c>
      <c r="F8" s="120">
        <v>14375</v>
      </c>
      <c r="G8" s="782">
        <v>0</v>
      </c>
      <c r="H8" s="120">
        <f t="shared" ref="H8" si="1">IF(D8+F8&gt;E8+G8,(D8+F8)-(E8+G8),0)</f>
        <v>14375</v>
      </c>
      <c r="I8" s="782">
        <f t="shared" ref="I8" si="2">IF(E8+G8&gt;D8+F8,(E8+G8)-(D8+F8),0)</f>
        <v>0</v>
      </c>
      <c r="J8" s="36" t="s">
        <v>234</v>
      </c>
      <c r="K8" s="36" t="s">
        <v>238</v>
      </c>
      <c r="L8" s="483" t="s">
        <v>667</v>
      </c>
    </row>
    <row r="9" spans="1:13" ht="34.5" customHeight="1">
      <c r="A9" s="618" t="s">
        <v>14</v>
      </c>
      <c r="B9" s="485"/>
      <c r="C9" s="169" t="s">
        <v>22</v>
      </c>
      <c r="D9" s="183">
        <v>104533.4</v>
      </c>
      <c r="E9" s="779">
        <v>0</v>
      </c>
      <c r="F9" s="120">
        <f>3719751+14100</f>
        <v>3733851</v>
      </c>
      <c r="G9" s="782">
        <v>3706152.75</v>
      </c>
      <c r="H9" s="120">
        <f t="shared" ref="H9:H36" si="3">IF(D9+F9&gt;E9+G9,(D9+F9)-(E9+G9),0)</f>
        <v>132231.64999999991</v>
      </c>
      <c r="I9" s="782">
        <f t="shared" si="0"/>
        <v>0</v>
      </c>
      <c r="J9" s="36" t="s">
        <v>234</v>
      </c>
      <c r="K9" s="36" t="s">
        <v>236</v>
      </c>
      <c r="L9" s="483"/>
      <c r="M9" s="347"/>
    </row>
    <row r="10" spans="1:13" ht="34.5" customHeight="1">
      <c r="A10" s="618" t="s">
        <v>223</v>
      </c>
      <c r="B10" s="485"/>
      <c r="C10" s="169" t="s">
        <v>22</v>
      </c>
      <c r="D10" s="183">
        <v>123515</v>
      </c>
      <c r="E10" s="779">
        <v>0</v>
      </c>
      <c r="F10" s="120">
        <v>6654371</v>
      </c>
      <c r="G10" s="782">
        <v>6325912</v>
      </c>
      <c r="H10" s="120">
        <f t="shared" si="3"/>
        <v>451974</v>
      </c>
      <c r="I10" s="782">
        <f t="shared" si="0"/>
        <v>0</v>
      </c>
      <c r="J10" s="36" t="s">
        <v>234</v>
      </c>
      <c r="K10" s="36" t="s">
        <v>236</v>
      </c>
      <c r="L10" s="483" t="s">
        <v>667</v>
      </c>
      <c r="M10" s="347"/>
    </row>
    <row r="11" spans="1:13" ht="34.5" customHeight="1">
      <c r="A11" s="618" t="s">
        <v>464</v>
      </c>
      <c r="B11" s="485"/>
      <c r="C11" s="169" t="s">
        <v>22</v>
      </c>
      <c r="D11" s="183">
        <v>41667</v>
      </c>
      <c r="E11" s="779">
        <v>0</v>
      </c>
      <c r="F11" s="120"/>
      <c r="G11" s="782">
        <v>41667</v>
      </c>
      <c r="H11" s="120">
        <f t="shared" si="3"/>
        <v>0</v>
      </c>
      <c r="I11" s="782">
        <f t="shared" si="0"/>
        <v>0</v>
      </c>
      <c r="J11" s="36"/>
      <c r="K11" s="36"/>
      <c r="L11" s="483"/>
    </row>
    <row r="12" spans="1:13" s="341" customFormat="1" ht="34.5" customHeight="1">
      <c r="A12" s="618" t="s">
        <v>1473</v>
      </c>
      <c r="B12" s="485"/>
      <c r="C12" s="169" t="s">
        <v>22</v>
      </c>
      <c r="D12" s="183">
        <v>0</v>
      </c>
      <c r="E12" s="779">
        <v>0</v>
      </c>
      <c r="F12" s="120">
        <f>186761+50000</f>
        <v>236761</v>
      </c>
      <c r="G12" s="782">
        <v>10000</v>
      </c>
      <c r="H12" s="120">
        <f t="shared" ref="H12" si="4">IF(D12+F12&gt;E12+G12,(D12+F12)-(E12+G12),0)</f>
        <v>226761</v>
      </c>
      <c r="I12" s="782">
        <f t="shared" ref="I12" si="5">IF(E12+G12&gt;D12+F12,(E12+G12)-(D12+F12),0)</f>
        <v>0</v>
      </c>
      <c r="J12" s="36" t="s">
        <v>234</v>
      </c>
      <c r="K12" s="36" t="s">
        <v>238</v>
      </c>
      <c r="L12" s="483" t="s">
        <v>667</v>
      </c>
    </row>
    <row r="13" spans="1:13" ht="34.5" customHeight="1">
      <c r="A13" s="618" t="s">
        <v>1471</v>
      </c>
      <c r="B13" s="485"/>
      <c r="C13" s="169" t="s">
        <v>22</v>
      </c>
      <c r="D13" s="183">
        <v>146400</v>
      </c>
      <c r="E13" s="779">
        <v>0</v>
      </c>
      <c r="F13" s="120">
        <v>703800</v>
      </c>
      <c r="G13" s="782">
        <v>728260</v>
      </c>
      <c r="H13" s="120">
        <f t="shared" si="3"/>
        <v>121940</v>
      </c>
      <c r="I13" s="782">
        <f t="shared" si="0"/>
        <v>0</v>
      </c>
      <c r="J13" s="36" t="s">
        <v>234</v>
      </c>
      <c r="K13" s="36" t="s">
        <v>236</v>
      </c>
      <c r="L13" s="483" t="s">
        <v>667</v>
      </c>
    </row>
    <row r="14" spans="1:13" ht="34.5" customHeight="1">
      <c r="A14" s="618" t="s">
        <v>1472</v>
      </c>
      <c r="B14" s="485"/>
      <c r="C14" s="169" t="s">
        <v>22</v>
      </c>
      <c r="D14" s="183">
        <v>57429</v>
      </c>
      <c r="E14" s="779">
        <v>0</v>
      </c>
      <c r="F14" s="120">
        <v>159367</v>
      </c>
      <c r="G14" s="782">
        <v>39800</v>
      </c>
      <c r="H14" s="120">
        <f t="shared" si="3"/>
        <v>176996</v>
      </c>
      <c r="I14" s="782">
        <f t="shared" si="0"/>
        <v>0</v>
      </c>
      <c r="J14" s="36" t="s">
        <v>234</v>
      </c>
      <c r="K14" s="36" t="s">
        <v>236</v>
      </c>
      <c r="L14" s="483" t="s">
        <v>667</v>
      </c>
    </row>
    <row r="15" spans="1:13" ht="34.5" customHeight="1">
      <c r="A15" s="618" t="s">
        <v>462</v>
      </c>
      <c r="B15" s="485"/>
      <c r="C15" s="169" t="s">
        <v>22</v>
      </c>
      <c r="D15" s="183">
        <v>189853</v>
      </c>
      <c r="E15" s="779">
        <v>0</v>
      </c>
      <c r="F15" s="120">
        <v>1105214</v>
      </c>
      <c r="G15" s="782">
        <v>189852.71</v>
      </c>
      <c r="H15" s="120">
        <f>IF(D15+F15&gt;E15+G15,(D15+F15)-(E15+G15),0)</f>
        <v>1105214.29</v>
      </c>
      <c r="I15" s="782">
        <f>IF(E15+G15&gt;D15+F15,(E15+G15)-(D15+F15),0)</f>
        <v>0</v>
      </c>
      <c r="J15" s="36" t="s">
        <v>234</v>
      </c>
      <c r="K15" s="36" t="s">
        <v>238</v>
      </c>
      <c r="L15" s="483" t="s">
        <v>667</v>
      </c>
    </row>
    <row r="16" spans="1:13" ht="34.5" customHeight="1">
      <c r="A16" s="618" t="s">
        <v>463</v>
      </c>
      <c r="B16" s="485"/>
      <c r="C16" s="169" t="s">
        <v>22</v>
      </c>
      <c r="D16" s="183">
        <v>220000</v>
      </c>
      <c r="E16" s="779">
        <v>0</v>
      </c>
      <c r="F16" s="120">
        <v>90000</v>
      </c>
      <c r="G16" s="782">
        <v>160000</v>
      </c>
      <c r="H16" s="120">
        <f>IF(D16+F16&gt;E16+G16,(D16+F16)-(E16+G16),0)</f>
        <v>150000</v>
      </c>
      <c r="I16" s="782">
        <f>IF(E16+G16&gt;D16+F16,(E16+G16)-(D16+F16),0)</f>
        <v>0</v>
      </c>
      <c r="J16" s="36" t="s">
        <v>234</v>
      </c>
      <c r="K16" s="36" t="s">
        <v>238</v>
      </c>
      <c r="L16" s="483" t="s">
        <v>667</v>
      </c>
    </row>
    <row r="17" spans="1:19" ht="34.5" customHeight="1">
      <c r="A17" s="618" t="s">
        <v>461</v>
      </c>
      <c r="B17" s="485"/>
      <c r="C17" s="169" t="s">
        <v>22</v>
      </c>
      <c r="D17" s="183">
        <v>69240</v>
      </c>
      <c r="E17" s="779">
        <v>0</v>
      </c>
      <c r="F17" s="120">
        <v>0</v>
      </c>
      <c r="G17" s="782">
        <v>0</v>
      </c>
      <c r="H17" s="120">
        <f t="shared" si="3"/>
        <v>69240</v>
      </c>
      <c r="I17" s="782">
        <f t="shared" si="0"/>
        <v>0</v>
      </c>
      <c r="J17" s="36"/>
      <c r="K17" s="36"/>
      <c r="L17" s="483" t="s">
        <v>667</v>
      </c>
    </row>
    <row r="18" spans="1:19" ht="34.5" customHeight="1">
      <c r="A18" s="618" t="s">
        <v>15</v>
      </c>
      <c r="B18" s="485"/>
      <c r="C18" s="169" t="s">
        <v>22</v>
      </c>
      <c r="D18" s="183">
        <v>11504544</v>
      </c>
      <c r="E18" s="779">
        <v>0</v>
      </c>
      <c r="F18" s="120">
        <v>17160694</v>
      </c>
      <c r="G18" s="782">
        <v>442647</v>
      </c>
      <c r="H18" s="120">
        <f t="shared" si="3"/>
        <v>28222591</v>
      </c>
      <c r="I18" s="782">
        <f t="shared" si="0"/>
        <v>0</v>
      </c>
      <c r="J18" s="36" t="s">
        <v>240</v>
      </c>
      <c r="K18" s="36" t="s">
        <v>239</v>
      </c>
      <c r="L18" s="483" t="s">
        <v>667</v>
      </c>
      <c r="M18" s="347"/>
    </row>
    <row r="19" spans="1:19" ht="34.5" customHeight="1">
      <c r="A19" s="618" t="s">
        <v>16</v>
      </c>
      <c r="B19" s="485"/>
      <c r="C19" s="169" t="s">
        <v>22</v>
      </c>
      <c r="D19" s="183">
        <v>0</v>
      </c>
      <c r="E19" s="779">
        <v>3556059</v>
      </c>
      <c r="F19" s="120">
        <v>140682</v>
      </c>
      <c r="G19" s="782">
        <v>2326383</v>
      </c>
      <c r="H19" s="120">
        <f t="shared" ref="H19:H27" si="6">IF(D19+F19&gt;E19+G19,(D19+F19)-(E19+G19),0)</f>
        <v>0</v>
      </c>
      <c r="I19" s="782">
        <f t="shared" ref="I19:I34" si="7">IF(E19+G19&gt;D19+F19,(E19+G19)-(D19+F19),0)</f>
        <v>5741760</v>
      </c>
      <c r="J19" s="36"/>
      <c r="K19" s="36" t="s">
        <v>245</v>
      </c>
      <c r="L19" s="483" t="s">
        <v>667</v>
      </c>
    </row>
    <row r="20" spans="1:19" ht="34.5" customHeight="1">
      <c r="A20" s="618" t="s">
        <v>468</v>
      </c>
      <c r="B20" s="485"/>
      <c r="C20" s="169" t="s">
        <v>22</v>
      </c>
      <c r="D20" s="183">
        <v>0</v>
      </c>
      <c r="E20" s="779">
        <v>3473328</v>
      </c>
      <c r="F20" s="120">
        <v>3113972.86</v>
      </c>
      <c r="G20" s="782">
        <v>16069868.67</v>
      </c>
      <c r="H20" s="120">
        <f t="shared" si="6"/>
        <v>0</v>
      </c>
      <c r="I20" s="782">
        <f t="shared" si="7"/>
        <v>16429223.810000002</v>
      </c>
      <c r="J20" s="36" t="s">
        <v>235</v>
      </c>
      <c r="K20" s="36" t="s">
        <v>246</v>
      </c>
      <c r="L20" s="483" t="s">
        <v>667</v>
      </c>
      <c r="S20" s="103"/>
    </row>
    <row r="21" spans="1:19" ht="34.5" customHeight="1">
      <c r="A21" s="618" t="s">
        <v>17</v>
      </c>
      <c r="B21" s="485"/>
      <c r="C21" s="169" t="s">
        <v>22</v>
      </c>
      <c r="D21" s="183">
        <v>0</v>
      </c>
      <c r="E21" s="779">
        <v>0</v>
      </c>
      <c r="F21" s="120">
        <v>0</v>
      </c>
      <c r="G21" s="782">
        <v>0</v>
      </c>
      <c r="H21" s="120">
        <f t="shared" si="6"/>
        <v>0</v>
      </c>
      <c r="I21" s="782">
        <f t="shared" si="7"/>
        <v>0</v>
      </c>
      <c r="J21" s="36" t="s">
        <v>235</v>
      </c>
      <c r="K21" s="36" t="s">
        <v>244</v>
      </c>
      <c r="S21" s="734"/>
    </row>
    <row r="22" spans="1:19" ht="34.5" customHeight="1">
      <c r="A22" s="618" t="s">
        <v>466</v>
      </c>
      <c r="B22" s="485"/>
      <c r="C22" s="169" t="s">
        <v>22</v>
      </c>
      <c r="D22" s="183">
        <v>0</v>
      </c>
      <c r="E22" s="779">
        <v>23642</v>
      </c>
      <c r="F22" s="120">
        <f>51985+8344</f>
        <v>60329</v>
      </c>
      <c r="G22" s="782">
        <v>40036</v>
      </c>
      <c r="H22" s="120">
        <f t="shared" si="6"/>
        <v>0</v>
      </c>
      <c r="I22" s="782">
        <f t="shared" si="7"/>
        <v>3349</v>
      </c>
      <c r="J22" s="36" t="s">
        <v>235</v>
      </c>
      <c r="K22" s="36" t="s">
        <v>246</v>
      </c>
      <c r="L22" s="483" t="s">
        <v>667</v>
      </c>
    </row>
    <row r="23" spans="1:19" ht="34.5" customHeight="1">
      <c r="A23" s="618" t="s">
        <v>1481</v>
      </c>
      <c r="B23" s="485"/>
      <c r="C23" s="169" t="s">
        <v>22</v>
      </c>
      <c r="D23" s="183">
        <v>0</v>
      </c>
      <c r="E23" s="779">
        <v>1994711</v>
      </c>
      <c r="F23" s="120">
        <v>3675555</v>
      </c>
      <c r="G23" s="782">
        <v>5211805</v>
      </c>
      <c r="H23" s="120">
        <f t="shared" si="6"/>
        <v>0</v>
      </c>
      <c r="I23" s="782">
        <f t="shared" si="7"/>
        <v>3530961</v>
      </c>
      <c r="J23" s="36" t="s">
        <v>235</v>
      </c>
      <c r="K23" s="36" t="s">
        <v>246</v>
      </c>
      <c r="L23" s="483" t="s">
        <v>667</v>
      </c>
    </row>
    <row r="24" spans="1:19" ht="34.5" customHeight="1">
      <c r="A24" s="618" t="s">
        <v>1482</v>
      </c>
      <c r="B24" s="485"/>
      <c r="C24" s="169" t="s">
        <v>22</v>
      </c>
      <c r="D24" s="183">
        <v>0</v>
      </c>
      <c r="E24" s="779">
        <v>750000</v>
      </c>
      <c r="F24" s="120">
        <f>750000</f>
        <v>750000</v>
      </c>
      <c r="G24" s="782">
        <v>40000</v>
      </c>
      <c r="H24" s="120">
        <f t="shared" si="6"/>
        <v>0</v>
      </c>
      <c r="I24" s="782">
        <f t="shared" si="7"/>
        <v>40000</v>
      </c>
      <c r="J24" s="36" t="s">
        <v>235</v>
      </c>
      <c r="K24" s="36" t="s">
        <v>246</v>
      </c>
      <c r="L24" s="483" t="s">
        <v>667</v>
      </c>
    </row>
    <row r="25" spans="1:19" ht="34.5" customHeight="1">
      <c r="A25" s="618" t="s">
        <v>19</v>
      </c>
      <c r="B25" s="485"/>
      <c r="C25" s="169" t="s">
        <v>22</v>
      </c>
      <c r="D25" s="183">
        <v>0</v>
      </c>
      <c r="E25" s="779">
        <v>78007</v>
      </c>
      <c r="F25" s="120">
        <v>79631.23</v>
      </c>
      <c r="G25" s="782">
        <v>0</v>
      </c>
      <c r="H25" s="120">
        <f t="shared" si="6"/>
        <v>1624.2299999999959</v>
      </c>
      <c r="I25" s="782">
        <f t="shared" si="7"/>
        <v>0</v>
      </c>
      <c r="J25" s="36" t="s">
        <v>235</v>
      </c>
      <c r="K25" s="36" t="s">
        <v>245</v>
      </c>
      <c r="L25" s="483" t="s">
        <v>667</v>
      </c>
      <c r="S25" s="103"/>
    </row>
    <row r="26" spans="1:19" ht="34.5" customHeight="1">
      <c r="A26" s="618" t="s">
        <v>8</v>
      </c>
      <c r="B26" s="485"/>
      <c r="C26" s="169" t="s">
        <v>22</v>
      </c>
      <c r="D26" s="183">
        <v>0</v>
      </c>
      <c r="E26" s="779">
        <v>207036</v>
      </c>
      <c r="F26" s="120">
        <v>0</v>
      </c>
      <c r="G26" s="782">
        <v>95000</v>
      </c>
      <c r="H26" s="120">
        <f t="shared" si="6"/>
        <v>0</v>
      </c>
      <c r="I26" s="782">
        <f t="shared" si="7"/>
        <v>302036</v>
      </c>
      <c r="J26" s="36" t="s">
        <v>235</v>
      </c>
      <c r="K26" s="36" t="s">
        <v>245</v>
      </c>
      <c r="L26" s="483" t="s">
        <v>667</v>
      </c>
      <c r="S26" s="103"/>
    </row>
    <row r="27" spans="1:19" ht="34.5" customHeight="1">
      <c r="A27" s="618" t="s">
        <v>469</v>
      </c>
      <c r="B27" s="485"/>
      <c r="C27" s="169" t="s">
        <v>22</v>
      </c>
      <c r="D27" s="183">
        <v>0</v>
      </c>
      <c r="E27" s="779">
        <v>69240</v>
      </c>
      <c r="F27" s="120">
        <v>0</v>
      </c>
      <c r="G27" s="782">
        <v>0</v>
      </c>
      <c r="H27" s="120">
        <f t="shared" si="6"/>
        <v>0</v>
      </c>
      <c r="I27" s="782">
        <f t="shared" si="7"/>
        <v>69240</v>
      </c>
      <c r="J27" s="36"/>
      <c r="K27" s="36"/>
      <c r="L27" s="483" t="s">
        <v>667</v>
      </c>
      <c r="S27" s="103"/>
    </row>
    <row r="28" spans="1:19" s="341" customFormat="1" ht="34.5" customHeight="1">
      <c r="A28" s="618" t="s">
        <v>721</v>
      </c>
      <c r="B28" s="485"/>
      <c r="C28" s="169" t="s">
        <v>22</v>
      </c>
      <c r="D28" s="183">
        <v>0</v>
      </c>
      <c r="E28" s="779">
        <v>0</v>
      </c>
      <c r="F28" s="120">
        <v>0</v>
      </c>
      <c r="G28" s="782">
        <v>416210.19</v>
      </c>
      <c r="H28" s="120">
        <f t="shared" ref="H28" si="8">IF(D28+F28&gt;E28+G28,(D28+F28)-(E28+G28),0)</f>
        <v>0</v>
      </c>
      <c r="I28" s="782">
        <f t="shared" si="7"/>
        <v>416210.19</v>
      </c>
      <c r="J28" s="36" t="s">
        <v>235</v>
      </c>
      <c r="K28" s="36" t="s">
        <v>246</v>
      </c>
      <c r="L28" s="483" t="s">
        <v>667</v>
      </c>
      <c r="S28" s="103"/>
    </row>
    <row r="29" spans="1:19" ht="34.5" customHeight="1">
      <c r="A29" s="618" t="s">
        <v>20</v>
      </c>
      <c r="B29" s="485"/>
      <c r="C29" s="169" t="s">
        <v>22</v>
      </c>
      <c r="D29" s="183">
        <v>0</v>
      </c>
      <c r="E29" s="779">
        <v>1225000</v>
      </c>
      <c r="F29" s="120"/>
      <c r="G29" s="782">
        <v>50000</v>
      </c>
      <c r="H29" s="120">
        <f t="shared" ref="H29:H35" si="9">IF(D29+F29&gt;E29+G29,(D29+F29)-(E29+G29),0)</f>
        <v>0</v>
      </c>
      <c r="I29" s="782">
        <f t="shared" si="7"/>
        <v>1275000</v>
      </c>
      <c r="J29" s="36"/>
      <c r="K29" s="36" t="s">
        <v>241</v>
      </c>
      <c r="S29" s="103"/>
    </row>
    <row r="30" spans="1:19" ht="34.5" customHeight="1">
      <c r="A30" s="618" t="s">
        <v>21</v>
      </c>
      <c r="B30" s="485"/>
      <c r="C30" s="169" t="s">
        <v>22</v>
      </c>
      <c r="D30" s="183"/>
      <c r="E30" s="779">
        <v>1627163.93</v>
      </c>
      <c r="F30" s="120"/>
      <c r="G30" s="782"/>
      <c r="H30" s="120">
        <f t="shared" si="9"/>
        <v>0</v>
      </c>
      <c r="I30" s="782">
        <f t="shared" si="7"/>
        <v>1627163.93</v>
      </c>
      <c r="J30" s="36"/>
      <c r="K30" s="36" t="s">
        <v>241</v>
      </c>
    </row>
    <row r="31" spans="1:19" ht="34.5" customHeight="1">
      <c r="A31" s="618" t="s">
        <v>224</v>
      </c>
      <c r="B31" s="485"/>
      <c r="C31" s="169" t="s">
        <v>22</v>
      </c>
      <c r="D31" s="183">
        <v>0</v>
      </c>
      <c r="E31" s="779">
        <v>0</v>
      </c>
      <c r="F31" s="120"/>
      <c r="G31" s="782"/>
      <c r="H31" s="120">
        <f t="shared" si="9"/>
        <v>0</v>
      </c>
      <c r="I31" s="782">
        <f t="shared" si="7"/>
        <v>0</v>
      </c>
      <c r="J31" s="36"/>
      <c r="K31" s="36" t="s">
        <v>241</v>
      </c>
    </row>
    <row r="32" spans="1:19" ht="34.5" customHeight="1">
      <c r="A32" s="618" t="s">
        <v>225</v>
      </c>
      <c r="B32" s="485"/>
      <c r="C32" s="169" t="s">
        <v>233</v>
      </c>
      <c r="D32" s="183">
        <v>0</v>
      </c>
      <c r="E32" s="779">
        <v>0</v>
      </c>
      <c r="F32" s="120">
        <v>402447</v>
      </c>
      <c r="G32" s="782">
        <v>12088262</v>
      </c>
      <c r="H32" s="120">
        <f t="shared" si="9"/>
        <v>0</v>
      </c>
      <c r="I32" s="782">
        <f t="shared" si="7"/>
        <v>11685815</v>
      </c>
      <c r="J32" s="36"/>
      <c r="K32" s="36" t="s">
        <v>243</v>
      </c>
      <c r="L32" s="483" t="s">
        <v>667</v>
      </c>
      <c r="P32" s="122"/>
    </row>
    <row r="33" spans="1:14" ht="34.5" customHeight="1">
      <c r="A33" s="618" t="s">
        <v>226</v>
      </c>
      <c r="B33" s="485"/>
      <c r="C33" s="169" t="s">
        <v>233</v>
      </c>
      <c r="D33" s="183">
        <v>0</v>
      </c>
      <c r="E33" s="779">
        <v>0</v>
      </c>
      <c r="F33" s="120">
        <f>8680702.09-2272839+8610+2700</f>
        <v>6419173.0899999999</v>
      </c>
      <c r="G33" s="782"/>
      <c r="H33" s="120">
        <f t="shared" si="9"/>
        <v>6419173.0899999999</v>
      </c>
      <c r="I33" s="782">
        <f t="shared" si="7"/>
        <v>0</v>
      </c>
      <c r="J33" s="36"/>
      <c r="K33" s="36" t="s">
        <v>242</v>
      </c>
      <c r="L33" s="483" t="s">
        <v>667</v>
      </c>
    </row>
    <row r="34" spans="1:14" ht="34.5" customHeight="1">
      <c r="A34" s="618" t="s">
        <v>227</v>
      </c>
      <c r="B34" s="485"/>
      <c r="C34" s="169" t="s">
        <v>233</v>
      </c>
      <c r="D34" s="183">
        <v>0</v>
      </c>
      <c r="E34" s="779">
        <v>0</v>
      </c>
      <c r="F34" s="120">
        <f>1569440.41-56306+95000+10300</f>
        <v>1618434.41</v>
      </c>
      <c r="G34" s="782"/>
      <c r="H34" s="120">
        <f t="shared" si="9"/>
        <v>1618434.41</v>
      </c>
      <c r="I34" s="782">
        <f t="shared" si="7"/>
        <v>0</v>
      </c>
      <c r="J34" s="36"/>
      <c r="K34" s="36" t="s">
        <v>242</v>
      </c>
      <c r="L34" s="483" t="s">
        <v>667</v>
      </c>
    </row>
    <row r="35" spans="1:14" ht="34.5" customHeight="1">
      <c r="A35" s="618" t="s">
        <v>228</v>
      </c>
      <c r="B35" s="485"/>
      <c r="C35" s="169" t="s">
        <v>233</v>
      </c>
      <c r="D35" s="183">
        <v>0</v>
      </c>
      <c r="E35" s="779">
        <v>0</v>
      </c>
      <c r="F35" s="120">
        <v>2326383</v>
      </c>
      <c r="G35" s="782">
        <v>0</v>
      </c>
      <c r="H35" s="120">
        <f t="shared" si="9"/>
        <v>2326383</v>
      </c>
      <c r="I35" s="782">
        <f t="shared" si="0"/>
        <v>0</v>
      </c>
      <c r="J35" s="36"/>
      <c r="K35" s="36" t="s">
        <v>242</v>
      </c>
      <c r="L35" s="483" t="s">
        <v>667</v>
      </c>
    </row>
    <row r="36" spans="1:14" ht="34.5" customHeight="1" thickBot="1">
      <c r="A36" s="618" t="s">
        <v>290</v>
      </c>
      <c r="B36" s="485"/>
      <c r="C36" s="169" t="s">
        <v>233</v>
      </c>
      <c r="D36" s="183">
        <v>0</v>
      </c>
      <c r="E36" s="779">
        <v>0</v>
      </c>
      <c r="F36" s="120"/>
      <c r="G36" s="782"/>
      <c r="H36" s="120">
        <f t="shared" si="3"/>
        <v>0</v>
      </c>
      <c r="I36" s="782">
        <f t="shared" si="0"/>
        <v>0</v>
      </c>
      <c r="J36" s="36"/>
      <c r="K36" s="36"/>
      <c r="L36" s="484"/>
    </row>
    <row r="37" spans="1:14" ht="30" customHeight="1" thickTop="1" thickBot="1">
      <c r="A37" s="770" t="s">
        <v>9</v>
      </c>
      <c r="B37" s="771" t="s">
        <v>1392</v>
      </c>
      <c r="C37" s="731"/>
      <c r="D37" s="764">
        <f t="shared" ref="D37:I37" si="10">SUBTOTAL(9,D6:D36)</f>
        <v>13004186.93</v>
      </c>
      <c r="E37" s="780">
        <f t="shared" si="10"/>
        <v>13004186.93</v>
      </c>
      <c r="F37" s="764">
        <f t="shared" si="10"/>
        <v>56049190.589999989</v>
      </c>
      <c r="G37" s="780">
        <f t="shared" si="10"/>
        <v>56049190.490000002</v>
      </c>
      <c r="H37" s="764">
        <f t="shared" si="10"/>
        <v>41120759.030000001</v>
      </c>
      <c r="I37" s="780">
        <f t="shared" si="10"/>
        <v>41120758.930000007</v>
      </c>
      <c r="J37" s="66"/>
      <c r="K37" s="66"/>
    </row>
    <row r="38" spans="1:14" s="735" customFormat="1" ht="21.75" thickTop="1">
      <c r="B38" s="736" t="s">
        <v>1392</v>
      </c>
      <c r="C38" s="762"/>
      <c r="D38" s="737"/>
      <c r="E38" s="737">
        <f>D37-E37</f>
        <v>0</v>
      </c>
      <c r="F38" s="766"/>
      <c r="G38" s="763">
        <f>F37-G37</f>
        <v>9.9999986588954926E-2</v>
      </c>
      <c r="H38" s="766"/>
      <c r="I38" s="763">
        <f>H37-I37</f>
        <v>9.9999994039535522E-2</v>
      </c>
      <c r="N38" s="737"/>
    </row>
    <row r="39" spans="1:14" ht="35.25" customHeight="1">
      <c r="A39" s="671" t="s">
        <v>394</v>
      </c>
      <c r="B39" s="671"/>
      <c r="C39" s="671"/>
      <c r="D39" s="671"/>
      <c r="E39" s="671" t="s">
        <v>10</v>
      </c>
      <c r="F39" s="671"/>
      <c r="G39" s="772"/>
      <c r="H39" s="672" t="s">
        <v>11</v>
      </c>
      <c r="I39" s="672"/>
      <c r="J39" s="176"/>
      <c r="K39" s="176"/>
      <c r="N39" s="173"/>
    </row>
    <row r="40" spans="1:14" ht="21" customHeight="1">
      <c r="A40" s="681"/>
      <c r="B40" s="681"/>
      <c r="C40" s="681"/>
      <c r="D40" s="681"/>
      <c r="E40" s="681"/>
      <c r="F40" s="681"/>
      <c r="G40" s="681"/>
      <c r="H40" s="765"/>
      <c r="I40" s="765"/>
      <c r="N40" s="173"/>
    </row>
  </sheetData>
  <autoFilter ref="A5:S39" xr:uid="{CFE4B42C-4C1C-4EC3-9456-40DB407DEAED}"/>
  <mergeCells count="11">
    <mergeCell ref="A40:I40"/>
    <mergeCell ref="A39:D39"/>
    <mergeCell ref="E39:F39"/>
    <mergeCell ref="H39:I39"/>
    <mergeCell ref="A1:I2"/>
    <mergeCell ref="A3:I3"/>
    <mergeCell ref="A4:A5"/>
    <mergeCell ref="D4:E4"/>
    <mergeCell ref="F4:G4"/>
    <mergeCell ref="H4:I4"/>
    <mergeCell ref="B4:B5"/>
  </mergeCells>
  <hyperlinks>
    <hyperlink ref="A6" location="'تسوية البنك'!Print_Area" display="البنك" xr:uid="{00000000-0004-0000-0600-000000000000}"/>
    <hyperlink ref="A20" location="'أطراف ذات علاقة 2017'!A1" display="الذمم الدائنة (أطراف ذوي علاقة (الفهاد+الحراسات+ الوان )" xr:uid="{00000000-0004-0000-0600-000001000000}"/>
    <hyperlink ref="A9" location="'الذمم  2017 '!A1" display="عهد العاملين" xr:uid="{00000000-0004-0000-0600-000002000000}"/>
    <hyperlink ref="A15" location="'الإيرادات المستحقة  2017'!A1" display="أرصدة مدينة اخرى (إيرادات مستحقة)  " xr:uid="{00000000-0004-0000-0600-000003000000}"/>
    <hyperlink ref="A23" location="'الموردون 2017'!A1" display="الموردون ( الدائنون التجاريون )" xr:uid="{00000000-0004-0000-0600-000004000000}"/>
    <hyperlink ref="A28" location="'الإيرادات المقدمة 2017'!A1" display="الإيرادات المقدمة" xr:uid="{00000000-0004-0000-0600-000005000000}"/>
    <hyperlink ref="A12:A14" location="'إيرادات مستحقة وأرصدة مدينة أخر'!A1" display="ذمم العملاء (تسويات الفهاد)  " xr:uid="{00000000-0004-0000-0600-000006000000}"/>
    <hyperlink ref="A10" location="'الذمم  2017 '!A1" display="عهد العاملين" xr:uid="{00000000-0004-0000-0600-000007000000}"/>
    <hyperlink ref="A18" location="'الأصول الثابتة'!A1" display="الأصول الثابتة" xr:uid="{6CD72923-F21C-4F4A-810D-A31DC045D8EF}"/>
    <hyperlink ref="A19" location="'الأصول الثابتة'!A1" display="مجمع إهلاك الأصول " xr:uid="{4874BAD1-6A70-48D6-AE05-C071F2990195}"/>
    <hyperlink ref="A35" location="'الأصول الثابتة'!A1" display="إهلاك العام" xr:uid="{BF10F8CB-FAAA-4364-9667-F611C3E088FF}"/>
    <hyperlink ref="A33:A34" location="'الإيضاحات 2017 expenses'!Print_Area" display="مصاريف العمليات" xr:uid="{1C81ADE5-0AD6-444D-8DF8-134C76C1A63F}"/>
  </hyperlinks>
  <printOptions horizontalCentered="1"/>
  <pageMargins left="0" right="0" top="0.59055118110236227" bottom="0" header="0" footer="0"/>
  <pageSetup scale="55" orientation="portrait" r:id="rId1"/>
  <colBreaks count="1" manualBreakCount="1">
    <brk id="11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4"/>
  <dimension ref="A1:AO279"/>
  <sheetViews>
    <sheetView rightToLeft="1" tabSelected="1" zoomScale="50" zoomScaleNormal="50" zoomScaleSheetLayoutView="1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M2" sqref="M2"/>
    </sheetView>
  </sheetViews>
  <sheetFormatPr defaultColWidth="9.140625" defaultRowHeight="15"/>
  <cols>
    <col min="1" max="1" width="7.42578125" style="189" customWidth="1"/>
    <col min="2" max="2" width="32.5703125" style="189" customWidth="1"/>
    <col min="3" max="4" width="18.5703125" style="189" customWidth="1"/>
    <col min="5" max="5" width="24.28515625" style="189" customWidth="1"/>
    <col min="6" max="6" width="12" style="189" customWidth="1"/>
    <col min="7" max="7" width="11.140625" style="189" customWidth="1"/>
    <col min="8" max="9" width="21.28515625" style="189" customWidth="1"/>
    <col min="10" max="10" width="21.28515625" style="192" customWidth="1"/>
    <col min="11" max="11" width="21.28515625" style="189" customWidth="1"/>
    <col min="12" max="12" width="35.85546875" style="189" customWidth="1"/>
    <col min="13" max="13" width="28.42578125" style="190" customWidth="1"/>
    <col min="14" max="14" width="12.5703125" style="189" customWidth="1"/>
    <col min="15" max="15" width="13" style="192" customWidth="1"/>
    <col min="16" max="16" width="21.28515625" style="189" customWidth="1"/>
    <col min="17" max="17" width="19.85546875" style="189" customWidth="1"/>
    <col min="18" max="18" width="20.140625" style="190" customWidth="1"/>
    <col min="19" max="19" width="15.5703125" style="191" customWidth="1"/>
    <col min="20" max="26" width="15.5703125" style="189" customWidth="1"/>
    <col min="27" max="27" width="21" style="189" customWidth="1"/>
    <col min="28" max="28" width="17.28515625" style="189" customWidth="1"/>
    <col min="29" max="29" width="13.28515625" style="189" customWidth="1"/>
    <col min="30" max="30" width="11.85546875" style="189" customWidth="1"/>
    <col min="31" max="31" width="21" style="189" customWidth="1"/>
    <col min="32" max="32" width="17.5703125" style="189" customWidth="1"/>
    <col min="33" max="33" width="23.42578125" style="189" customWidth="1"/>
    <col min="34" max="36" width="16" style="189" customWidth="1"/>
    <col min="37" max="37" width="16" style="190" customWidth="1"/>
    <col min="38" max="38" width="24.28515625" style="189" customWidth="1"/>
    <col min="39" max="39" width="27" style="189" customWidth="1"/>
    <col min="40" max="40" width="9.140625" style="189"/>
    <col min="41" max="41" width="24.140625" style="189" bestFit="1" customWidth="1"/>
    <col min="42" max="16384" width="9.140625" style="189"/>
  </cols>
  <sheetData>
    <row r="1" spans="1:41" ht="35.25" customHeight="1" thickBot="1">
      <c r="H1" s="338" t="s">
        <v>659</v>
      </c>
      <c r="I1" s="337" t="s">
        <v>658</v>
      </c>
      <c r="J1" s="336" t="s">
        <v>657</v>
      </c>
      <c r="K1" s="335" t="s">
        <v>656</v>
      </c>
      <c r="L1" s="334"/>
      <c r="M1" s="330"/>
      <c r="O1" s="333"/>
      <c r="P1" s="332"/>
      <c r="AB1" s="332"/>
      <c r="AC1" s="331"/>
      <c r="AE1" s="331"/>
      <c r="AG1" s="331"/>
      <c r="AH1" s="331"/>
      <c r="AI1" s="331"/>
      <c r="AJ1" s="331"/>
      <c r="AK1" s="330"/>
    </row>
    <row r="2" spans="1:41" s="311" customFormat="1" ht="61.5" customHeight="1" thickBot="1">
      <c r="H2" s="329">
        <f ca="1">SUMPRODUCT(SUBTOTAL(109,OFFSET(Table51013454[الإجمالي],ROW(Table51013454[الإجمالي])-ROW(Q$6),,1)),--(Table51013454[تاريخ الشراء-الاستلام]&lt;DATE(2017,1,1)))</f>
        <v>259597.68</v>
      </c>
      <c r="I2" s="328">
        <f ca="1">SUMPRODUCT(SUBTOTAL(109,OFFSET(Table51013454[الإجمالي],ROW(Table51013454[الإجمالي])-ROW(Q$6),,1)),--(Table51013454[تاريخ الشراء-الاستلام]&gt;=DATE(2017,1,1)))</f>
        <v>808300</v>
      </c>
      <c r="J2" s="327">
        <f ca="1">SUMPRODUCT(SUBTOTAL(109,OFFSET(Table51013454[إجمالي المستبعد],ROW(Table51013454[إجمالي المستبعد])-ROW(Q$6),,1)),--(Table51013454[التاريخ]&gt;=DATE(2017,1,1)))</f>
        <v>0</v>
      </c>
      <c r="K2" s="326">
        <f ca="1">SUM(H2:I2)-J2</f>
        <v>1067897.68</v>
      </c>
      <c r="L2" s="325"/>
      <c r="M2" s="324"/>
      <c r="N2" s="313">
        <f>SUBTOTAL(9,Table51013454[الكمية])</f>
        <v>816</v>
      </c>
      <c r="O2" s="323"/>
      <c r="P2" s="322"/>
      <c r="Q2" s="313">
        <f>SUBTOTAL(9,Table51013454[الإجمالي])</f>
        <v>1067897.68</v>
      </c>
      <c r="R2" s="321"/>
      <c r="S2" s="320"/>
      <c r="T2" s="319"/>
      <c r="U2" s="319"/>
      <c r="V2" s="319"/>
      <c r="W2" s="313">
        <f>SUBTOTAL(9,Table51013454[إجمالي المستبعد])</f>
        <v>0</v>
      </c>
      <c r="X2" s="313">
        <f>SUBTOTAL(9,Table51013454[اهلاك المستبعد
في 2017])</f>
        <v>0</v>
      </c>
      <c r="Y2" s="313">
        <f>SUBTOTAL(9,Table51013454[العدد2])</f>
        <v>816</v>
      </c>
      <c r="Z2" s="319"/>
      <c r="AA2" s="313">
        <f>SUBTOTAL(9,Table51013454[الإجمالي الصافي])</f>
        <v>1067897.68</v>
      </c>
      <c r="AB2" s="318"/>
      <c r="AC2" s="317"/>
      <c r="AD2" s="316"/>
      <c r="AE2" s="313">
        <f>SUBTOTAL(9,Table51013454[مجمع الاهلاك 
في 01-01-2017])</f>
        <v>24886.611695342537</v>
      </c>
      <c r="AF2" s="315"/>
      <c r="AG2" s="314">
        <f>SUBTOTAL(9,Table51013454[مصروف الاهلاك 2017])</f>
        <v>110435.98076712328</v>
      </c>
      <c r="AH2" s="314">
        <f>SUBTOTAL(9,Table51013454[مجمع إهلاك المستبعد 
01-01-2017])</f>
        <v>0</v>
      </c>
      <c r="AI2" s="314">
        <f>SUBTOTAL(9,Table51013454[مجمع إهلاك المستبعد 
بتاريخ الأستبعاد])</f>
        <v>0</v>
      </c>
      <c r="AJ2" s="314">
        <f>SUBTOTAL(9,Table51013454[الربح/الخسارة من الاستبعاد])</f>
        <v>0</v>
      </c>
      <c r="AK2" s="190"/>
      <c r="AL2" s="313">
        <f>SUBTOTAL(9,Table51013454[مجمع الاهلاك
في 31-12-2017])</f>
        <v>135322.59246246581</v>
      </c>
      <c r="AM2" s="313">
        <f>SUBTOTAL(9,Table51013454[القيمة الدفترية 
في 31-12-2017])</f>
        <v>932575.08753753419</v>
      </c>
      <c r="AO2" s="312"/>
    </row>
    <row r="3" spans="1:41" ht="45.75" customHeight="1" thickBot="1">
      <c r="B3" s="310"/>
      <c r="C3" s="310"/>
      <c r="D3" s="310"/>
      <c r="AF3" s="340">
        <f>AE2+AG2</f>
        <v>135322.59246246581</v>
      </c>
    </row>
    <row r="4" spans="1:41" ht="45.75" customHeight="1" thickTop="1">
      <c r="B4" s="310"/>
      <c r="C4" s="310"/>
      <c r="D4" s="310"/>
      <c r="M4" s="667" t="s">
        <v>422</v>
      </c>
      <c r="N4" s="668"/>
      <c r="O4" s="668"/>
      <c r="P4" s="668"/>
      <c r="Q4" s="669"/>
      <c r="R4" s="664" t="s">
        <v>423</v>
      </c>
      <c r="S4" s="665"/>
      <c r="T4" s="665"/>
      <c r="U4" s="665"/>
      <c r="V4" s="665"/>
      <c r="W4" s="665"/>
      <c r="X4" s="666"/>
      <c r="Y4" s="663" t="s">
        <v>424</v>
      </c>
      <c r="Z4" s="663"/>
      <c r="AA4" s="663"/>
    </row>
    <row r="5" spans="1:41" s="288" customFormat="1" ht="94.5">
      <c r="A5" s="309" t="s">
        <v>22</v>
      </c>
      <c r="B5" s="292" t="s">
        <v>37</v>
      </c>
      <c r="C5" s="292" t="s">
        <v>38</v>
      </c>
      <c r="D5" s="292" t="s">
        <v>655</v>
      </c>
      <c r="E5" s="292" t="s">
        <v>39</v>
      </c>
      <c r="F5" s="308" t="s">
        <v>40</v>
      </c>
      <c r="G5" s="292" t="s">
        <v>425</v>
      </c>
      <c r="H5" s="292" t="s">
        <v>41</v>
      </c>
      <c r="I5" s="292" t="s">
        <v>42</v>
      </c>
      <c r="J5" s="307" t="s">
        <v>426</v>
      </c>
      <c r="K5" s="292" t="s">
        <v>427</v>
      </c>
      <c r="L5" s="306" t="s">
        <v>43</v>
      </c>
      <c r="M5" s="305" t="s">
        <v>654</v>
      </c>
      <c r="N5" s="304" t="s">
        <v>44</v>
      </c>
      <c r="O5" s="303" t="s">
        <v>45</v>
      </c>
      <c r="P5" s="302" t="s">
        <v>46</v>
      </c>
      <c r="Q5" s="301" t="s">
        <v>9</v>
      </c>
      <c r="R5" s="300" t="s">
        <v>36</v>
      </c>
      <c r="S5" s="299" t="s">
        <v>428</v>
      </c>
      <c r="T5" s="298" t="s">
        <v>429</v>
      </c>
      <c r="U5" s="297" t="s">
        <v>430</v>
      </c>
      <c r="V5" s="296" t="s">
        <v>431</v>
      </c>
      <c r="W5" s="296" t="s">
        <v>432</v>
      </c>
      <c r="X5" s="295" t="s">
        <v>653</v>
      </c>
      <c r="Y5" s="294" t="s">
        <v>433</v>
      </c>
      <c r="Z5" s="290" t="s">
        <v>434</v>
      </c>
      <c r="AA5" s="290" t="s">
        <v>435</v>
      </c>
      <c r="AB5" s="293" t="s">
        <v>47</v>
      </c>
      <c r="AC5" s="292" t="s">
        <v>48</v>
      </c>
      <c r="AD5" s="292" t="s">
        <v>49</v>
      </c>
      <c r="AE5" s="292" t="s">
        <v>652</v>
      </c>
      <c r="AF5" s="290" t="s">
        <v>651</v>
      </c>
      <c r="AG5" s="290" t="s">
        <v>650</v>
      </c>
      <c r="AH5" s="290" t="s">
        <v>649</v>
      </c>
      <c r="AI5" s="290" t="s">
        <v>648</v>
      </c>
      <c r="AJ5" s="290" t="s">
        <v>647</v>
      </c>
      <c r="AK5" s="291" t="s">
        <v>646</v>
      </c>
      <c r="AL5" s="290" t="s">
        <v>645</v>
      </c>
      <c r="AM5" s="289" t="s">
        <v>644</v>
      </c>
    </row>
    <row r="6" spans="1:41" s="260" customFormat="1" ht="57.75" hidden="1" customHeight="1">
      <c r="A6" s="239">
        <f>IF(B6="","",SUBTOTAL(3,$B$6:B6))</f>
        <v>0</v>
      </c>
      <c r="B6" s="230" t="s">
        <v>50</v>
      </c>
      <c r="C6" s="238" t="s">
        <v>12</v>
      </c>
      <c r="D6" s="238" t="s">
        <v>529</v>
      </c>
      <c r="E6" s="230" t="s">
        <v>51</v>
      </c>
      <c r="F6" s="230" t="s">
        <v>52</v>
      </c>
      <c r="G6" s="230" t="s">
        <v>437</v>
      </c>
      <c r="H6" s="231" t="s">
        <v>53</v>
      </c>
      <c r="I6" s="230" t="s">
        <v>54</v>
      </c>
      <c r="J6" s="236"/>
      <c r="K6" s="236">
        <v>42571</v>
      </c>
      <c r="L6" s="235"/>
      <c r="M6" s="225"/>
      <c r="N6" s="224">
        <v>1</v>
      </c>
      <c r="O6" s="223">
        <v>4232</v>
      </c>
      <c r="P6" s="258">
        <v>1300</v>
      </c>
      <c r="Q6" s="257">
        <f t="shared" ref="Q6:Q69" si="0">P6*N6</f>
        <v>1300</v>
      </c>
      <c r="R6" s="241"/>
      <c r="S6" s="240"/>
      <c r="T6" s="256"/>
      <c r="U6" s="256"/>
      <c r="V6" s="256"/>
      <c r="W6" s="256">
        <f>Table51013454[[#This Row],[العدد]]*Table51013454[[#This Row],[السعر الافرادي]]</f>
        <v>0</v>
      </c>
      <c r="X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" s="254">
        <f>Table51013454[[#This Row],[الكمية]]-Table51013454[[#This Row],[العدد]]</f>
        <v>1</v>
      </c>
      <c r="Z6" s="253">
        <f>Table51013454[[#This Row],[سعر/الحبة]]</f>
        <v>1300</v>
      </c>
      <c r="AA6" s="253">
        <f>Table51013454[[#This Row],[الإجمالي]]-Table51013454[[#This Row],[إجمالي المستبعد]]</f>
        <v>1300</v>
      </c>
      <c r="AB6" s="269">
        <v>0.15</v>
      </c>
      <c r="AC6" s="231"/>
      <c r="AD6" s="230" t="s">
        <v>55</v>
      </c>
      <c r="AE6" s="249">
        <v>87.61643835616438</v>
      </c>
      <c r="AF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الشراء-الاستلام]]&lt;DATE(2017,1,1),Q6-AE6,0))</f>
        <v>1212.3835616438357</v>
      </c>
      <c r="AG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195</v>
      </c>
      <c r="AH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" s="251">
        <f>Table51013454[[#This Row],[اهلاك المستبعد
في 2017]]+Table51013454[[#This Row],[مجمع إهلاك المستبعد 
01-01-2017]]</f>
        <v>0</v>
      </c>
      <c r="AJ6" s="251">
        <f>Table51013454[[#This Row],[إجمالي المستبعد]]-Table51013454[[#This Row],[مجمع إهلاك المستبعد 
بتاريخ الأستبعاد]]</f>
        <v>0</v>
      </c>
      <c r="AK6" s="250"/>
      <c r="AL6" s="249">
        <f>IF(OR(Table51013454[[#This Row],[تاريخ الشراء-الاستلام]]="",Table51013454[[#This Row],[الإجمالي]]="",Table51013454[[#This Row],[العمر الافتراضي]]=""),"",IF(((AE6+AG6)-Table51013454[[#This Row],[مجمع إهلاك المستبعد 
بتاريخ الأستبعاد]])&lt;=0,0,((AE6+AG6)-Table51013454[[#This Row],[مجمع إهلاك المستبعد 
بتاريخ الأستبعاد]])))</f>
        <v>282.61643835616439</v>
      </c>
      <c r="AM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الشراء-الاستلام]]&gt;DATE(2017,12,31),0,AA6-AL6)))</f>
        <v>1017.3835616438356</v>
      </c>
    </row>
    <row r="7" spans="1:41" s="260" customFormat="1" ht="57.75" hidden="1" customHeight="1">
      <c r="A7" s="239">
        <f>IF(B7="","",SUBTOTAL(3,$B$6:B7))</f>
        <v>0</v>
      </c>
      <c r="B7" s="230" t="s">
        <v>56</v>
      </c>
      <c r="C7" s="238" t="s">
        <v>12</v>
      </c>
      <c r="D7" s="238"/>
      <c r="E7" s="230" t="s">
        <v>57</v>
      </c>
      <c r="F7" s="230" t="s">
        <v>482</v>
      </c>
      <c r="G7" s="230"/>
      <c r="H7" s="231" t="s">
        <v>72</v>
      </c>
      <c r="I7" s="230"/>
      <c r="J7" s="236"/>
      <c r="K7" s="236">
        <v>42695</v>
      </c>
      <c r="L7" s="235" t="s">
        <v>58</v>
      </c>
      <c r="M7" s="225"/>
      <c r="N7" s="224">
        <v>150</v>
      </c>
      <c r="O7" s="223" t="s">
        <v>59</v>
      </c>
      <c r="P7" s="258">
        <v>700</v>
      </c>
      <c r="Q7" s="257">
        <f t="shared" si="0"/>
        <v>105000</v>
      </c>
      <c r="R7" s="241"/>
      <c r="S7" s="240"/>
      <c r="T7" s="256"/>
      <c r="U7" s="256"/>
      <c r="V7" s="256"/>
      <c r="W7" s="256">
        <f>Table51013454[[#This Row],[العدد]]*Table51013454[[#This Row],[السعر الافرادي]]</f>
        <v>0</v>
      </c>
      <c r="X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" s="254">
        <f>Table51013454[[#This Row],[الكمية]]-Table51013454[[#This Row],[العدد]]</f>
        <v>150</v>
      </c>
      <c r="Z7" s="253">
        <f>Table51013454[[#This Row],[سعر/الحبة]]</f>
        <v>700</v>
      </c>
      <c r="AA7" s="253">
        <f>Table51013454[[#This Row],[الإجمالي]]-Table51013454[[#This Row],[إجمالي المستبعد]]</f>
        <v>105000</v>
      </c>
      <c r="AB7" s="269">
        <v>0.15</v>
      </c>
      <c r="AC7" s="231"/>
      <c r="AD7" s="230" t="s">
        <v>55</v>
      </c>
      <c r="AE7" s="249">
        <v>1726.0273972602738</v>
      </c>
      <c r="AF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الشراء-الاستلام]]&lt;DATE(2017,1,1),Q7-AE7,0))</f>
        <v>103273.97260273973</v>
      </c>
      <c r="AG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15750</v>
      </c>
      <c r="AH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" s="251">
        <f>Table51013454[[#This Row],[اهلاك المستبعد
في 2017]]+Table51013454[[#This Row],[مجمع إهلاك المستبعد 
01-01-2017]]</f>
        <v>0</v>
      </c>
      <c r="AJ7" s="251">
        <f>Table51013454[[#This Row],[إجمالي المستبعد]]-Table51013454[[#This Row],[مجمع إهلاك المستبعد 
بتاريخ الأستبعاد]]</f>
        <v>0</v>
      </c>
      <c r="AK7" s="250"/>
      <c r="AL7" s="249">
        <f>IF(OR(Table51013454[[#This Row],[تاريخ الشراء-الاستلام]]="",Table51013454[[#This Row],[الإجمالي]]="",Table51013454[[#This Row],[العمر الافتراضي]]=""),"",IF(((AE7+AG7)-Table51013454[[#This Row],[مجمع إهلاك المستبعد 
بتاريخ الأستبعاد]])&lt;=0,0,((AE7+AG7)-Table51013454[[#This Row],[مجمع إهلاك المستبعد 
بتاريخ الأستبعاد]])))</f>
        <v>17476.027397260274</v>
      </c>
      <c r="AM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الشراء-الاستلام]]&gt;DATE(2017,12,31),0,AA7-AL7)))</f>
        <v>87523.972602739726</v>
      </c>
    </row>
    <row r="8" spans="1:41" s="260" customFormat="1" ht="57.75" hidden="1" customHeight="1">
      <c r="A8" s="239">
        <f>IF(B8="","",SUBTOTAL(3,$B$6:B8))</f>
        <v>0</v>
      </c>
      <c r="B8" s="230" t="s">
        <v>60</v>
      </c>
      <c r="C8" s="238" t="s">
        <v>12</v>
      </c>
      <c r="D8" s="238"/>
      <c r="E8" s="230" t="s">
        <v>51</v>
      </c>
      <c r="F8" s="230" t="s">
        <v>52</v>
      </c>
      <c r="G8" s="230" t="s">
        <v>72</v>
      </c>
      <c r="H8" s="231" t="s">
        <v>72</v>
      </c>
      <c r="I8" s="230"/>
      <c r="J8" s="236"/>
      <c r="K8" s="236">
        <v>40756</v>
      </c>
      <c r="L8" s="235"/>
      <c r="M8" s="225"/>
      <c r="N8" s="224">
        <v>8</v>
      </c>
      <c r="O8" s="223"/>
      <c r="P8" s="258">
        <v>1190</v>
      </c>
      <c r="Q8" s="257">
        <f t="shared" si="0"/>
        <v>9520</v>
      </c>
      <c r="R8" s="241" t="s">
        <v>487</v>
      </c>
      <c r="S8" s="240">
        <v>42862</v>
      </c>
      <c r="T8" s="256">
        <v>8</v>
      </c>
      <c r="U8" s="256" t="s">
        <v>486</v>
      </c>
      <c r="V8" s="256">
        <v>1190</v>
      </c>
      <c r="W8" s="256">
        <f>Table51013454[[#This Row],[العدد]]*Table51013454[[#This Row],[السعر الافرادي]]</f>
        <v>9520</v>
      </c>
      <c r="X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492.95342465753424</v>
      </c>
      <c r="Y8" s="254">
        <f>Table51013454[[#This Row],[الكمية]]-Table51013454[[#This Row],[العدد]]</f>
        <v>0</v>
      </c>
      <c r="Z8" s="253">
        <f>Table51013454[[#This Row],[سعر/الحبة]]</f>
        <v>1190</v>
      </c>
      <c r="AA8" s="253">
        <f>Table51013454[[#This Row],[الإجمالي]]-Table51013454[[#This Row],[إجمالي المستبعد]]</f>
        <v>0</v>
      </c>
      <c r="AB8" s="269">
        <v>0.15</v>
      </c>
      <c r="AC8" s="231"/>
      <c r="AD8" s="230" t="s">
        <v>55</v>
      </c>
      <c r="AE8" s="249">
        <v>7738.5863013698627</v>
      </c>
      <c r="AF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الشراء-الاستلام]]&lt;DATE(2017,1,1),Q8-AE8,0))</f>
        <v>1781.4136986301373</v>
      </c>
      <c r="AG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492.95342465753424</v>
      </c>
      <c r="AH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7746.4109589041091</v>
      </c>
      <c r="AI8" s="251">
        <f>Table51013454[[#This Row],[اهلاك المستبعد
في 2017]]+Table51013454[[#This Row],[مجمع إهلاك المستبعد 
01-01-2017]]</f>
        <v>8239.364383561644</v>
      </c>
      <c r="AJ8" s="251">
        <f>Table51013454[[#This Row],[إجمالي المستبعد]]-Table51013454[[#This Row],[مجمع إهلاك المستبعد 
بتاريخ الأستبعاد]]</f>
        <v>1280.635616438356</v>
      </c>
      <c r="AK8" s="250"/>
      <c r="AL8" s="249">
        <f>IF(OR(Table51013454[[#This Row],[تاريخ الشراء-الاستلام]]="",Table51013454[[#This Row],[الإجمالي]]="",Table51013454[[#This Row],[العمر الافتراضي]]=""),"",IF(((AE8+AG8)-Table51013454[[#This Row],[مجمع إهلاك المستبعد 
بتاريخ الأستبعاد]])&lt;=0,0,((AE8+AG8)-Table51013454[[#This Row],[مجمع إهلاك المستبعد 
بتاريخ الأستبعاد]])))</f>
        <v>0</v>
      </c>
      <c r="AM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الشراء-الاستلام]]&gt;DATE(2017,12,31),0,AA8-AL8)))</f>
        <v>0</v>
      </c>
    </row>
    <row r="9" spans="1:41" s="260" customFormat="1" ht="57.75" hidden="1" customHeight="1">
      <c r="A9" s="239">
        <f>IF(B9="","",SUBTOTAL(3,$B$6:B9))</f>
        <v>0</v>
      </c>
      <c r="B9" s="230" t="s">
        <v>61</v>
      </c>
      <c r="C9" s="238" t="s">
        <v>12</v>
      </c>
      <c r="D9" s="238"/>
      <c r="E9" s="230" t="s">
        <v>632</v>
      </c>
      <c r="F9" s="230" t="s">
        <v>52</v>
      </c>
      <c r="G9" s="230" t="s">
        <v>439</v>
      </c>
      <c r="H9" s="231"/>
      <c r="I9" s="230"/>
      <c r="J9" s="236" t="s">
        <v>62</v>
      </c>
      <c r="K9" s="236">
        <v>42711</v>
      </c>
      <c r="L9" s="235" t="s">
        <v>63</v>
      </c>
      <c r="M9" s="283" t="s">
        <v>643</v>
      </c>
      <c r="N9" s="224">
        <v>4</v>
      </c>
      <c r="O9" s="223"/>
      <c r="P9" s="258">
        <v>971.25</v>
      </c>
      <c r="Q9" s="257">
        <f t="shared" si="0"/>
        <v>3885</v>
      </c>
      <c r="R9" s="220"/>
      <c r="S9" s="240"/>
      <c r="T9" s="256"/>
      <c r="U9" s="256"/>
      <c r="V9" s="256"/>
      <c r="W9" s="256">
        <f>Table51013454[[#This Row],[العدد]]*Table51013454[[#This Row],[السعر الافرادي]]</f>
        <v>0</v>
      </c>
      <c r="X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" s="254">
        <f>Table51013454[[#This Row],[الكمية]]-Table51013454[[#This Row],[العدد]]</f>
        <v>4</v>
      </c>
      <c r="Z9" s="253">
        <f>Table51013454[[#This Row],[سعر/الحبة]]</f>
        <v>971.25</v>
      </c>
      <c r="AA9" s="253">
        <f>Table51013454[[#This Row],[الإجمالي]]-Table51013454[[#This Row],[إجمالي المستبعد]]</f>
        <v>3885</v>
      </c>
      <c r="AB9" s="232">
        <v>0.2</v>
      </c>
      <c r="AC9" s="231"/>
      <c r="AD9" s="230" t="s">
        <v>55</v>
      </c>
      <c r="AE9" s="249">
        <v>51.090410958904116</v>
      </c>
      <c r="AF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الشراء-الاستلام]]&lt;DATE(2017,1,1),Q9-AE9,0))</f>
        <v>3833.9095890410958</v>
      </c>
      <c r="AG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777</v>
      </c>
      <c r="AH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" s="251">
        <f>Table51013454[[#This Row],[اهلاك المستبعد
في 2017]]+Table51013454[[#This Row],[مجمع إهلاك المستبعد 
01-01-2017]]</f>
        <v>0</v>
      </c>
      <c r="AJ9" s="251">
        <f>Table51013454[[#This Row],[إجمالي المستبعد]]-Table51013454[[#This Row],[مجمع إهلاك المستبعد 
بتاريخ الأستبعاد]]</f>
        <v>0</v>
      </c>
      <c r="AK9" s="250"/>
      <c r="AL9" s="249">
        <f>IF(OR(Table51013454[[#This Row],[تاريخ الشراء-الاستلام]]="",Table51013454[[#This Row],[الإجمالي]]="",Table51013454[[#This Row],[العمر الافتراضي]]=""),"",IF(((AE9+AG9)-Table51013454[[#This Row],[مجمع إهلاك المستبعد 
بتاريخ الأستبعاد]])&lt;=0,0,((AE9+AG9)-Table51013454[[#This Row],[مجمع إهلاك المستبعد 
بتاريخ الأستبعاد]])))</f>
        <v>828.09041095890416</v>
      </c>
      <c r="AM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الشراء-الاستلام]]&gt;DATE(2017,12,31),0,AA9-AL9)))</f>
        <v>3056.9095890410958</v>
      </c>
    </row>
    <row r="10" spans="1:41" s="260" customFormat="1" ht="57.75" hidden="1" customHeight="1">
      <c r="A10" s="239">
        <f>IF(B10="","",SUBTOTAL(3,$B$6:B10))</f>
        <v>0</v>
      </c>
      <c r="B10" s="230" t="s">
        <v>64</v>
      </c>
      <c r="C10" s="238" t="s">
        <v>12</v>
      </c>
      <c r="D10" s="238" t="s">
        <v>529</v>
      </c>
      <c r="E10" s="230" t="s">
        <v>51</v>
      </c>
      <c r="F10" s="230" t="s">
        <v>52</v>
      </c>
      <c r="G10" s="230" t="s">
        <v>437</v>
      </c>
      <c r="H10" s="231" t="s">
        <v>65</v>
      </c>
      <c r="I10" s="230" t="s">
        <v>66</v>
      </c>
      <c r="J10" s="236"/>
      <c r="K10" s="236">
        <v>42705</v>
      </c>
      <c r="L10" s="235" t="s">
        <v>67</v>
      </c>
      <c r="M10" s="225"/>
      <c r="N10" s="224">
        <v>1</v>
      </c>
      <c r="O10" s="223"/>
      <c r="P10" s="258">
        <v>850</v>
      </c>
      <c r="Q10" s="257">
        <f t="shared" si="0"/>
        <v>850</v>
      </c>
      <c r="R10" s="241"/>
      <c r="S10" s="240"/>
      <c r="T10" s="256"/>
      <c r="U10" s="256"/>
      <c r="V10" s="256"/>
      <c r="W10" s="256">
        <f>Table51013454[[#This Row],[العدد]]*Table51013454[[#This Row],[السعر الافرادي]]</f>
        <v>0</v>
      </c>
      <c r="X1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" s="254">
        <f>Table51013454[[#This Row],[الكمية]]-Table51013454[[#This Row],[العدد]]</f>
        <v>1</v>
      </c>
      <c r="Z10" s="253">
        <f>Table51013454[[#This Row],[سعر/الحبة]]</f>
        <v>850</v>
      </c>
      <c r="AA10" s="253">
        <f>Table51013454[[#This Row],[الإجمالي]]-Table51013454[[#This Row],[إجمالي المستبعد]]</f>
        <v>850</v>
      </c>
      <c r="AB10" s="269">
        <v>0.15</v>
      </c>
      <c r="AC10" s="231"/>
      <c r="AD10" s="230" t="s">
        <v>55</v>
      </c>
      <c r="AE10" s="249">
        <v>10.479452054794521</v>
      </c>
      <c r="AF1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الشراء-الاستلام]]&lt;DATE(2017,1,1),Q10-AE10,0))</f>
        <v>839.52054794520552</v>
      </c>
      <c r="AG1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127.5</v>
      </c>
      <c r="AH1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" s="251">
        <f>Table51013454[[#This Row],[اهلاك المستبعد
في 2017]]+Table51013454[[#This Row],[مجمع إهلاك المستبعد 
01-01-2017]]</f>
        <v>0</v>
      </c>
      <c r="AJ10" s="251">
        <f>Table51013454[[#This Row],[إجمالي المستبعد]]-Table51013454[[#This Row],[مجمع إهلاك المستبعد 
بتاريخ الأستبعاد]]</f>
        <v>0</v>
      </c>
      <c r="AK10" s="250"/>
      <c r="AL10" s="249">
        <f>IF(OR(Table51013454[[#This Row],[تاريخ الشراء-الاستلام]]="",Table51013454[[#This Row],[الإجمالي]]="",Table51013454[[#This Row],[العمر الافتراضي]]=""),"",IF(((AE10+AG10)-Table51013454[[#This Row],[مجمع إهلاك المستبعد 
بتاريخ الأستبعاد]])&lt;=0,0,((AE10+AG10)-Table51013454[[#This Row],[مجمع إهلاك المستبعد 
بتاريخ الأستبعاد]])))</f>
        <v>137.97945205479454</v>
      </c>
      <c r="AM1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الشراء-الاستلام]]&gt;DATE(2017,12,31),0,AA10-AL10)))</f>
        <v>712.02054794520541</v>
      </c>
    </row>
    <row r="11" spans="1:41" s="260" customFormat="1" ht="57.75" hidden="1" customHeight="1">
      <c r="A11" s="239">
        <f>IF(B11="","",SUBTOTAL(3,$B$6:B11))</f>
        <v>0</v>
      </c>
      <c r="B11" s="230" t="s">
        <v>68</v>
      </c>
      <c r="C11" s="238" t="s">
        <v>12</v>
      </c>
      <c r="D11" s="238" t="s">
        <v>529</v>
      </c>
      <c r="E11" s="230" t="s">
        <v>51</v>
      </c>
      <c r="F11" s="230" t="s">
        <v>52</v>
      </c>
      <c r="G11" s="230" t="s">
        <v>437</v>
      </c>
      <c r="H11" s="231" t="s">
        <v>65</v>
      </c>
      <c r="I11" s="230" t="s">
        <v>66</v>
      </c>
      <c r="J11" s="236"/>
      <c r="K11" s="236">
        <v>42730</v>
      </c>
      <c r="L11" s="235" t="s">
        <v>69</v>
      </c>
      <c r="M11" s="225"/>
      <c r="N11" s="224">
        <v>1</v>
      </c>
      <c r="O11" s="223"/>
      <c r="P11" s="258">
        <v>1400</v>
      </c>
      <c r="Q11" s="257">
        <f t="shared" si="0"/>
        <v>1400</v>
      </c>
      <c r="R11" s="241"/>
      <c r="S11" s="240"/>
      <c r="T11" s="256"/>
      <c r="U11" s="256"/>
      <c r="V11" s="256"/>
      <c r="W11" s="256">
        <f>Table51013454[[#This Row],[العدد]]*Table51013454[[#This Row],[السعر الافرادي]]</f>
        <v>0</v>
      </c>
      <c r="X1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" s="254">
        <f>Table51013454[[#This Row],[الكمية]]-Table51013454[[#This Row],[العدد]]</f>
        <v>1</v>
      </c>
      <c r="Z11" s="253">
        <f>Table51013454[[#This Row],[سعر/الحبة]]</f>
        <v>1400</v>
      </c>
      <c r="AA11" s="253">
        <f>Table51013454[[#This Row],[الإجمالي]]-Table51013454[[#This Row],[إجمالي المستبعد]]</f>
        <v>1400</v>
      </c>
      <c r="AB11" s="269">
        <v>0.15</v>
      </c>
      <c r="AC11" s="231"/>
      <c r="AD11" s="230" t="s">
        <v>55</v>
      </c>
      <c r="AE11" s="249">
        <v>2.8767123287671228</v>
      </c>
      <c r="AF1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الشراء-الاستلام]]&lt;DATE(2017,1,1),Q11-AE11,0))</f>
        <v>1397.1232876712329</v>
      </c>
      <c r="AG1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210</v>
      </c>
      <c r="AH1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" s="251">
        <f>Table51013454[[#This Row],[اهلاك المستبعد
في 2017]]+Table51013454[[#This Row],[مجمع إهلاك المستبعد 
01-01-2017]]</f>
        <v>0</v>
      </c>
      <c r="AJ11" s="251">
        <f>Table51013454[[#This Row],[إجمالي المستبعد]]-Table51013454[[#This Row],[مجمع إهلاك المستبعد 
بتاريخ الأستبعاد]]</f>
        <v>0</v>
      </c>
      <c r="AK11" s="250"/>
      <c r="AL11" s="249">
        <f>IF(OR(Table51013454[[#This Row],[تاريخ الشراء-الاستلام]]="",Table51013454[[#This Row],[الإجمالي]]="",Table51013454[[#This Row],[العمر الافتراضي]]=""),"",IF(((AE11+AG11)-Table51013454[[#This Row],[مجمع إهلاك المستبعد 
بتاريخ الأستبعاد]])&lt;=0,0,((AE11+AG11)-Table51013454[[#This Row],[مجمع إهلاك المستبعد 
بتاريخ الأستبعاد]])))</f>
        <v>212.87671232876713</v>
      </c>
      <c r="AM1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الشراء-الاستلام]]&gt;DATE(2017,12,31),0,AA11-AL11)))</f>
        <v>1187.1232876712329</v>
      </c>
    </row>
    <row r="12" spans="1:41" s="260" customFormat="1" ht="57.75" hidden="1" customHeight="1">
      <c r="A12" s="239">
        <f>IF(B12="","",SUBTOTAL(3,$B$6:B12))</f>
        <v>0</v>
      </c>
      <c r="B12" s="230" t="s">
        <v>70</v>
      </c>
      <c r="C12" s="238" t="s">
        <v>12</v>
      </c>
      <c r="D12" s="238"/>
      <c r="E12" s="230" t="s">
        <v>71</v>
      </c>
      <c r="F12" s="230" t="s">
        <v>482</v>
      </c>
      <c r="G12" s="230"/>
      <c r="H12" s="231" t="s">
        <v>72</v>
      </c>
      <c r="I12" s="230" t="s">
        <v>155</v>
      </c>
      <c r="J12" s="236">
        <v>9788</v>
      </c>
      <c r="K12" s="236">
        <v>42704</v>
      </c>
      <c r="L12" s="235" t="s">
        <v>87</v>
      </c>
      <c r="M12" s="225"/>
      <c r="N12" s="224">
        <v>1</v>
      </c>
      <c r="O12" s="223">
        <v>3519</v>
      </c>
      <c r="P12" s="258">
        <v>37500</v>
      </c>
      <c r="Q12" s="257">
        <f t="shared" si="0"/>
        <v>37500</v>
      </c>
      <c r="R12" s="241"/>
      <c r="S12" s="240"/>
      <c r="T12" s="256"/>
      <c r="U12" s="256"/>
      <c r="V12" s="256"/>
      <c r="W12" s="256">
        <f>Table51013454[[#This Row],[العدد]]*Table51013454[[#This Row],[السعر الافرادي]]</f>
        <v>0</v>
      </c>
      <c r="X1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" s="254">
        <f>Table51013454[[#This Row],[الكمية]]-Table51013454[[#This Row],[العدد]]</f>
        <v>1</v>
      </c>
      <c r="Z12" s="253">
        <f>Table51013454[[#This Row],[سعر/الحبة]]</f>
        <v>37500</v>
      </c>
      <c r="AA12" s="253">
        <f>Table51013454[[#This Row],[الإجمالي]]-Table51013454[[#This Row],[إجمالي المستبعد]]</f>
        <v>37500</v>
      </c>
      <c r="AB12" s="269">
        <v>0.25</v>
      </c>
      <c r="AC12" s="231"/>
      <c r="AD12" s="230" t="s">
        <v>55</v>
      </c>
      <c r="AE12" s="249">
        <v>796.23287671232879</v>
      </c>
      <c r="AF1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الشراء-الاستلام]]&lt;DATE(2017,1,1),Q12-AE12,0))</f>
        <v>36703.767123287675</v>
      </c>
      <c r="AG1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9375</v>
      </c>
      <c r="AH1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" s="251">
        <f>Table51013454[[#This Row],[اهلاك المستبعد
في 2017]]+Table51013454[[#This Row],[مجمع إهلاك المستبعد 
01-01-2017]]</f>
        <v>0</v>
      </c>
      <c r="AJ12" s="251">
        <f>Table51013454[[#This Row],[إجمالي المستبعد]]-Table51013454[[#This Row],[مجمع إهلاك المستبعد 
بتاريخ الأستبعاد]]</f>
        <v>0</v>
      </c>
      <c r="AK12" s="250"/>
      <c r="AL12" s="249">
        <f>IF(OR(Table51013454[[#This Row],[تاريخ الشراء-الاستلام]]="",Table51013454[[#This Row],[الإجمالي]]="",Table51013454[[#This Row],[العمر الافتراضي]]=""),"",IF(((AE12+AG12)-Table51013454[[#This Row],[مجمع إهلاك المستبعد 
بتاريخ الأستبعاد]])&lt;=0,0,((AE12+AG12)-Table51013454[[#This Row],[مجمع إهلاك المستبعد 
بتاريخ الأستبعاد]])))</f>
        <v>10171.232876712329</v>
      </c>
      <c r="AM1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الشراء-الاستلام]]&gt;DATE(2017,12,31),0,AA12-AL12)))</f>
        <v>27328.767123287671</v>
      </c>
    </row>
    <row r="13" spans="1:41" s="260" customFormat="1" ht="57.75" hidden="1" customHeight="1">
      <c r="A13" s="239">
        <f>IF(B13="","",SUBTOTAL(3,$B$6:B13))</f>
        <v>0</v>
      </c>
      <c r="B13" s="230" t="s">
        <v>73</v>
      </c>
      <c r="C13" s="238" t="s">
        <v>12</v>
      </c>
      <c r="D13" s="238"/>
      <c r="E13" s="230" t="s">
        <v>31</v>
      </c>
      <c r="F13" s="230" t="s">
        <v>52</v>
      </c>
      <c r="G13" s="230" t="s">
        <v>436</v>
      </c>
      <c r="H13" s="231" t="s">
        <v>72</v>
      </c>
      <c r="I13" s="230"/>
      <c r="J13" s="237" t="s">
        <v>74</v>
      </c>
      <c r="K13" s="236">
        <v>42735</v>
      </c>
      <c r="L13" s="235" t="s">
        <v>75</v>
      </c>
      <c r="M13" s="225"/>
      <c r="N13" s="224">
        <v>1</v>
      </c>
      <c r="O13" s="223"/>
      <c r="P13" s="258">
        <v>170800</v>
      </c>
      <c r="Q13" s="257">
        <f t="shared" si="0"/>
        <v>170800</v>
      </c>
      <c r="R13" s="241"/>
      <c r="S13" s="240"/>
      <c r="T13" s="256"/>
      <c r="U13" s="256"/>
      <c r="V13" s="256"/>
      <c r="W13" s="256">
        <f>Table51013454[[#This Row],[العدد]]*Table51013454[[#This Row],[السعر الافرادي]]</f>
        <v>0</v>
      </c>
      <c r="X1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" s="254">
        <f>Table51013454[[#This Row],[الكمية]]-Table51013454[[#This Row],[العدد]]</f>
        <v>1</v>
      </c>
      <c r="Z13" s="253">
        <f>Table51013454[[#This Row],[سعر/الحبة]]</f>
        <v>170800</v>
      </c>
      <c r="AA13" s="253">
        <f>Table51013454[[#This Row],[الإجمالي]]-Table51013454[[#This Row],[إجمالي المستبعد]]</f>
        <v>170800</v>
      </c>
      <c r="AB13" s="232">
        <v>0.25</v>
      </c>
      <c r="AC13" s="231"/>
      <c r="AD13" s="230" t="s">
        <v>55</v>
      </c>
      <c r="AE13" s="249">
        <v>0</v>
      </c>
      <c r="AF1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الشراء-الاستلام]]&lt;DATE(2017,1,1),Q13-AE13,0))</f>
        <v>170800</v>
      </c>
      <c r="AG1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" s="251">
        <f>Table51013454[[#This Row],[اهلاك المستبعد
في 2017]]+Table51013454[[#This Row],[مجمع إهلاك المستبعد 
01-01-2017]]</f>
        <v>0</v>
      </c>
      <c r="AJ13" s="251">
        <f>Table51013454[[#This Row],[إجمالي المستبعد]]-Table51013454[[#This Row],[مجمع إهلاك المستبعد 
بتاريخ الأستبعاد]]</f>
        <v>0</v>
      </c>
      <c r="AK13" s="250"/>
      <c r="AL13" s="249">
        <f>IF(OR(Table51013454[[#This Row],[تاريخ الشراء-الاستلام]]="",Table51013454[[#This Row],[الإجمالي]]="",Table51013454[[#This Row],[العمر الافتراضي]]=""),"",IF(((AE13+AG13)-Table51013454[[#This Row],[مجمع إهلاك المستبعد 
بتاريخ الأستبعاد]])&lt;=0,0,((AE13+AG13)-Table51013454[[#This Row],[مجمع إهلاك المستبعد 
بتاريخ الأستبعاد]])))</f>
        <v>42700</v>
      </c>
      <c r="AM1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الشراء-الاستلام]]&gt;DATE(2017,12,31),0,AA13-AL13)))</f>
        <v>128100</v>
      </c>
    </row>
    <row r="14" spans="1:41" s="260" customFormat="1" ht="57.75" hidden="1" customHeight="1">
      <c r="A14" s="239">
        <f>IF(B14="","",SUBTOTAL(3,$B$6:B14))</f>
        <v>0</v>
      </c>
      <c r="B14" s="230" t="s">
        <v>73</v>
      </c>
      <c r="C14" s="238" t="s">
        <v>12</v>
      </c>
      <c r="D14" s="238"/>
      <c r="E14" s="230" t="s">
        <v>31</v>
      </c>
      <c r="F14" s="230" t="s">
        <v>52</v>
      </c>
      <c r="G14" s="230" t="s">
        <v>436</v>
      </c>
      <c r="H14" s="231" t="s">
        <v>72</v>
      </c>
      <c r="I14" s="230"/>
      <c r="J14" s="237" t="s">
        <v>76</v>
      </c>
      <c r="K14" s="236">
        <v>42735</v>
      </c>
      <c r="L14" s="235" t="s">
        <v>75</v>
      </c>
      <c r="M14" s="225"/>
      <c r="N14" s="224">
        <v>1</v>
      </c>
      <c r="O14" s="223"/>
      <c r="P14" s="258">
        <v>170800</v>
      </c>
      <c r="Q14" s="257">
        <f t="shared" si="0"/>
        <v>170800</v>
      </c>
      <c r="R14" s="241"/>
      <c r="S14" s="240"/>
      <c r="T14" s="256"/>
      <c r="U14" s="256"/>
      <c r="V14" s="256"/>
      <c r="W14" s="256">
        <f>Table51013454[[#This Row],[العدد]]*Table51013454[[#This Row],[السعر الافرادي]]</f>
        <v>0</v>
      </c>
      <c r="X1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" s="254">
        <f>Table51013454[[#This Row],[الكمية]]-Table51013454[[#This Row],[العدد]]</f>
        <v>1</v>
      </c>
      <c r="Z14" s="253">
        <f>Table51013454[[#This Row],[سعر/الحبة]]</f>
        <v>170800</v>
      </c>
      <c r="AA14" s="253">
        <f>Table51013454[[#This Row],[الإجمالي]]-Table51013454[[#This Row],[إجمالي المستبعد]]</f>
        <v>170800</v>
      </c>
      <c r="AB14" s="232">
        <v>0.25</v>
      </c>
      <c r="AC14" s="231"/>
      <c r="AD14" s="230" t="s">
        <v>55</v>
      </c>
      <c r="AE14" s="249">
        <v>0</v>
      </c>
      <c r="AF1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الشراء-الاستلام]]&lt;DATE(2017,1,1),Q14-AE14,0))</f>
        <v>170800</v>
      </c>
      <c r="AG1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" s="251">
        <f>Table51013454[[#This Row],[اهلاك المستبعد
في 2017]]+Table51013454[[#This Row],[مجمع إهلاك المستبعد 
01-01-2017]]</f>
        <v>0</v>
      </c>
      <c r="AJ14" s="251">
        <f>Table51013454[[#This Row],[إجمالي المستبعد]]-Table51013454[[#This Row],[مجمع إهلاك المستبعد 
بتاريخ الأستبعاد]]</f>
        <v>0</v>
      </c>
      <c r="AK14" s="250"/>
      <c r="AL14" s="249">
        <f>IF(OR(Table51013454[[#This Row],[تاريخ الشراء-الاستلام]]="",Table51013454[[#This Row],[الإجمالي]]="",Table51013454[[#This Row],[العمر الافتراضي]]=""),"",IF(((AE14+AG14)-Table51013454[[#This Row],[مجمع إهلاك المستبعد 
بتاريخ الأستبعاد]])&lt;=0,0,((AE14+AG14)-Table51013454[[#This Row],[مجمع إهلاك المستبعد 
بتاريخ الأستبعاد]])))</f>
        <v>42700</v>
      </c>
      <c r="AM1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الشراء-الاستلام]]&gt;DATE(2017,12,31),0,AA14-AL14)))</f>
        <v>128100</v>
      </c>
    </row>
    <row r="15" spans="1:41" s="260" customFormat="1" ht="57.75" hidden="1" customHeight="1">
      <c r="A15" s="239">
        <f>IF(B15="","",SUBTOTAL(3,$B$6:B15))</f>
        <v>0</v>
      </c>
      <c r="B15" s="230" t="s">
        <v>73</v>
      </c>
      <c r="C15" s="238" t="s">
        <v>12</v>
      </c>
      <c r="D15" s="238"/>
      <c r="E15" s="230" t="s">
        <v>31</v>
      </c>
      <c r="F15" s="230" t="s">
        <v>52</v>
      </c>
      <c r="G15" s="230" t="s">
        <v>436</v>
      </c>
      <c r="H15" s="231" t="s">
        <v>72</v>
      </c>
      <c r="I15" s="230"/>
      <c r="J15" s="237" t="s">
        <v>77</v>
      </c>
      <c r="K15" s="236">
        <v>42735</v>
      </c>
      <c r="L15" s="235" t="s">
        <v>75</v>
      </c>
      <c r="M15" s="225"/>
      <c r="N15" s="224">
        <v>1</v>
      </c>
      <c r="O15" s="223"/>
      <c r="P15" s="258">
        <v>170800</v>
      </c>
      <c r="Q15" s="257">
        <f t="shared" si="0"/>
        <v>170800</v>
      </c>
      <c r="R15" s="241"/>
      <c r="S15" s="240"/>
      <c r="T15" s="256"/>
      <c r="U15" s="256"/>
      <c r="V15" s="256"/>
      <c r="W15" s="256">
        <f>Table51013454[[#This Row],[العدد]]*Table51013454[[#This Row],[السعر الافرادي]]</f>
        <v>0</v>
      </c>
      <c r="X1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" s="254">
        <f>Table51013454[[#This Row],[الكمية]]-Table51013454[[#This Row],[العدد]]</f>
        <v>1</v>
      </c>
      <c r="Z15" s="253">
        <f>Table51013454[[#This Row],[سعر/الحبة]]</f>
        <v>170800</v>
      </c>
      <c r="AA15" s="253">
        <f>Table51013454[[#This Row],[الإجمالي]]-Table51013454[[#This Row],[إجمالي المستبعد]]</f>
        <v>170800</v>
      </c>
      <c r="AB15" s="232">
        <v>0.25</v>
      </c>
      <c r="AC15" s="231"/>
      <c r="AD15" s="230" t="s">
        <v>55</v>
      </c>
      <c r="AE15" s="249">
        <v>0</v>
      </c>
      <c r="AF1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الشراء-الاستلام]]&lt;DATE(2017,1,1),Q15-AE15,0))</f>
        <v>170800</v>
      </c>
      <c r="AG1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" s="251">
        <f>Table51013454[[#This Row],[اهلاك المستبعد
في 2017]]+Table51013454[[#This Row],[مجمع إهلاك المستبعد 
01-01-2017]]</f>
        <v>0</v>
      </c>
      <c r="AJ15" s="251">
        <f>Table51013454[[#This Row],[إجمالي المستبعد]]-Table51013454[[#This Row],[مجمع إهلاك المستبعد 
بتاريخ الأستبعاد]]</f>
        <v>0</v>
      </c>
      <c r="AK15" s="250"/>
      <c r="AL15" s="249">
        <f>IF(OR(Table51013454[[#This Row],[تاريخ الشراء-الاستلام]]="",Table51013454[[#This Row],[الإجمالي]]="",Table51013454[[#This Row],[العمر الافتراضي]]=""),"",IF(((AE15+AG15)-Table51013454[[#This Row],[مجمع إهلاك المستبعد 
بتاريخ الأستبعاد]])&lt;=0,0,((AE15+AG15)-Table51013454[[#This Row],[مجمع إهلاك المستبعد 
بتاريخ الأستبعاد]])))</f>
        <v>42700</v>
      </c>
      <c r="AM1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الشراء-الاستلام]]&gt;DATE(2017,12,31),0,AA15-AL15)))</f>
        <v>128100</v>
      </c>
    </row>
    <row r="16" spans="1:41" s="260" customFormat="1" ht="57.75" hidden="1" customHeight="1">
      <c r="A16" s="239">
        <f>IF(B16="","",SUBTOTAL(3,$B$6:B16))</f>
        <v>0</v>
      </c>
      <c r="B16" s="230" t="s">
        <v>73</v>
      </c>
      <c r="C16" s="238" t="s">
        <v>12</v>
      </c>
      <c r="D16" s="238"/>
      <c r="E16" s="230" t="s">
        <v>31</v>
      </c>
      <c r="F16" s="230" t="s">
        <v>52</v>
      </c>
      <c r="G16" s="230" t="s">
        <v>436</v>
      </c>
      <c r="H16" s="231" t="s">
        <v>72</v>
      </c>
      <c r="I16" s="230"/>
      <c r="J16" s="237" t="s">
        <v>78</v>
      </c>
      <c r="K16" s="236">
        <v>42735</v>
      </c>
      <c r="L16" s="235" t="s">
        <v>75</v>
      </c>
      <c r="M16" s="225"/>
      <c r="N16" s="224">
        <v>1</v>
      </c>
      <c r="O16" s="223"/>
      <c r="P16" s="258">
        <v>170800</v>
      </c>
      <c r="Q16" s="257">
        <f t="shared" si="0"/>
        <v>170800</v>
      </c>
      <c r="R16" s="241"/>
      <c r="S16" s="240"/>
      <c r="T16" s="256"/>
      <c r="U16" s="256"/>
      <c r="V16" s="256"/>
      <c r="W16" s="256">
        <f>Table51013454[[#This Row],[العدد]]*Table51013454[[#This Row],[السعر الافرادي]]</f>
        <v>0</v>
      </c>
      <c r="X1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" s="254">
        <f>Table51013454[[#This Row],[الكمية]]-Table51013454[[#This Row],[العدد]]</f>
        <v>1</v>
      </c>
      <c r="Z16" s="253">
        <f>Table51013454[[#This Row],[سعر/الحبة]]</f>
        <v>170800</v>
      </c>
      <c r="AA16" s="253">
        <f>Table51013454[[#This Row],[الإجمالي]]-Table51013454[[#This Row],[إجمالي المستبعد]]</f>
        <v>170800</v>
      </c>
      <c r="AB16" s="232">
        <v>0.25</v>
      </c>
      <c r="AC16" s="231"/>
      <c r="AD16" s="230" t="s">
        <v>55</v>
      </c>
      <c r="AE16" s="249">
        <v>0</v>
      </c>
      <c r="AF1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الشراء-الاستلام]]&lt;DATE(2017,1,1),Q16-AE16,0))</f>
        <v>170800</v>
      </c>
      <c r="AG1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" s="251">
        <f>Table51013454[[#This Row],[اهلاك المستبعد
في 2017]]+Table51013454[[#This Row],[مجمع إهلاك المستبعد 
01-01-2017]]</f>
        <v>0</v>
      </c>
      <c r="AJ16" s="251">
        <f>Table51013454[[#This Row],[إجمالي المستبعد]]-Table51013454[[#This Row],[مجمع إهلاك المستبعد 
بتاريخ الأستبعاد]]</f>
        <v>0</v>
      </c>
      <c r="AK16" s="250"/>
      <c r="AL16" s="249">
        <f>IF(OR(Table51013454[[#This Row],[تاريخ الشراء-الاستلام]]="",Table51013454[[#This Row],[الإجمالي]]="",Table51013454[[#This Row],[العمر الافتراضي]]=""),"",IF(((AE16+AG16)-Table51013454[[#This Row],[مجمع إهلاك المستبعد 
بتاريخ الأستبعاد]])&lt;=0,0,((AE16+AG16)-Table51013454[[#This Row],[مجمع إهلاك المستبعد 
بتاريخ الأستبعاد]])))</f>
        <v>42700</v>
      </c>
      <c r="AM1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الشراء-الاستلام]]&gt;DATE(2017,12,31),0,AA16-AL16)))</f>
        <v>128100</v>
      </c>
    </row>
    <row r="17" spans="1:39" s="260" customFormat="1" ht="57.75" hidden="1" customHeight="1">
      <c r="A17" s="239">
        <f>IF(B17="","",SUBTOTAL(3,$B$6:B17))</f>
        <v>0</v>
      </c>
      <c r="B17" s="230" t="s">
        <v>73</v>
      </c>
      <c r="C17" s="238" t="s">
        <v>12</v>
      </c>
      <c r="D17" s="238"/>
      <c r="E17" s="230" t="s">
        <v>31</v>
      </c>
      <c r="F17" s="230" t="s">
        <v>52</v>
      </c>
      <c r="G17" s="230" t="s">
        <v>436</v>
      </c>
      <c r="H17" s="231" t="s">
        <v>72</v>
      </c>
      <c r="I17" s="230"/>
      <c r="J17" s="237" t="s">
        <v>79</v>
      </c>
      <c r="K17" s="236">
        <v>42735</v>
      </c>
      <c r="L17" s="235" t="s">
        <v>75</v>
      </c>
      <c r="M17" s="225"/>
      <c r="N17" s="224">
        <v>1</v>
      </c>
      <c r="O17" s="223"/>
      <c r="P17" s="258">
        <v>170800</v>
      </c>
      <c r="Q17" s="257">
        <f t="shared" si="0"/>
        <v>170800</v>
      </c>
      <c r="R17" s="241"/>
      <c r="S17" s="240"/>
      <c r="T17" s="256"/>
      <c r="U17" s="256"/>
      <c r="V17" s="256"/>
      <c r="W17" s="256">
        <f>Table51013454[[#This Row],[العدد]]*Table51013454[[#This Row],[السعر الافرادي]]</f>
        <v>0</v>
      </c>
      <c r="X1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" s="254">
        <f>Table51013454[[#This Row],[الكمية]]-Table51013454[[#This Row],[العدد]]</f>
        <v>1</v>
      </c>
      <c r="Z17" s="253">
        <f>Table51013454[[#This Row],[سعر/الحبة]]</f>
        <v>170800</v>
      </c>
      <c r="AA17" s="253">
        <f>Table51013454[[#This Row],[الإجمالي]]-Table51013454[[#This Row],[إجمالي المستبعد]]</f>
        <v>170800</v>
      </c>
      <c r="AB17" s="232">
        <v>0.25</v>
      </c>
      <c r="AC17" s="231"/>
      <c r="AD17" s="230" t="s">
        <v>55</v>
      </c>
      <c r="AE17" s="249">
        <v>0</v>
      </c>
      <c r="AF1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الشراء-الاستلام]]&lt;DATE(2017,1,1),Q17-AE17,0))</f>
        <v>170800</v>
      </c>
      <c r="AG1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" s="251">
        <f>Table51013454[[#This Row],[اهلاك المستبعد
في 2017]]+Table51013454[[#This Row],[مجمع إهلاك المستبعد 
01-01-2017]]</f>
        <v>0</v>
      </c>
      <c r="AJ17" s="251">
        <f>Table51013454[[#This Row],[إجمالي المستبعد]]-Table51013454[[#This Row],[مجمع إهلاك المستبعد 
بتاريخ الأستبعاد]]</f>
        <v>0</v>
      </c>
      <c r="AK17" s="250"/>
      <c r="AL17" s="249">
        <f>IF(OR(Table51013454[[#This Row],[تاريخ الشراء-الاستلام]]="",Table51013454[[#This Row],[الإجمالي]]="",Table51013454[[#This Row],[العمر الافتراضي]]=""),"",IF(((AE17+AG17)-Table51013454[[#This Row],[مجمع إهلاك المستبعد 
بتاريخ الأستبعاد]])&lt;=0,0,((AE17+AG17)-Table51013454[[#This Row],[مجمع إهلاك المستبعد 
بتاريخ الأستبعاد]])))</f>
        <v>42700</v>
      </c>
      <c r="AM1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الشراء-الاستلام]]&gt;DATE(2017,12,31),0,AA17-AL17)))</f>
        <v>128100</v>
      </c>
    </row>
    <row r="18" spans="1:39" s="260" customFormat="1" ht="57.75" hidden="1" customHeight="1">
      <c r="A18" s="239">
        <f>IF(B18="","",SUBTOTAL(3,$B$6:B18))</f>
        <v>0</v>
      </c>
      <c r="B18" s="230" t="s">
        <v>73</v>
      </c>
      <c r="C18" s="238" t="s">
        <v>12</v>
      </c>
      <c r="D18" s="238"/>
      <c r="E18" s="230" t="s">
        <v>31</v>
      </c>
      <c r="F18" s="230" t="s">
        <v>96</v>
      </c>
      <c r="G18" s="230"/>
      <c r="H18" s="231" t="s">
        <v>72</v>
      </c>
      <c r="I18" s="230"/>
      <c r="J18" s="237" t="s">
        <v>156</v>
      </c>
      <c r="K18" s="236">
        <v>42735</v>
      </c>
      <c r="L18" s="235" t="s">
        <v>75</v>
      </c>
      <c r="M18" s="225"/>
      <c r="N18" s="224">
        <v>1</v>
      </c>
      <c r="O18" s="223"/>
      <c r="P18" s="258">
        <v>170800</v>
      </c>
      <c r="Q18" s="257">
        <f t="shared" si="0"/>
        <v>170800</v>
      </c>
      <c r="R18" s="241"/>
      <c r="S18" s="240"/>
      <c r="T18" s="256"/>
      <c r="U18" s="256"/>
      <c r="V18" s="256"/>
      <c r="W18" s="256">
        <f>Table51013454[[#This Row],[العدد]]*Table51013454[[#This Row],[السعر الافرادي]]</f>
        <v>0</v>
      </c>
      <c r="X1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" s="254">
        <f>Table51013454[[#This Row],[الكمية]]-Table51013454[[#This Row],[العدد]]</f>
        <v>1</v>
      </c>
      <c r="Z18" s="253">
        <f>Table51013454[[#This Row],[سعر/الحبة]]</f>
        <v>170800</v>
      </c>
      <c r="AA18" s="253">
        <f>Table51013454[[#This Row],[الإجمالي]]-Table51013454[[#This Row],[إجمالي المستبعد]]</f>
        <v>170800</v>
      </c>
      <c r="AB18" s="232">
        <v>0.25</v>
      </c>
      <c r="AC18" s="231"/>
      <c r="AD18" s="230" t="s">
        <v>55</v>
      </c>
      <c r="AE18" s="249">
        <v>0</v>
      </c>
      <c r="AF1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الشراء-الاستلام]]&lt;DATE(2017,1,1),Q18-AE18,0))</f>
        <v>170800</v>
      </c>
      <c r="AG1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" s="251">
        <f>Table51013454[[#This Row],[اهلاك المستبعد
في 2017]]+Table51013454[[#This Row],[مجمع إهلاك المستبعد 
01-01-2017]]</f>
        <v>0</v>
      </c>
      <c r="AJ18" s="251">
        <f>Table51013454[[#This Row],[إجمالي المستبعد]]-Table51013454[[#This Row],[مجمع إهلاك المستبعد 
بتاريخ الأستبعاد]]</f>
        <v>0</v>
      </c>
      <c r="AK18" s="250"/>
      <c r="AL18" s="249">
        <f>IF(OR(Table51013454[[#This Row],[تاريخ الشراء-الاستلام]]="",Table51013454[[#This Row],[الإجمالي]]="",Table51013454[[#This Row],[العمر الافتراضي]]=""),"",IF(((AE18+AG18)-Table51013454[[#This Row],[مجمع إهلاك المستبعد 
بتاريخ الأستبعاد]])&lt;=0,0,((AE18+AG18)-Table51013454[[#This Row],[مجمع إهلاك المستبعد 
بتاريخ الأستبعاد]])))</f>
        <v>42700</v>
      </c>
      <c r="AM1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الشراء-الاستلام]]&gt;DATE(2017,12,31),0,AA18-AL18)))</f>
        <v>128100</v>
      </c>
    </row>
    <row r="19" spans="1:39" s="260" customFormat="1" ht="57.75" hidden="1" customHeight="1">
      <c r="A19" s="239">
        <f>IF(B19="","",SUBTOTAL(3,$B$6:B19))</f>
        <v>0</v>
      </c>
      <c r="B19" s="230" t="s">
        <v>73</v>
      </c>
      <c r="C19" s="238" t="s">
        <v>12</v>
      </c>
      <c r="D19" s="238"/>
      <c r="E19" s="230" t="s">
        <v>31</v>
      </c>
      <c r="F19" s="230" t="s">
        <v>52</v>
      </c>
      <c r="G19" s="230" t="s">
        <v>436</v>
      </c>
      <c r="H19" s="231" t="s">
        <v>72</v>
      </c>
      <c r="I19" s="230"/>
      <c r="J19" s="237" t="s">
        <v>157</v>
      </c>
      <c r="K19" s="236">
        <v>42735</v>
      </c>
      <c r="L19" s="235" t="s">
        <v>75</v>
      </c>
      <c r="M19" s="225"/>
      <c r="N19" s="224">
        <v>1</v>
      </c>
      <c r="O19" s="223"/>
      <c r="P19" s="258">
        <v>170800</v>
      </c>
      <c r="Q19" s="257">
        <f t="shared" si="0"/>
        <v>170800</v>
      </c>
      <c r="R19" s="241"/>
      <c r="S19" s="240"/>
      <c r="T19" s="256"/>
      <c r="U19" s="256"/>
      <c r="V19" s="256"/>
      <c r="W19" s="256">
        <f>Table51013454[[#This Row],[العدد]]*Table51013454[[#This Row],[السعر الافرادي]]</f>
        <v>0</v>
      </c>
      <c r="X1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" s="254">
        <f>Table51013454[[#This Row],[الكمية]]-Table51013454[[#This Row],[العدد]]</f>
        <v>1</v>
      </c>
      <c r="Z19" s="253">
        <f>Table51013454[[#This Row],[سعر/الحبة]]</f>
        <v>170800</v>
      </c>
      <c r="AA19" s="253">
        <f>Table51013454[[#This Row],[الإجمالي]]-Table51013454[[#This Row],[إجمالي المستبعد]]</f>
        <v>170800</v>
      </c>
      <c r="AB19" s="232">
        <v>0.25</v>
      </c>
      <c r="AC19" s="231"/>
      <c r="AD19" s="230" t="s">
        <v>55</v>
      </c>
      <c r="AE19" s="249">
        <v>0</v>
      </c>
      <c r="AF1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الشراء-الاستلام]]&lt;DATE(2017,1,1),Q19-AE19,0))</f>
        <v>170800</v>
      </c>
      <c r="AG1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1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" s="251">
        <f>Table51013454[[#This Row],[اهلاك المستبعد
في 2017]]+Table51013454[[#This Row],[مجمع إهلاك المستبعد 
01-01-2017]]</f>
        <v>0</v>
      </c>
      <c r="AJ19" s="251">
        <f>Table51013454[[#This Row],[إجمالي المستبعد]]-Table51013454[[#This Row],[مجمع إهلاك المستبعد 
بتاريخ الأستبعاد]]</f>
        <v>0</v>
      </c>
      <c r="AK19" s="250"/>
      <c r="AL19" s="249">
        <f>IF(OR(Table51013454[[#This Row],[تاريخ الشراء-الاستلام]]="",Table51013454[[#This Row],[الإجمالي]]="",Table51013454[[#This Row],[العمر الافتراضي]]=""),"",IF(((AE19+AG19)-Table51013454[[#This Row],[مجمع إهلاك المستبعد 
بتاريخ الأستبعاد]])&lt;=0,0,((AE19+AG19)-Table51013454[[#This Row],[مجمع إهلاك المستبعد 
بتاريخ الأستبعاد]])))</f>
        <v>42700</v>
      </c>
      <c r="AM1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الشراء-الاستلام]]&gt;DATE(2017,12,31),0,AA19-AL19)))</f>
        <v>128100</v>
      </c>
    </row>
    <row r="20" spans="1:39" s="260" customFormat="1" ht="57.75" hidden="1" customHeight="1">
      <c r="A20" s="239">
        <f>IF(B20="","",SUBTOTAL(3,$B$6:B20))</f>
        <v>0</v>
      </c>
      <c r="B20" s="230" t="s">
        <v>73</v>
      </c>
      <c r="C20" s="238" t="s">
        <v>12</v>
      </c>
      <c r="D20" s="238"/>
      <c r="E20" s="230" t="s">
        <v>31</v>
      </c>
      <c r="F20" s="230" t="s">
        <v>81</v>
      </c>
      <c r="G20" s="230"/>
      <c r="H20" s="231" t="s">
        <v>72</v>
      </c>
      <c r="I20" s="230"/>
      <c r="J20" s="237" t="s">
        <v>158</v>
      </c>
      <c r="K20" s="236">
        <v>42735</v>
      </c>
      <c r="L20" s="235" t="s">
        <v>75</v>
      </c>
      <c r="M20" s="225"/>
      <c r="N20" s="224">
        <v>1</v>
      </c>
      <c r="O20" s="223"/>
      <c r="P20" s="258">
        <v>170800</v>
      </c>
      <c r="Q20" s="257">
        <f t="shared" si="0"/>
        <v>170800</v>
      </c>
      <c r="R20" s="241"/>
      <c r="S20" s="240"/>
      <c r="T20" s="256"/>
      <c r="U20" s="256"/>
      <c r="V20" s="256"/>
      <c r="W20" s="256">
        <f>Table51013454[[#This Row],[العدد]]*Table51013454[[#This Row],[السعر الافرادي]]</f>
        <v>0</v>
      </c>
      <c r="X2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" s="254">
        <f>Table51013454[[#This Row],[الكمية]]-Table51013454[[#This Row],[العدد]]</f>
        <v>1</v>
      </c>
      <c r="Z20" s="253">
        <f>Table51013454[[#This Row],[سعر/الحبة]]</f>
        <v>170800</v>
      </c>
      <c r="AA20" s="253">
        <f>Table51013454[[#This Row],[الإجمالي]]-Table51013454[[#This Row],[إجمالي المستبعد]]</f>
        <v>170800</v>
      </c>
      <c r="AB20" s="232">
        <v>0.25</v>
      </c>
      <c r="AC20" s="231"/>
      <c r="AD20" s="230" t="s">
        <v>55</v>
      </c>
      <c r="AE20" s="249">
        <v>0</v>
      </c>
      <c r="AF2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الشراء-الاستلام]]&lt;DATE(2017,1,1),Q20-AE20,0))</f>
        <v>170800</v>
      </c>
      <c r="AG2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2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" s="251">
        <f>Table51013454[[#This Row],[اهلاك المستبعد
في 2017]]+Table51013454[[#This Row],[مجمع إهلاك المستبعد 
01-01-2017]]</f>
        <v>0</v>
      </c>
      <c r="AJ20" s="251">
        <f>Table51013454[[#This Row],[إجمالي المستبعد]]-Table51013454[[#This Row],[مجمع إهلاك المستبعد 
بتاريخ الأستبعاد]]</f>
        <v>0</v>
      </c>
      <c r="AK20" s="250"/>
      <c r="AL20" s="249">
        <f>IF(OR(Table51013454[[#This Row],[تاريخ الشراء-الاستلام]]="",Table51013454[[#This Row],[الإجمالي]]="",Table51013454[[#This Row],[العمر الافتراضي]]=""),"",IF(((AE20+AG20)-Table51013454[[#This Row],[مجمع إهلاك المستبعد 
بتاريخ الأستبعاد]])&lt;=0,0,((AE20+AG20)-Table51013454[[#This Row],[مجمع إهلاك المستبعد 
بتاريخ الأستبعاد]])))</f>
        <v>42700</v>
      </c>
      <c r="AM2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الشراء-الاستلام]]&gt;DATE(2017,12,31),0,AA20-AL20)))</f>
        <v>128100</v>
      </c>
    </row>
    <row r="21" spans="1:39" s="260" customFormat="1" ht="57.75" hidden="1" customHeight="1">
      <c r="A21" s="239">
        <f>IF(B21="","",SUBTOTAL(3,$B$6:B21))</f>
        <v>0</v>
      </c>
      <c r="B21" s="230" t="s">
        <v>73</v>
      </c>
      <c r="C21" s="238" t="s">
        <v>12</v>
      </c>
      <c r="D21" s="238"/>
      <c r="E21" s="230" t="s">
        <v>31</v>
      </c>
      <c r="F21" s="230" t="s">
        <v>482</v>
      </c>
      <c r="G21" s="230"/>
      <c r="H21" s="231" t="s">
        <v>72</v>
      </c>
      <c r="I21" s="230"/>
      <c r="J21" s="237" t="s">
        <v>159</v>
      </c>
      <c r="K21" s="236">
        <v>42735</v>
      </c>
      <c r="L21" s="235" t="s">
        <v>75</v>
      </c>
      <c r="M21" s="225"/>
      <c r="N21" s="224">
        <v>1</v>
      </c>
      <c r="O21" s="223"/>
      <c r="P21" s="258">
        <v>170800</v>
      </c>
      <c r="Q21" s="257">
        <f t="shared" si="0"/>
        <v>170800</v>
      </c>
      <c r="R21" s="241"/>
      <c r="S21" s="240"/>
      <c r="T21" s="256"/>
      <c r="U21" s="256"/>
      <c r="V21" s="256"/>
      <c r="W21" s="256">
        <f>Table51013454[[#This Row],[العدد]]*Table51013454[[#This Row],[السعر الافرادي]]</f>
        <v>0</v>
      </c>
      <c r="X2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" s="254">
        <f>Table51013454[[#This Row],[الكمية]]-Table51013454[[#This Row],[العدد]]</f>
        <v>1</v>
      </c>
      <c r="Z21" s="253">
        <f>Table51013454[[#This Row],[سعر/الحبة]]</f>
        <v>170800</v>
      </c>
      <c r="AA21" s="253">
        <f>Table51013454[[#This Row],[الإجمالي]]-Table51013454[[#This Row],[إجمالي المستبعد]]</f>
        <v>170800</v>
      </c>
      <c r="AB21" s="232">
        <v>0.25</v>
      </c>
      <c r="AC21" s="231"/>
      <c r="AD21" s="230" t="s">
        <v>55</v>
      </c>
      <c r="AE21" s="249">
        <v>0</v>
      </c>
      <c r="AF2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الشراء-الاستلام]]&lt;DATE(2017,1,1),Q21-AE21,0))</f>
        <v>170800</v>
      </c>
      <c r="AG2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2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" s="251">
        <f>Table51013454[[#This Row],[اهلاك المستبعد
في 2017]]+Table51013454[[#This Row],[مجمع إهلاك المستبعد 
01-01-2017]]</f>
        <v>0</v>
      </c>
      <c r="AJ21" s="251">
        <f>Table51013454[[#This Row],[إجمالي المستبعد]]-Table51013454[[#This Row],[مجمع إهلاك المستبعد 
بتاريخ الأستبعاد]]</f>
        <v>0</v>
      </c>
      <c r="AK21" s="250"/>
      <c r="AL21" s="249">
        <f>IF(OR(Table51013454[[#This Row],[تاريخ الشراء-الاستلام]]="",Table51013454[[#This Row],[الإجمالي]]="",Table51013454[[#This Row],[العمر الافتراضي]]=""),"",IF(((AE21+AG21)-Table51013454[[#This Row],[مجمع إهلاك المستبعد 
بتاريخ الأستبعاد]])&lt;=0,0,((AE21+AG21)-Table51013454[[#This Row],[مجمع إهلاك المستبعد 
بتاريخ الأستبعاد]])))</f>
        <v>42700</v>
      </c>
      <c r="AM2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الشراء-الاستلام]]&gt;DATE(2017,12,31),0,AA21-AL21)))</f>
        <v>128100</v>
      </c>
    </row>
    <row r="22" spans="1:39" s="260" customFormat="1" ht="57.75" hidden="1" customHeight="1">
      <c r="A22" s="239">
        <f>IF(B22="","",SUBTOTAL(3,$B$6:B22))</f>
        <v>0</v>
      </c>
      <c r="B22" s="230" t="s">
        <v>73</v>
      </c>
      <c r="C22" s="238" t="s">
        <v>12</v>
      </c>
      <c r="D22" s="238"/>
      <c r="E22" s="230" t="s">
        <v>31</v>
      </c>
      <c r="F22" s="230" t="s">
        <v>165</v>
      </c>
      <c r="G22" s="230"/>
      <c r="H22" s="231" t="s">
        <v>72</v>
      </c>
      <c r="I22" s="230"/>
      <c r="J22" s="237" t="s">
        <v>160</v>
      </c>
      <c r="K22" s="236">
        <v>42735</v>
      </c>
      <c r="L22" s="235" t="s">
        <v>75</v>
      </c>
      <c r="M22" s="225"/>
      <c r="N22" s="224">
        <v>1</v>
      </c>
      <c r="O22" s="223"/>
      <c r="P22" s="258">
        <v>170800</v>
      </c>
      <c r="Q22" s="257">
        <f t="shared" si="0"/>
        <v>170800</v>
      </c>
      <c r="R22" s="241"/>
      <c r="S22" s="240"/>
      <c r="T22" s="256"/>
      <c r="U22" s="256"/>
      <c r="V22" s="256"/>
      <c r="W22" s="256">
        <f>Table51013454[[#This Row],[العدد]]*Table51013454[[#This Row],[السعر الافرادي]]</f>
        <v>0</v>
      </c>
      <c r="X2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" s="254">
        <f>Table51013454[[#This Row],[الكمية]]-Table51013454[[#This Row],[العدد]]</f>
        <v>1</v>
      </c>
      <c r="Z22" s="253">
        <f>Table51013454[[#This Row],[سعر/الحبة]]</f>
        <v>170800</v>
      </c>
      <c r="AA22" s="253">
        <f>Table51013454[[#This Row],[الإجمالي]]-Table51013454[[#This Row],[إجمالي المستبعد]]</f>
        <v>170800</v>
      </c>
      <c r="AB22" s="232">
        <v>0.25</v>
      </c>
      <c r="AC22" s="231"/>
      <c r="AD22" s="230" t="s">
        <v>55</v>
      </c>
      <c r="AE22" s="249">
        <v>0</v>
      </c>
      <c r="AF2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الشراء-الاستلام]]&lt;DATE(2017,1,1),Q22-AE22,0))</f>
        <v>170800</v>
      </c>
      <c r="AG2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42700</v>
      </c>
      <c r="AH2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" s="251">
        <f>Table51013454[[#This Row],[اهلاك المستبعد
في 2017]]+Table51013454[[#This Row],[مجمع إهلاك المستبعد 
01-01-2017]]</f>
        <v>0</v>
      </c>
      <c r="AJ22" s="251">
        <f>Table51013454[[#This Row],[إجمالي المستبعد]]-Table51013454[[#This Row],[مجمع إهلاك المستبعد 
بتاريخ الأستبعاد]]</f>
        <v>0</v>
      </c>
      <c r="AK22" s="250"/>
      <c r="AL22" s="249">
        <f>IF(OR(Table51013454[[#This Row],[تاريخ الشراء-الاستلام]]="",Table51013454[[#This Row],[الإجمالي]]="",Table51013454[[#This Row],[العمر الافتراضي]]=""),"",IF(((AE22+AG22)-Table51013454[[#This Row],[مجمع إهلاك المستبعد 
بتاريخ الأستبعاد]])&lt;=0,0,((AE22+AG22)-Table51013454[[#This Row],[مجمع إهلاك المستبعد 
بتاريخ الأستبعاد]])))</f>
        <v>42700</v>
      </c>
      <c r="AM2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الشراء-الاستلام]]&gt;DATE(2017,12,31),0,AA22-AL22)))</f>
        <v>128100</v>
      </c>
    </row>
    <row r="23" spans="1:39" s="260" customFormat="1" ht="57.75" hidden="1" customHeight="1">
      <c r="A23" s="239">
        <f>IF(B23="","",SUBTOTAL(3,$B$6:B23))</f>
        <v>0</v>
      </c>
      <c r="B23" s="230" t="s">
        <v>80</v>
      </c>
      <c r="C23" s="238" t="s">
        <v>12</v>
      </c>
      <c r="D23" s="238" t="s">
        <v>529</v>
      </c>
      <c r="E23" s="230" t="s">
        <v>51</v>
      </c>
      <c r="F23" s="230" t="s">
        <v>81</v>
      </c>
      <c r="G23" s="230"/>
      <c r="H23" s="231" t="s">
        <v>72</v>
      </c>
      <c r="I23" s="230"/>
      <c r="J23" s="236"/>
      <c r="K23" s="236">
        <v>42732</v>
      </c>
      <c r="L23" s="235" t="s">
        <v>82</v>
      </c>
      <c r="M23" s="225"/>
      <c r="N23" s="224">
        <v>1</v>
      </c>
      <c r="O23" s="223"/>
      <c r="P23" s="258">
        <v>1417</v>
      </c>
      <c r="Q23" s="257">
        <f t="shared" si="0"/>
        <v>1417</v>
      </c>
      <c r="R23" s="241"/>
      <c r="S23" s="240"/>
      <c r="T23" s="256"/>
      <c r="U23" s="256"/>
      <c r="V23" s="256"/>
      <c r="W23" s="256">
        <f>Table51013454[[#This Row],[العدد]]*Table51013454[[#This Row],[السعر الافرادي]]</f>
        <v>0</v>
      </c>
      <c r="X2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" s="254">
        <f>Table51013454[[#This Row],[الكمية]]-Table51013454[[#This Row],[العدد]]</f>
        <v>1</v>
      </c>
      <c r="Z23" s="253">
        <f>Table51013454[[#This Row],[سعر/الحبة]]</f>
        <v>1417</v>
      </c>
      <c r="AA23" s="253">
        <f>Table51013454[[#This Row],[الإجمالي]]-Table51013454[[#This Row],[إجمالي المستبعد]]</f>
        <v>1417</v>
      </c>
      <c r="AB23" s="269">
        <v>0.15</v>
      </c>
      <c r="AC23" s="231"/>
      <c r="AD23" s="230" t="s">
        <v>55</v>
      </c>
      <c r="AE23" s="249">
        <v>1.746986301369863</v>
      </c>
      <c r="AF2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الشراء-الاستلام]]&lt;DATE(2017,1,1),Q23-AE23,0))</f>
        <v>1415.2530136986302</v>
      </c>
      <c r="AG2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212.54999999999998</v>
      </c>
      <c r="AH2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" s="251">
        <f>Table51013454[[#This Row],[اهلاك المستبعد
في 2017]]+Table51013454[[#This Row],[مجمع إهلاك المستبعد 
01-01-2017]]</f>
        <v>0</v>
      </c>
      <c r="AJ23" s="251">
        <f>Table51013454[[#This Row],[إجمالي المستبعد]]-Table51013454[[#This Row],[مجمع إهلاك المستبعد 
بتاريخ الأستبعاد]]</f>
        <v>0</v>
      </c>
      <c r="AK23" s="250"/>
      <c r="AL23" s="249">
        <f>IF(OR(Table51013454[[#This Row],[تاريخ الشراء-الاستلام]]="",Table51013454[[#This Row],[الإجمالي]]="",Table51013454[[#This Row],[العمر الافتراضي]]=""),"",IF(((AE23+AG23)-Table51013454[[#This Row],[مجمع إهلاك المستبعد 
بتاريخ الأستبعاد]])&lt;=0,0,((AE23+AG23)-Table51013454[[#This Row],[مجمع إهلاك المستبعد 
بتاريخ الأستبعاد]])))</f>
        <v>214.29698630136986</v>
      </c>
      <c r="AM2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الشراء-الاستلام]]&gt;DATE(2017,12,31),0,AA23-AL23)))</f>
        <v>1202.7030136986302</v>
      </c>
    </row>
    <row r="24" spans="1:39" s="260" customFormat="1" ht="57.75" hidden="1" customHeight="1">
      <c r="A24" s="239">
        <f>IF(B24="","",SUBTOTAL(3,$B$6:B24))</f>
        <v>0</v>
      </c>
      <c r="B24" s="230" t="s">
        <v>83</v>
      </c>
      <c r="C24" s="238" t="s">
        <v>12</v>
      </c>
      <c r="D24" s="238"/>
      <c r="E24" s="230" t="s">
        <v>51</v>
      </c>
      <c r="F24" s="230" t="s">
        <v>81</v>
      </c>
      <c r="G24" s="230"/>
      <c r="H24" s="231" t="s">
        <v>72</v>
      </c>
      <c r="I24" s="230"/>
      <c r="J24" s="236"/>
      <c r="K24" s="236">
        <v>42732</v>
      </c>
      <c r="L24" s="235" t="s">
        <v>82</v>
      </c>
      <c r="M24" s="225"/>
      <c r="N24" s="224">
        <v>1</v>
      </c>
      <c r="O24" s="223"/>
      <c r="P24" s="258">
        <v>683</v>
      </c>
      <c r="Q24" s="257">
        <f t="shared" si="0"/>
        <v>683</v>
      </c>
      <c r="R24" s="241"/>
      <c r="S24" s="240"/>
      <c r="T24" s="256"/>
      <c r="U24" s="256"/>
      <c r="V24" s="256"/>
      <c r="W24" s="256">
        <f>Table51013454[[#This Row],[العدد]]*Table51013454[[#This Row],[السعر الافرادي]]</f>
        <v>0</v>
      </c>
      <c r="X2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" s="254">
        <f>Table51013454[[#This Row],[الكمية]]-Table51013454[[#This Row],[العدد]]</f>
        <v>1</v>
      </c>
      <c r="Z24" s="253">
        <f>Table51013454[[#This Row],[سعر/الحبة]]</f>
        <v>683</v>
      </c>
      <c r="AA24" s="253">
        <f>Table51013454[[#This Row],[الإجمالي]]-Table51013454[[#This Row],[إجمالي المستبعد]]</f>
        <v>683</v>
      </c>
      <c r="AB24" s="269">
        <v>0.15</v>
      </c>
      <c r="AC24" s="231"/>
      <c r="AD24" s="230" t="s">
        <v>55</v>
      </c>
      <c r="AE24" s="249">
        <v>0.84205479452054788</v>
      </c>
      <c r="AF2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الشراء-الاستلام]]&lt;DATE(2017,1,1),Q24-AE24,0))</f>
        <v>682.15794520547945</v>
      </c>
      <c r="AG2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102.45</v>
      </c>
      <c r="AH2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" s="251">
        <f>Table51013454[[#This Row],[اهلاك المستبعد
في 2017]]+Table51013454[[#This Row],[مجمع إهلاك المستبعد 
01-01-2017]]</f>
        <v>0</v>
      </c>
      <c r="AJ24" s="251">
        <f>Table51013454[[#This Row],[إجمالي المستبعد]]-Table51013454[[#This Row],[مجمع إهلاك المستبعد 
بتاريخ الأستبعاد]]</f>
        <v>0</v>
      </c>
      <c r="AK24" s="250"/>
      <c r="AL24" s="249">
        <f>IF(OR(Table51013454[[#This Row],[تاريخ الشراء-الاستلام]]="",Table51013454[[#This Row],[الإجمالي]]="",Table51013454[[#This Row],[العمر الافتراضي]]=""),"",IF(((AE24+AG24)-Table51013454[[#This Row],[مجمع إهلاك المستبعد 
بتاريخ الأستبعاد]])&lt;=0,0,((AE24+AG24)-Table51013454[[#This Row],[مجمع إهلاك المستبعد 
بتاريخ الأستبعاد]])))</f>
        <v>103.29205479452055</v>
      </c>
      <c r="AM2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الشراء-الاستلام]]&gt;DATE(2017,12,31),0,AA24-AL24)))</f>
        <v>579.7079452054794</v>
      </c>
    </row>
    <row r="25" spans="1:39" s="260" customFormat="1" ht="57.75" hidden="1" customHeight="1">
      <c r="A25" s="239">
        <f>IF(B25="","",SUBTOTAL(3,$B$6:B25))</f>
        <v>0</v>
      </c>
      <c r="B25" s="230" t="s">
        <v>84</v>
      </c>
      <c r="C25" s="238" t="s">
        <v>12</v>
      </c>
      <c r="D25" s="238" t="s">
        <v>529</v>
      </c>
      <c r="E25" s="230" t="s">
        <v>51</v>
      </c>
      <c r="F25" s="230" t="s">
        <v>52</v>
      </c>
      <c r="G25" s="230" t="s">
        <v>437</v>
      </c>
      <c r="H25" s="231" t="s">
        <v>72</v>
      </c>
      <c r="I25" s="230"/>
      <c r="J25" s="236"/>
      <c r="K25" s="236">
        <v>42735</v>
      </c>
      <c r="L25" s="235" t="s">
        <v>85</v>
      </c>
      <c r="M25" s="225"/>
      <c r="N25" s="224">
        <v>1</v>
      </c>
      <c r="O25" s="223"/>
      <c r="P25" s="258">
        <v>900</v>
      </c>
      <c r="Q25" s="257">
        <f t="shared" si="0"/>
        <v>900</v>
      </c>
      <c r="R25" s="241"/>
      <c r="S25" s="240"/>
      <c r="T25" s="256"/>
      <c r="U25" s="256"/>
      <c r="V25" s="256"/>
      <c r="W25" s="256">
        <f>Table51013454[[#This Row],[العدد]]*Table51013454[[#This Row],[السعر الافرادي]]</f>
        <v>0</v>
      </c>
      <c r="X2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" s="254">
        <f>Table51013454[[#This Row],[الكمية]]-Table51013454[[#This Row],[العدد]]</f>
        <v>1</v>
      </c>
      <c r="Z25" s="253">
        <f>Table51013454[[#This Row],[سعر/الحبة]]</f>
        <v>900</v>
      </c>
      <c r="AA25" s="253">
        <f>Table51013454[[#This Row],[الإجمالي]]-Table51013454[[#This Row],[إجمالي المستبعد]]</f>
        <v>900</v>
      </c>
      <c r="AB25" s="269">
        <v>0.15</v>
      </c>
      <c r="AC25" s="231"/>
      <c r="AD25" s="230" t="s">
        <v>55</v>
      </c>
      <c r="AE25" s="249">
        <v>0</v>
      </c>
      <c r="AF2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الشراء-الاستلام]]&lt;DATE(2017,1,1),Q25-AE25,0))</f>
        <v>900</v>
      </c>
      <c r="AG2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135</v>
      </c>
      <c r="AH2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" s="251">
        <f>Table51013454[[#This Row],[اهلاك المستبعد
في 2017]]+Table51013454[[#This Row],[مجمع إهلاك المستبعد 
01-01-2017]]</f>
        <v>0</v>
      </c>
      <c r="AJ25" s="251">
        <f>Table51013454[[#This Row],[إجمالي المستبعد]]-Table51013454[[#This Row],[مجمع إهلاك المستبعد 
بتاريخ الأستبعاد]]</f>
        <v>0</v>
      </c>
      <c r="AK25" s="250"/>
      <c r="AL25" s="249">
        <f>IF(OR(Table51013454[[#This Row],[تاريخ الشراء-الاستلام]]="",Table51013454[[#This Row],[الإجمالي]]="",Table51013454[[#This Row],[العمر الافتراضي]]=""),"",IF(((AE25+AG25)-Table51013454[[#This Row],[مجمع إهلاك المستبعد 
بتاريخ الأستبعاد]])&lt;=0,0,((AE25+AG25)-Table51013454[[#This Row],[مجمع إهلاك المستبعد 
بتاريخ الأستبعاد]])))</f>
        <v>135</v>
      </c>
      <c r="AM2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الشراء-الاستلام]]&gt;DATE(2017,12,31),0,AA25-AL25)))</f>
        <v>765</v>
      </c>
    </row>
    <row r="26" spans="1:39" s="260" customFormat="1" ht="57.75" hidden="1" customHeight="1">
      <c r="A26" s="239">
        <f>IF(B26="","",SUBTOTAL(3,$B$6:B26))</f>
        <v>0</v>
      </c>
      <c r="B26" s="230" t="s">
        <v>70</v>
      </c>
      <c r="C26" s="238" t="s">
        <v>12</v>
      </c>
      <c r="D26" s="238"/>
      <c r="E26" s="230" t="s">
        <v>71</v>
      </c>
      <c r="F26" s="230" t="s">
        <v>52</v>
      </c>
      <c r="G26" s="230" t="s">
        <v>436</v>
      </c>
      <c r="H26" s="231" t="s">
        <v>7</v>
      </c>
      <c r="I26" s="230" t="s">
        <v>86</v>
      </c>
      <c r="J26" s="236">
        <v>8469</v>
      </c>
      <c r="K26" s="236">
        <v>42594</v>
      </c>
      <c r="L26" s="235" t="s">
        <v>87</v>
      </c>
      <c r="M26" s="225"/>
      <c r="N26" s="224">
        <v>1</v>
      </c>
      <c r="O26" s="223"/>
      <c r="P26" s="258">
        <v>40000</v>
      </c>
      <c r="Q26" s="257">
        <f t="shared" si="0"/>
        <v>40000</v>
      </c>
      <c r="R26" s="241"/>
      <c r="S26" s="240"/>
      <c r="T26" s="256"/>
      <c r="U26" s="256"/>
      <c r="V26" s="256"/>
      <c r="W26" s="256">
        <f>Table51013454[[#This Row],[العدد]]*Table51013454[[#This Row],[السعر الافرادي]]</f>
        <v>0</v>
      </c>
      <c r="X2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" s="254">
        <f>Table51013454[[#This Row],[الكمية]]-Table51013454[[#This Row],[العدد]]</f>
        <v>1</v>
      </c>
      <c r="Z26" s="253">
        <f>Table51013454[[#This Row],[سعر/الحبة]]</f>
        <v>40000</v>
      </c>
      <c r="AA26" s="253">
        <f>Table51013454[[#This Row],[الإجمالي]]-Table51013454[[#This Row],[إجمالي المستبعد]]</f>
        <v>40000</v>
      </c>
      <c r="AB26" s="269">
        <v>0.25</v>
      </c>
      <c r="AC26" s="231"/>
      <c r="AD26" s="230" t="s">
        <v>55</v>
      </c>
      <c r="AE26" s="249">
        <v>3863.0136986301372</v>
      </c>
      <c r="AF2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الشراء-الاستلام]]&lt;DATE(2017,1,1),Q26-AE26,0))</f>
        <v>36136.986301369863</v>
      </c>
      <c r="AG2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" s="251">
        <f>Table51013454[[#This Row],[اهلاك المستبعد
في 2017]]+Table51013454[[#This Row],[مجمع إهلاك المستبعد 
01-01-2017]]</f>
        <v>0</v>
      </c>
      <c r="AJ26" s="251">
        <f>Table51013454[[#This Row],[إجمالي المستبعد]]-Table51013454[[#This Row],[مجمع إهلاك المستبعد 
بتاريخ الأستبعاد]]</f>
        <v>0</v>
      </c>
      <c r="AK26" s="250"/>
      <c r="AL26" s="249">
        <f>IF(OR(Table51013454[[#This Row],[تاريخ الشراء-الاستلام]]="",Table51013454[[#This Row],[الإجمالي]]="",Table51013454[[#This Row],[العمر الافتراضي]]=""),"",IF(((AE26+AG26)-Table51013454[[#This Row],[مجمع إهلاك المستبعد 
بتاريخ الأستبعاد]])&lt;=0,0,((AE26+AG26)-Table51013454[[#This Row],[مجمع إهلاك المستبعد 
بتاريخ الأستبعاد]])))</f>
        <v>13863.013698630137</v>
      </c>
      <c r="AM2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الشراء-الاستلام]]&gt;DATE(2017,12,31),0,AA26-AL26)))</f>
        <v>26136.986301369863</v>
      </c>
    </row>
    <row r="27" spans="1:39" s="260" customFormat="1" ht="57.75" hidden="1" customHeight="1">
      <c r="A27" s="239">
        <f>IF(B27="","",SUBTOTAL(3,$B$6:B27))</f>
        <v>0</v>
      </c>
      <c r="B27" s="230" t="s">
        <v>70</v>
      </c>
      <c r="C27" s="238" t="s">
        <v>12</v>
      </c>
      <c r="D27" s="238"/>
      <c r="E27" s="230" t="s">
        <v>71</v>
      </c>
      <c r="F27" s="230" t="s">
        <v>96</v>
      </c>
      <c r="G27" s="230"/>
      <c r="H27" s="231" t="s">
        <v>7</v>
      </c>
      <c r="I27" s="230" t="s">
        <v>88</v>
      </c>
      <c r="J27" s="236">
        <v>8467</v>
      </c>
      <c r="K27" s="236">
        <v>42594.7</v>
      </c>
      <c r="L27" s="235" t="s">
        <v>87</v>
      </c>
      <c r="M27" s="225"/>
      <c r="N27" s="224">
        <v>1</v>
      </c>
      <c r="O27" s="223"/>
      <c r="P27" s="258">
        <v>40000</v>
      </c>
      <c r="Q27" s="257">
        <f t="shared" si="0"/>
        <v>40000</v>
      </c>
      <c r="R27" s="241"/>
      <c r="S27" s="240"/>
      <c r="T27" s="256"/>
      <c r="U27" s="256"/>
      <c r="V27" s="256"/>
      <c r="W27" s="256">
        <f>Table51013454[[#This Row],[العدد]]*Table51013454[[#This Row],[السعر الافرادي]]</f>
        <v>0</v>
      </c>
      <c r="X2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" s="254">
        <f>Table51013454[[#This Row],[الكمية]]-Table51013454[[#This Row],[العدد]]</f>
        <v>1</v>
      </c>
      <c r="Z27" s="253">
        <f>Table51013454[[#This Row],[سعر/الحبة]]</f>
        <v>40000</v>
      </c>
      <c r="AA27" s="253">
        <f>Table51013454[[#This Row],[الإجمالي]]-Table51013454[[#This Row],[إجمالي المستبعد]]</f>
        <v>40000</v>
      </c>
      <c r="AB27" s="269">
        <v>0.25</v>
      </c>
      <c r="AC27" s="231"/>
      <c r="AD27" s="230" t="s">
        <v>55</v>
      </c>
      <c r="AE27" s="249">
        <v>3843.8356164384359</v>
      </c>
      <c r="AF2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الشراء-الاستلام]]&lt;DATE(2017,1,1),Q27-AE27,0))</f>
        <v>36156.164383561561</v>
      </c>
      <c r="AG2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" s="251">
        <f>Table51013454[[#This Row],[اهلاك المستبعد
في 2017]]+Table51013454[[#This Row],[مجمع إهلاك المستبعد 
01-01-2017]]</f>
        <v>0</v>
      </c>
      <c r="AJ27" s="251">
        <f>Table51013454[[#This Row],[إجمالي المستبعد]]-Table51013454[[#This Row],[مجمع إهلاك المستبعد 
بتاريخ الأستبعاد]]</f>
        <v>0</v>
      </c>
      <c r="AK27" s="250"/>
      <c r="AL27" s="249">
        <f>IF(OR(Table51013454[[#This Row],[تاريخ الشراء-الاستلام]]="",Table51013454[[#This Row],[الإجمالي]]="",Table51013454[[#This Row],[العمر الافتراضي]]=""),"",IF(((AE27+AG27)-Table51013454[[#This Row],[مجمع إهلاك المستبعد 
بتاريخ الأستبعاد]])&lt;=0,0,((AE27+AG27)-Table51013454[[#This Row],[مجمع إهلاك المستبعد 
بتاريخ الأستبعاد]])))</f>
        <v>13843.835616438435</v>
      </c>
      <c r="AM2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الشراء-الاستلام]]&gt;DATE(2017,12,31),0,AA27-AL27)))</f>
        <v>26156.164383561565</v>
      </c>
    </row>
    <row r="28" spans="1:39" s="260" customFormat="1" ht="57.75" hidden="1" customHeight="1">
      <c r="A28" s="239">
        <f>IF(B28="","",SUBTOTAL(3,$B$6:B28))</f>
        <v>0</v>
      </c>
      <c r="B28" s="230" t="s">
        <v>70</v>
      </c>
      <c r="C28" s="238" t="s">
        <v>12</v>
      </c>
      <c r="D28" s="238"/>
      <c r="E28" s="230" t="s">
        <v>71</v>
      </c>
      <c r="F28" s="230" t="s">
        <v>437</v>
      </c>
      <c r="G28" s="230" t="s">
        <v>437</v>
      </c>
      <c r="H28" s="231" t="s">
        <v>65</v>
      </c>
      <c r="I28" s="230" t="s">
        <v>66</v>
      </c>
      <c r="J28" s="236">
        <v>8468</v>
      </c>
      <c r="K28" s="236">
        <v>42595</v>
      </c>
      <c r="L28" s="235" t="s">
        <v>87</v>
      </c>
      <c r="M28" s="225"/>
      <c r="N28" s="224">
        <v>1</v>
      </c>
      <c r="O28" s="223"/>
      <c r="P28" s="258">
        <v>40000</v>
      </c>
      <c r="Q28" s="257">
        <f t="shared" si="0"/>
        <v>40000</v>
      </c>
      <c r="R28" s="241"/>
      <c r="S28" s="240"/>
      <c r="T28" s="256"/>
      <c r="U28" s="256"/>
      <c r="V28" s="256"/>
      <c r="W28" s="256">
        <f>Table51013454[[#This Row],[العدد]]*Table51013454[[#This Row],[السعر الافرادي]]</f>
        <v>0</v>
      </c>
      <c r="X2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8" s="254">
        <f>Table51013454[[#This Row],[الكمية]]-Table51013454[[#This Row],[العدد]]</f>
        <v>1</v>
      </c>
      <c r="Z28" s="253">
        <f>Table51013454[[#This Row],[سعر/الحبة]]</f>
        <v>40000</v>
      </c>
      <c r="AA28" s="253">
        <f>Table51013454[[#This Row],[الإجمالي]]-Table51013454[[#This Row],[إجمالي المستبعد]]</f>
        <v>40000</v>
      </c>
      <c r="AB28" s="269">
        <v>0.25</v>
      </c>
      <c r="AC28" s="231"/>
      <c r="AD28" s="230" t="s">
        <v>55</v>
      </c>
      <c r="AE28" s="249">
        <v>3835.6164383561641</v>
      </c>
      <c r="AF2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الشراء-الاستلام]]&lt;DATE(2017,1,1),Q28-AE28,0))</f>
        <v>36164.383561643837</v>
      </c>
      <c r="AG2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8" s="251">
        <f>Table51013454[[#This Row],[اهلاك المستبعد
في 2017]]+Table51013454[[#This Row],[مجمع إهلاك المستبعد 
01-01-2017]]</f>
        <v>0</v>
      </c>
      <c r="AJ28" s="251">
        <f>Table51013454[[#This Row],[إجمالي المستبعد]]-Table51013454[[#This Row],[مجمع إهلاك المستبعد 
بتاريخ الأستبعاد]]</f>
        <v>0</v>
      </c>
      <c r="AK28" s="250"/>
      <c r="AL28" s="249">
        <f>IF(OR(Table51013454[[#This Row],[تاريخ الشراء-الاستلام]]="",Table51013454[[#This Row],[الإجمالي]]="",Table51013454[[#This Row],[العمر الافتراضي]]=""),"",IF(((AE28+AG28)-Table51013454[[#This Row],[مجمع إهلاك المستبعد 
بتاريخ الأستبعاد]])&lt;=0,0,((AE28+AG28)-Table51013454[[#This Row],[مجمع إهلاك المستبعد 
بتاريخ الأستبعاد]])))</f>
        <v>13835.616438356165</v>
      </c>
      <c r="AM2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الشراء-الاستلام]]&gt;DATE(2017,12,31),0,AA28-AL28)))</f>
        <v>26164.383561643837</v>
      </c>
    </row>
    <row r="29" spans="1:39" s="260" customFormat="1" ht="57.75" hidden="1" customHeight="1">
      <c r="A29" s="239">
        <f>IF(B29="","",SUBTOTAL(3,$B$6:B29))</f>
        <v>0</v>
      </c>
      <c r="B29" s="230" t="s">
        <v>70</v>
      </c>
      <c r="C29" s="238" t="s">
        <v>12</v>
      </c>
      <c r="D29" s="238"/>
      <c r="E29" s="230" t="s">
        <v>71</v>
      </c>
      <c r="F29" s="230" t="s">
        <v>52</v>
      </c>
      <c r="G29" s="230" t="s">
        <v>436</v>
      </c>
      <c r="H29" s="231" t="s">
        <v>89</v>
      </c>
      <c r="I29" s="230" t="s">
        <v>90</v>
      </c>
      <c r="J29" s="236">
        <v>8470</v>
      </c>
      <c r="K29" s="236">
        <v>42595</v>
      </c>
      <c r="L29" s="235" t="s">
        <v>87</v>
      </c>
      <c r="M29" s="225"/>
      <c r="N29" s="224">
        <v>1</v>
      </c>
      <c r="O29" s="223"/>
      <c r="P29" s="258">
        <v>40000</v>
      </c>
      <c r="Q29" s="257">
        <f t="shared" si="0"/>
        <v>40000</v>
      </c>
      <c r="R29" s="241"/>
      <c r="S29" s="240"/>
      <c r="T29" s="256"/>
      <c r="U29" s="256"/>
      <c r="V29" s="256"/>
      <c r="W29" s="256">
        <f>Table51013454[[#This Row],[العدد]]*Table51013454[[#This Row],[السعر الافرادي]]</f>
        <v>0</v>
      </c>
      <c r="X2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9" s="254">
        <f>Table51013454[[#This Row],[الكمية]]-Table51013454[[#This Row],[العدد]]</f>
        <v>1</v>
      </c>
      <c r="Z29" s="253">
        <f>Table51013454[[#This Row],[سعر/الحبة]]</f>
        <v>40000</v>
      </c>
      <c r="AA29" s="253">
        <f>Table51013454[[#This Row],[الإجمالي]]-Table51013454[[#This Row],[إجمالي المستبعد]]</f>
        <v>40000</v>
      </c>
      <c r="AB29" s="269">
        <v>0.25</v>
      </c>
      <c r="AC29" s="231"/>
      <c r="AD29" s="230" t="s">
        <v>55</v>
      </c>
      <c r="AE29" s="249">
        <v>3835.6164383561641</v>
      </c>
      <c r="AF2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الشراء-الاستلام]]&lt;DATE(2017,1,1),Q29-AE29,0))</f>
        <v>36164.383561643837</v>
      </c>
      <c r="AG2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10000</v>
      </c>
      <c r="AH2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9" s="251">
        <f>Table51013454[[#This Row],[اهلاك المستبعد
في 2017]]+Table51013454[[#This Row],[مجمع إهلاك المستبعد 
01-01-2017]]</f>
        <v>0</v>
      </c>
      <c r="AJ29" s="251">
        <f>Table51013454[[#This Row],[إجمالي المستبعد]]-Table51013454[[#This Row],[مجمع إهلاك المستبعد 
بتاريخ الأستبعاد]]</f>
        <v>0</v>
      </c>
      <c r="AK29" s="250"/>
      <c r="AL29" s="249">
        <f>IF(OR(Table51013454[[#This Row],[تاريخ الشراء-الاستلام]]="",Table51013454[[#This Row],[الإجمالي]]="",Table51013454[[#This Row],[العمر الافتراضي]]=""),"",IF(((AE29+AG29)-Table51013454[[#This Row],[مجمع إهلاك المستبعد 
بتاريخ الأستبعاد]])&lt;=0,0,((AE29+AG29)-Table51013454[[#This Row],[مجمع إهلاك المستبعد 
بتاريخ الأستبعاد]])))</f>
        <v>13835.616438356165</v>
      </c>
      <c r="AM2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الشراء-الاستلام]]&gt;DATE(2017,12,31),0,AA29-AL29)))</f>
        <v>26164.383561643837</v>
      </c>
    </row>
    <row r="30" spans="1:39" s="260" customFormat="1" ht="57.75" hidden="1" customHeight="1">
      <c r="A30" s="239">
        <f>IF(B30="","",SUBTOTAL(3,$B$6:B30))</f>
        <v>0</v>
      </c>
      <c r="B30" s="230" t="s">
        <v>73</v>
      </c>
      <c r="C30" s="238" t="s">
        <v>12</v>
      </c>
      <c r="D30" s="238"/>
      <c r="E30" s="230" t="s">
        <v>31</v>
      </c>
      <c r="F30" s="230" t="s">
        <v>126</v>
      </c>
      <c r="G30" s="230"/>
      <c r="H30" s="231" t="s">
        <v>72</v>
      </c>
      <c r="I30" s="230"/>
      <c r="J30" s="237" t="s">
        <v>92</v>
      </c>
      <c r="K30" s="236">
        <v>42711.040000000001</v>
      </c>
      <c r="L30" s="235" t="s">
        <v>75</v>
      </c>
      <c r="M30" s="225"/>
      <c r="N30" s="224">
        <v>1</v>
      </c>
      <c r="O30" s="223"/>
      <c r="P30" s="258">
        <v>160000</v>
      </c>
      <c r="Q30" s="257">
        <f t="shared" si="0"/>
        <v>160000</v>
      </c>
      <c r="R30" s="241"/>
      <c r="S30" s="240"/>
      <c r="T30" s="256"/>
      <c r="U30" s="256"/>
      <c r="V30" s="256"/>
      <c r="W30" s="256">
        <f>Table51013454[[#This Row],[العدد]]*Table51013454[[#This Row],[السعر الافرادي]]</f>
        <v>0</v>
      </c>
      <c r="X3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0" s="254">
        <f>Table51013454[[#This Row],[الكمية]]-Table51013454[[#This Row],[العدد]]</f>
        <v>1</v>
      </c>
      <c r="Z30" s="253">
        <f>Table51013454[[#This Row],[سعر/الحبة]]</f>
        <v>160000</v>
      </c>
      <c r="AA30" s="253">
        <f>Table51013454[[#This Row],[الإجمالي]]-Table51013454[[#This Row],[إجمالي المستبعد]]</f>
        <v>160000</v>
      </c>
      <c r="AB30" s="232">
        <v>0.25</v>
      </c>
      <c r="AC30" s="231"/>
      <c r="AD30" s="230" t="s">
        <v>55</v>
      </c>
      <c r="AE30" s="249">
        <v>2625.7534246574387</v>
      </c>
      <c r="AF3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الشراء-الاستلام]]&lt;DATE(2017,1,1),Q30-AE30,0))</f>
        <v>157374.24657534255</v>
      </c>
      <c r="AG3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40000</v>
      </c>
      <c r="AH3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0" s="251">
        <f>Table51013454[[#This Row],[اهلاك المستبعد
في 2017]]+Table51013454[[#This Row],[مجمع إهلاك المستبعد 
01-01-2017]]</f>
        <v>0</v>
      </c>
      <c r="AJ30" s="251">
        <f>Table51013454[[#This Row],[إجمالي المستبعد]]-Table51013454[[#This Row],[مجمع إهلاك المستبعد 
بتاريخ الأستبعاد]]</f>
        <v>0</v>
      </c>
      <c r="AK30" s="250"/>
      <c r="AL30" s="249">
        <f>IF(OR(Table51013454[[#This Row],[تاريخ الشراء-الاستلام]]="",Table51013454[[#This Row],[الإجمالي]]="",Table51013454[[#This Row],[العمر الافتراضي]]=""),"",IF(((AE30+AG30)-Table51013454[[#This Row],[مجمع إهلاك المستبعد 
بتاريخ الأستبعاد]])&lt;=0,0,((AE30+AG30)-Table51013454[[#This Row],[مجمع إهلاك المستبعد 
بتاريخ الأستبعاد]])))</f>
        <v>42625.753424657436</v>
      </c>
      <c r="AM3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الشراء-الاستلام]]&gt;DATE(2017,12,31),0,AA30-AL30)))</f>
        <v>117374.24657534256</v>
      </c>
    </row>
    <row r="31" spans="1:39" s="260" customFormat="1" ht="57.75" hidden="1" customHeight="1">
      <c r="A31" s="246">
        <f>IF(B31="","",SUBTOTAL(3,$B$6:B279))</f>
        <v>23</v>
      </c>
      <c r="B31" s="230" t="s">
        <v>73</v>
      </c>
      <c r="C31" s="238" t="s">
        <v>12</v>
      </c>
      <c r="D31" s="238"/>
      <c r="E31" s="230" t="s">
        <v>31</v>
      </c>
      <c r="F31" s="230" t="s">
        <v>482</v>
      </c>
      <c r="G31" s="230"/>
      <c r="H31" s="231" t="s">
        <v>72</v>
      </c>
      <c r="I31" s="230"/>
      <c r="J31" s="237" t="s">
        <v>93</v>
      </c>
      <c r="K31" s="236">
        <v>42711</v>
      </c>
      <c r="L31" s="235" t="s">
        <v>75</v>
      </c>
      <c r="M31" s="225"/>
      <c r="N31" s="224">
        <v>1</v>
      </c>
      <c r="O31" s="223"/>
      <c r="P31" s="258">
        <v>160000</v>
      </c>
      <c r="Q31" s="257">
        <f t="shared" si="0"/>
        <v>160000</v>
      </c>
      <c r="R31" s="241"/>
      <c r="S31" s="240"/>
      <c r="T31" s="256"/>
      <c r="U31" s="256"/>
      <c r="V31" s="256"/>
      <c r="W31" s="256">
        <f>Table51013454[[#This Row],[العدد]]*Table51013454[[#This Row],[السعر الافرادي]]</f>
        <v>0</v>
      </c>
      <c r="X3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1" s="254">
        <f>Table51013454[[#This Row],[الكمية]]-Table51013454[[#This Row],[العدد]]</f>
        <v>1</v>
      </c>
      <c r="Z31" s="253">
        <f>Table51013454[[#This Row],[سعر/الحبة]]</f>
        <v>160000</v>
      </c>
      <c r="AA31" s="253">
        <f>Table51013454[[#This Row],[الإجمالي]]-Table51013454[[#This Row],[إجمالي المستبعد]]</f>
        <v>160000</v>
      </c>
      <c r="AB31" s="232">
        <v>0.25</v>
      </c>
      <c r="AC31" s="231"/>
      <c r="AD31" s="230" t="s">
        <v>55</v>
      </c>
      <c r="AE31" s="249">
        <v>2630.1369863013697</v>
      </c>
      <c r="AF3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الشراء-الاستلام]]&lt;DATE(2017,1,1),Q31-AE31,0))</f>
        <v>157369.86301369863</v>
      </c>
      <c r="AG3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40000</v>
      </c>
      <c r="AH3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1" s="251">
        <f>Table51013454[[#This Row],[اهلاك المستبعد
في 2017]]+Table51013454[[#This Row],[مجمع إهلاك المستبعد 
01-01-2017]]</f>
        <v>0</v>
      </c>
      <c r="AJ31" s="251">
        <f>Table51013454[[#This Row],[إجمالي المستبعد]]-Table51013454[[#This Row],[مجمع إهلاك المستبعد 
بتاريخ الأستبعاد]]</f>
        <v>0</v>
      </c>
      <c r="AK31" s="250"/>
      <c r="AL31" s="249">
        <f>IF(OR(Table51013454[[#This Row],[تاريخ الشراء-الاستلام]]="",Table51013454[[#This Row],[الإجمالي]]="",Table51013454[[#This Row],[العمر الافتراضي]]=""),"",IF(((AE31+AG31)-Table51013454[[#This Row],[مجمع إهلاك المستبعد 
بتاريخ الأستبعاد]])&lt;=0,0,((AE31+AG31)-Table51013454[[#This Row],[مجمع إهلاك المستبعد 
بتاريخ الأستبعاد]])))</f>
        <v>42630.136986301368</v>
      </c>
      <c r="AM3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الشراء-الاستلام]]&gt;DATE(2017,12,31),0,AA31-AL31)))</f>
        <v>117369.86301369863</v>
      </c>
    </row>
    <row r="32" spans="1:39" s="260" customFormat="1" ht="57.75" hidden="1" customHeight="1">
      <c r="A32" s="239">
        <f>IF(B32="","",SUBTOTAL(3,$B$6:B32))</f>
        <v>0</v>
      </c>
      <c r="B32" s="230" t="s">
        <v>95</v>
      </c>
      <c r="C32" s="238" t="s">
        <v>91</v>
      </c>
      <c r="D32" s="238"/>
      <c r="E32" s="230" t="s">
        <v>31</v>
      </c>
      <c r="F32" s="230" t="s">
        <v>96</v>
      </c>
      <c r="G32" s="230"/>
      <c r="H32" s="231" t="s">
        <v>72</v>
      </c>
      <c r="I32" s="231"/>
      <c r="J32" s="237" t="s">
        <v>97</v>
      </c>
      <c r="K32" s="236">
        <v>42005</v>
      </c>
      <c r="L32" s="235"/>
      <c r="M32" s="225"/>
      <c r="N32" s="224">
        <v>1</v>
      </c>
      <c r="O32" s="223"/>
      <c r="P32" s="258">
        <v>217360</v>
      </c>
      <c r="Q32" s="257">
        <f t="shared" si="0"/>
        <v>217360</v>
      </c>
      <c r="R32" s="241"/>
      <c r="S32" s="240"/>
      <c r="T32" s="256"/>
      <c r="U32" s="256"/>
      <c r="V32" s="256"/>
      <c r="W32" s="256">
        <f>Table51013454[[#This Row],[العدد]]*Table51013454[[#This Row],[السعر الافرادي]]</f>
        <v>0</v>
      </c>
      <c r="X3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2" s="254">
        <f>Table51013454[[#This Row],[الكمية]]-Table51013454[[#This Row],[العدد]]</f>
        <v>1</v>
      </c>
      <c r="Z32" s="253">
        <f>Table51013454[[#This Row],[سعر/الحبة]]</f>
        <v>217360</v>
      </c>
      <c r="AA32" s="253">
        <f>Table51013454[[#This Row],[الإجمالي]]-Table51013454[[#This Row],[إجمالي المستبعد]]</f>
        <v>217360</v>
      </c>
      <c r="AB32" s="232">
        <v>0.2</v>
      </c>
      <c r="AC32" s="231"/>
      <c r="AD32" s="230" t="s">
        <v>55</v>
      </c>
      <c r="AE32" s="249">
        <v>86824.898630136988</v>
      </c>
      <c r="AF3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الشراء-الاستلام]]&lt;DATE(2017,1,1),Q32-AE32,0))</f>
        <v>130535.10136986301</v>
      </c>
      <c r="AG3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43472</v>
      </c>
      <c r="AH3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2" s="251">
        <f>Table51013454[[#This Row],[اهلاك المستبعد
في 2017]]+Table51013454[[#This Row],[مجمع إهلاك المستبعد 
01-01-2017]]</f>
        <v>0</v>
      </c>
      <c r="AJ32" s="251">
        <f>Table51013454[[#This Row],[إجمالي المستبعد]]-Table51013454[[#This Row],[مجمع إهلاك المستبعد 
بتاريخ الأستبعاد]]</f>
        <v>0</v>
      </c>
      <c r="AK32" s="250"/>
      <c r="AL32" s="249">
        <f>IF(OR(Table51013454[[#This Row],[تاريخ الشراء-الاستلام]]="",Table51013454[[#This Row],[الإجمالي]]="",Table51013454[[#This Row],[العمر الافتراضي]]=""),"",IF(((AE32+AG32)-Table51013454[[#This Row],[مجمع إهلاك المستبعد 
بتاريخ الأستبعاد]])&lt;=0,0,((AE32+AG32)-Table51013454[[#This Row],[مجمع إهلاك المستبعد 
بتاريخ الأستبعاد]])))</f>
        <v>130296.89863013699</v>
      </c>
      <c r="AM3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الشراء-الاستلام]]&gt;DATE(2017,12,31),0,AA32-AL32)))</f>
        <v>87063.101369863012</v>
      </c>
    </row>
    <row r="33" spans="1:39" s="260" customFormat="1" ht="57.75" hidden="1" customHeight="1">
      <c r="A33" s="239">
        <f>IF(B33="","",SUBTOTAL(3,$B$6:B33))</f>
        <v>0</v>
      </c>
      <c r="B33" s="230" t="s">
        <v>95</v>
      </c>
      <c r="C33" s="238" t="s">
        <v>91</v>
      </c>
      <c r="D33" s="238"/>
      <c r="E33" s="230" t="s">
        <v>31</v>
      </c>
      <c r="F33" s="230" t="s">
        <v>96</v>
      </c>
      <c r="G33" s="230"/>
      <c r="H33" s="231" t="s">
        <v>72</v>
      </c>
      <c r="I33" s="231"/>
      <c r="J33" s="237" t="s">
        <v>98</v>
      </c>
      <c r="K33" s="236">
        <v>42005</v>
      </c>
      <c r="L33" s="235"/>
      <c r="M33" s="225"/>
      <c r="N33" s="224">
        <v>1</v>
      </c>
      <c r="O33" s="223"/>
      <c r="P33" s="258">
        <v>217360</v>
      </c>
      <c r="Q33" s="257">
        <f t="shared" si="0"/>
        <v>217360</v>
      </c>
      <c r="R33" s="241"/>
      <c r="S33" s="240"/>
      <c r="T33" s="256"/>
      <c r="U33" s="256"/>
      <c r="V33" s="256"/>
      <c r="W33" s="256">
        <f>Table51013454[[#This Row],[العدد]]*Table51013454[[#This Row],[السعر الافرادي]]</f>
        <v>0</v>
      </c>
      <c r="X3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3" s="254">
        <f>Table51013454[[#This Row],[الكمية]]-Table51013454[[#This Row],[العدد]]</f>
        <v>1</v>
      </c>
      <c r="Z33" s="253">
        <f>Table51013454[[#This Row],[سعر/الحبة]]</f>
        <v>217360</v>
      </c>
      <c r="AA33" s="253">
        <f>Table51013454[[#This Row],[الإجمالي]]-Table51013454[[#This Row],[إجمالي المستبعد]]</f>
        <v>217360</v>
      </c>
      <c r="AB33" s="232">
        <v>0.2</v>
      </c>
      <c r="AC33" s="231"/>
      <c r="AD33" s="230" t="s">
        <v>55</v>
      </c>
      <c r="AE33" s="249">
        <v>86824.898630136988</v>
      </c>
      <c r="AF3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الشراء-الاستلام]]&lt;DATE(2017,1,1),Q33-AE33,0))</f>
        <v>130535.10136986301</v>
      </c>
      <c r="AG3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43472</v>
      </c>
      <c r="AH3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3" s="251">
        <f>Table51013454[[#This Row],[اهلاك المستبعد
في 2017]]+Table51013454[[#This Row],[مجمع إهلاك المستبعد 
01-01-2017]]</f>
        <v>0</v>
      </c>
      <c r="AJ33" s="251">
        <f>Table51013454[[#This Row],[إجمالي المستبعد]]-Table51013454[[#This Row],[مجمع إهلاك المستبعد 
بتاريخ الأستبعاد]]</f>
        <v>0</v>
      </c>
      <c r="AK33" s="250"/>
      <c r="AL33" s="249">
        <f>IF(OR(Table51013454[[#This Row],[تاريخ الشراء-الاستلام]]="",Table51013454[[#This Row],[الإجمالي]]="",Table51013454[[#This Row],[العمر الافتراضي]]=""),"",IF(((AE33+AG33)-Table51013454[[#This Row],[مجمع إهلاك المستبعد 
بتاريخ الأستبعاد]])&lt;=0,0,((AE33+AG33)-Table51013454[[#This Row],[مجمع إهلاك المستبعد 
بتاريخ الأستبعاد]])))</f>
        <v>130296.89863013699</v>
      </c>
      <c r="AM3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الشراء-الاستلام]]&gt;DATE(2017,12,31),0,AA33-AL33)))</f>
        <v>87063.101369863012</v>
      </c>
    </row>
    <row r="34" spans="1:39" s="260" customFormat="1" ht="57.75" hidden="1" customHeight="1">
      <c r="A34" s="239">
        <f>IF(B34="","",SUBTOTAL(3,$B$6:B34))</f>
        <v>0</v>
      </c>
      <c r="B34" s="230" t="s">
        <v>56</v>
      </c>
      <c r="C34" s="238" t="s">
        <v>12</v>
      </c>
      <c r="D34" s="238"/>
      <c r="E34" s="230" t="s">
        <v>57</v>
      </c>
      <c r="F34" s="230" t="s">
        <v>96</v>
      </c>
      <c r="G34" s="230"/>
      <c r="H34" s="231" t="s">
        <v>72</v>
      </c>
      <c r="I34" s="230"/>
      <c r="J34" s="236"/>
      <c r="K34" s="236">
        <v>42005</v>
      </c>
      <c r="L34" s="235"/>
      <c r="M34" s="225"/>
      <c r="N34" s="224">
        <v>34</v>
      </c>
      <c r="O34" s="223"/>
      <c r="P34" s="258">
        <v>650</v>
      </c>
      <c r="Q34" s="257">
        <f t="shared" si="0"/>
        <v>22100</v>
      </c>
      <c r="R34" s="241"/>
      <c r="S34" s="240"/>
      <c r="T34" s="256"/>
      <c r="U34" s="256"/>
      <c r="V34" s="256"/>
      <c r="W34" s="256">
        <f>Table51013454[[#This Row],[العدد]]*Table51013454[[#This Row],[السعر الافرادي]]</f>
        <v>0</v>
      </c>
      <c r="X3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4" s="254">
        <f>Table51013454[[#This Row],[الكمية]]-Table51013454[[#This Row],[العدد]]</f>
        <v>34</v>
      </c>
      <c r="Z34" s="253">
        <f>Table51013454[[#This Row],[سعر/الحبة]]</f>
        <v>650</v>
      </c>
      <c r="AA34" s="253">
        <f>Table51013454[[#This Row],[الإجمالي]]-Table51013454[[#This Row],[إجمالي المستبعد]]</f>
        <v>22100</v>
      </c>
      <c r="AB34" s="269">
        <v>0.15</v>
      </c>
      <c r="AC34" s="231"/>
      <c r="AD34" s="230" t="s">
        <v>55</v>
      </c>
      <c r="AE34" s="249">
        <v>5518.9452054794519</v>
      </c>
      <c r="AF3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الشراء-الاستلام]]&lt;DATE(2017,1,1),Q34-AE34,0))</f>
        <v>16581.054794520547</v>
      </c>
      <c r="AG3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3315</v>
      </c>
      <c r="AH3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4" s="251">
        <f>Table51013454[[#This Row],[اهلاك المستبعد
في 2017]]+Table51013454[[#This Row],[مجمع إهلاك المستبعد 
01-01-2017]]</f>
        <v>0</v>
      </c>
      <c r="AJ34" s="251">
        <f>Table51013454[[#This Row],[إجمالي المستبعد]]-Table51013454[[#This Row],[مجمع إهلاك المستبعد 
بتاريخ الأستبعاد]]</f>
        <v>0</v>
      </c>
      <c r="AK34" s="250"/>
      <c r="AL34" s="249">
        <f>IF(OR(Table51013454[[#This Row],[تاريخ الشراء-الاستلام]]="",Table51013454[[#This Row],[الإجمالي]]="",Table51013454[[#This Row],[العمر الافتراضي]]=""),"",IF(((AE34+AG34)-Table51013454[[#This Row],[مجمع إهلاك المستبعد 
بتاريخ الأستبعاد]])&lt;=0,0,((AE34+AG34)-Table51013454[[#This Row],[مجمع إهلاك المستبعد 
بتاريخ الأستبعاد]])))</f>
        <v>8833.9452054794529</v>
      </c>
      <c r="AM3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الشراء-الاستلام]]&gt;DATE(2017,12,31),0,AA34-AL34)))</f>
        <v>13266.054794520547</v>
      </c>
    </row>
    <row r="35" spans="1:39" s="260" customFormat="1" ht="57.75" hidden="1" customHeight="1">
      <c r="A35" s="239">
        <f>IF(B35="","",SUBTOTAL(3,$B$6:B35))</f>
        <v>0</v>
      </c>
      <c r="B35" s="230" t="s">
        <v>99</v>
      </c>
      <c r="C35" s="238" t="s">
        <v>12</v>
      </c>
      <c r="D35" s="238"/>
      <c r="E35" s="230" t="s">
        <v>57</v>
      </c>
      <c r="F35" s="230" t="s">
        <v>96</v>
      </c>
      <c r="G35" s="230"/>
      <c r="H35" s="231" t="s">
        <v>72</v>
      </c>
      <c r="I35" s="230"/>
      <c r="J35" s="236"/>
      <c r="K35" s="236">
        <v>42005</v>
      </c>
      <c r="L35" s="235"/>
      <c r="M35" s="225"/>
      <c r="N35" s="224">
        <v>71</v>
      </c>
      <c r="O35" s="223"/>
      <c r="P35" s="258">
        <v>800</v>
      </c>
      <c r="Q35" s="257">
        <f t="shared" si="0"/>
        <v>56800</v>
      </c>
      <c r="R35" s="241"/>
      <c r="S35" s="240"/>
      <c r="T35" s="256"/>
      <c r="U35" s="256"/>
      <c r="V35" s="256"/>
      <c r="W35" s="256">
        <f>Table51013454[[#This Row],[العدد]]*Table51013454[[#This Row],[السعر الافرادي]]</f>
        <v>0</v>
      </c>
      <c r="X3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5" s="254">
        <f>Table51013454[[#This Row],[الكمية]]-Table51013454[[#This Row],[العدد]]</f>
        <v>71</v>
      </c>
      <c r="Z35" s="253">
        <f>Table51013454[[#This Row],[سعر/الحبة]]</f>
        <v>800</v>
      </c>
      <c r="AA35" s="253">
        <f>Table51013454[[#This Row],[الإجمالي]]-Table51013454[[#This Row],[إجمالي المستبعد]]</f>
        <v>56800</v>
      </c>
      <c r="AB35" s="269">
        <v>0.15</v>
      </c>
      <c r="AC35" s="231"/>
      <c r="AD35" s="230" t="s">
        <v>55</v>
      </c>
      <c r="AE35" s="249">
        <v>14184.438356164384</v>
      </c>
      <c r="AF3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الشراء-الاستلام]]&lt;DATE(2017,1,1),Q35-AE35,0))</f>
        <v>42615.561643835616</v>
      </c>
      <c r="AG3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8520</v>
      </c>
      <c r="AH3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5" s="251">
        <f>Table51013454[[#This Row],[اهلاك المستبعد
في 2017]]+Table51013454[[#This Row],[مجمع إهلاك المستبعد 
01-01-2017]]</f>
        <v>0</v>
      </c>
      <c r="AJ35" s="251">
        <f>Table51013454[[#This Row],[إجمالي المستبعد]]-Table51013454[[#This Row],[مجمع إهلاك المستبعد 
بتاريخ الأستبعاد]]</f>
        <v>0</v>
      </c>
      <c r="AK35" s="250"/>
      <c r="AL35" s="249">
        <f>IF(OR(Table51013454[[#This Row],[تاريخ الشراء-الاستلام]]="",Table51013454[[#This Row],[الإجمالي]]="",Table51013454[[#This Row],[العمر الافتراضي]]=""),"",IF(((AE35+AG35)-Table51013454[[#This Row],[مجمع إهلاك المستبعد 
بتاريخ الأستبعاد]])&lt;=0,0,((AE35+AG35)-Table51013454[[#This Row],[مجمع إهلاك المستبعد 
بتاريخ الأستبعاد]])))</f>
        <v>22704.438356164384</v>
      </c>
      <c r="AM3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الشراء-الاستلام]]&gt;DATE(2017,12,31),0,AA35-AL35)))</f>
        <v>34095.561643835616</v>
      </c>
    </row>
    <row r="36" spans="1:39" s="260" customFormat="1" ht="57.75" hidden="1" customHeight="1">
      <c r="A36" s="239">
        <f>IF(B36="","",SUBTOTAL(3,$B$6:B36))</f>
        <v>0</v>
      </c>
      <c r="B36" s="230" t="s">
        <v>100</v>
      </c>
      <c r="C36" s="238" t="s">
        <v>12</v>
      </c>
      <c r="D36" s="238"/>
      <c r="E36" s="230" t="s">
        <v>57</v>
      </c>
      <c r="F36" s="230" t="s">
        <v>96</v>
      </c>
      <c r="G36" s="230"/>
      <c r="H36" s="231" t="s">
        <v>72</v>
      </c>
      <c r="I36" s="230"/>
      <c r="J36" s="236"/>
      <c r="K36" s="236">
        <v>42005</v>
      </c>
      <c r="L36" s="235"/>
      <c r="M36" s="225"/>
      <c r="N36" s="224">
        <v>26</v>
      </c>
      <c r="O36" s="223"/>
      <c r="P36" s="258">
        <v>1200</v>
      </c>
      <c r="Q36" s="257">
        <f t="shared" si="0"/>
        <v>31200</v>
      </c>
      <c r="R36" s="241"/>
      <c r="S36" s="240"/>
      <c r="T36" s="256"/>
      <c r="U36" s="256"/>
      <c r="V36" s="256"/>
      <c r="W36" s="256">
        <f>Table51013454[[#This Row],[العدد]]*Table51013454[[#This Row],[السعر الافرادي]]</f>
        <v>0</v>
      </c>
      <c r="X3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6" s="254">
        <f>Table51013454[[#This Row],[الكمية]]-Table51013454[[#This Row],[العدد]]</f>
        <v>26</v>
      </c>
      <c r="Z36" s="253">
        <f>Table51013454[[#This Row],[سعر/الحبة]]</f>
        <v>1200</v>
      </c>
      <c r="AA36" s="253">
        <f>Table51013454[[#This Row],[الإجمالي]]-Table51013454[[#This Row],[إجمالي المستبعد]]</f>
        <v>31200</v>
      </c>
      <c r="AB36" s="269">
        <v>0.15</v>
      </c>
      <c r="AC36" s="231"/>
      <c r="AD36" s="230" t="s">
        <v>55</v>
      </c>
      <c r="AE36" s="249">
        <v>7791.4520547945212</v>
      </c>
      <c r="AF3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الشراء-الاستلام]]&lt;DATE(2017,1,1),Q36-AE36,0))</f>
        <v>23408.547945205479</v>
      </c>
      <c r="AG3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4680</v>
      </c>
      <c r="AH3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6" s="251">
        <f>Table51013454[[#This Row],[اهلاك المستبعد
في 2017]]+Table51013454[[#This Row],[مجمع إهلاك المستبعد 
01-01-2017]]</f>
        <v>0</v>
      </c>
      <c r="AJ36" s="251">
        <f>Table51013454[[#This Row],[إجمالي المستبعد]]-Table51013454[[#This Row],[مجمع إهلاك المستبعد 
بتاريخ الأستبعاد]]</f>
        <v>0</v>
      </c>
      <c r="AK36" s="250"/>
      <c r="AL36" s="249">
        <f>IF(OR(Table51013454[[#This Row],[تاريخ الشراء-الاستلام]]="",Table51013454[[#This Row],[الإجمالي]]="",Table51013454[[#This Row],[العمر الافتراضي]]=""),"",IF(((AE36+AG36)-Table51013454[[#This Row],[مجمع إهلاك المستبعد 
بتاريخ الأستبعاد]])&lt;=0,0,((AE36+AG36)-Table51013454[[#This Row],[مجمع إهلاك المستبعد 
بتاريخ الأستبعاد]])))</f>
        <v>12471.452054794521</v>
      </c>
      <c r="AM3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الشراء-الاستلام]]&gt;DATE(2017,12,31),0,AA36-AL36)))</f>
        <v>18728.547945205479</v>
      </c>
    </row>
    <row r="37" spans="1:39" s="260" customFormat="1" ht="57.75" hidden="1" customHeight="1">
      <c r="A37" s="239">
        <f>IF(B37="","",SUBTOTAL(3,$B$6:B37))</f>
        <v>0</v>
      </c>
      <c r="B37" s="230" t="s">
        <v>101</v>
      </c>
      <c r="C37" s="238" t="s">
        <v>12</v>
      </c>
      <c r="D37" s="238"/>
      <c r="E37" s="230" t="s">
        <v>102</v>
      </c>
      <c r="F37" s="230" t="s">
        <v>96</v>
      </c>
      <c r="G37" s="230"/>
      <c r="H37" s="231" t="s">
        <v>72</v>
      </c>
      <c r="I37" s="230"/>
      <c r="J37" s="236"/>
      <c r="K37" s="236">
        <v>42714</v>
      </c>
      <c r="L37" s="235" t="s">
        <v>211</v>
      </c>
      <c r="M37" s="283" t="s">
        <v>642</v>
      </c>
      <c r="N37" s="224">
        <v>3</v>
      </c>
      <c r="O37" s="223"/>
      <c r="P37" s="258">
        <v>66000</v>
      </c>
      <c r="Q37" s="257">
        <f t="shared" si="0"/>
        <v>198000</v>
      </c>
      <c r="R37" s="220"/>
      <c r="S37" s="240"/>
      <c r="T37" s="256"/>
      <c r="U37" s="256"/>
      <c r="V37" s="256"/>
      <c r="W37" s="256">
        <f>Table51013454[[#This Row],[العدد]]*Table51013454[[#This Row],[السعر الافرادي]]</f>
        <v>0</v>
      </c>
      <c r="X3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7" s="254">
        <f>Table51013454[[#This Row],[الكمية]]-Table51013454[[#This Row],[العدد]]</f>
        <v>3</v>
      </c>
      <c r="Z37" s="253">
        <f>Table51013454[[#This Row],[سعر/الحبة]]</f>
        <v>66000</v>
      </c>
      <c r="AA37" s="253">
        <f>Table51013454[[#This Row],[الإجمالي]]-Table51013454[[#This Row],[إجمالي المستبعد]]</f>
        <v>198000</v>
      </c>
      <c r="AB37" s="232">
        <v>0.15</v>
      </c>
      <c r="AC37" s="231"/>
      <c r="AD37" s="230" t="s">
        <v>55</v>
      </c>
      <c r="AE37" s="249">
        <v>1708.767123287671</v>
      </c>
      <c r="AF3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الشراء-الاستلام]]&lt;DATE(2017,1,1),Q37-AE37,0))</f>
        <v>196291.23287671234</v>
      </c>
      <c r="AG3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29700</v>
      </c>
      <c r="AH3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7" s="251">
        <f>Table51013454[[#This Row],[اهلاك المستبعد
في 2017]]+Table51013454[[#This Row],[مجمع إهلاك المستبعد 
01-01-2017]]</f>
        <v>0</v>
      </c>
      <c r="AJ37" s="251">
        <f>Table51013454[[#This Row],[إجمالي المستبعد]]-Table51013454[[#This Row],[مجمع إهلاك المستبعد 
بتاريخ الأستبعاد]]</f>
        <v>0</v>
      </c>
      <c r="AK37" s="250"/>
      <c r="AL37" s="249">
        <f>IF(OR(Table51013454[[#This Row],[تاريخ الشراء-الاستلام]]="",Table51013454[[#This Row],[الإجمالي]]="",Table51013454[[#This Row],[العمر الافتراضي]]=""),"",IF(((AE37+AG37)-Table51013454[[#This Row],[مجمع إهلاك المستبعد 
بتاريخ الأستبعاد]])&lt;=0,0,((AE37+AG37)-Table51013454[[#This Row],[مجمع إهلاك المستبعد 
بتاريخ الأستبعاد]])))</f>
        <v>31408.767123287671</v>
      </c>
      <c r="AM3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الشراء-الاستلام]]&gt;DATE(2017,12,31),0,AA37-AL37)))</f>
        <v>166591.23287671234</v>
      </c>
    </row>
    <row r="38" spans="1:39" s="260" customFormat="1" ht="57.75" hidden="1" customHeight="1">
      <c r="A38" s="239">
        <f>IF(B38="","",SUBTOTAL(3,$B$6:B38))</f>
        <v>0</v>
      </c>
      <c r="B38" s="230" t="s">
        <v>438</v>
      </c>
      <c r="C38" s="238" t="s">
        <v>91</v>
      </c>
      <c r="D38" s="238"/>
      <c r="E38" s="230" t="s">
        <v>31</v>
      </c>
      <c r="F38" s="230" t="s">
        <v>52</v>
      </c>
      <c r="G38" s="230" t="s">
        <v>439</v>
      </c>
      <c r="H38" s="231" t="s">
        <v>72</v>
      </c>
      <c r="I38" s="231" t="s">
        <v>440</v>
      </c>
      <c r="J38" s="237" t="s">
        <v>103</v>
      </c>
      <c r="K38" s="236">
        <v>42370</v>
      </c>
      <c r="L38" s="235"/>
      <c r="M38" s="283"/>
      <c r="N38" s="224">
        <v>1</v>
      </c>
      <c r="O38" s="223"/>
      <c r="P38" s="258">
        <v>286752</v>
      </c>
      <c r="Q38" s="257">
        <f t="shared" si="0"/>
        <v>286752</v>
      </c>
      <c r="R38" s="220"/>
      <c r="S38" s="240"/>
      <c r="T38" s="256"/>
      <c r="U38" s="256"/>
      <c r="V38" s="256"/>
      <c r="W38" s="256">
        <f>Table51013454[[#This Row],[العدد]]*Table51013454[[#This Row],[السعر الافرادي]]</f>
        <v>0</v>
      </c>
      <c r="X3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8" s="254">
        <f>Table51013454[[#This Row],[الكمية]]-Table51013454[[#This Row],[العدد]]</f>
        <v>1</v>
      </c>
      <c r="Z38" s="253">
        <f>Table51013454[[#This Row],[سعر/الحبة]]</f>
        <v>286752</v>
      </c>
      <c r="AA38" s="253">
        <f>Table51013454[[#This Row],[الإجمالي]]-Table51013454[[#This Row],[إجمالي المستبعد]]</f>
        <v>286752</v>
      </c>
      <c r="AB38" s="232">
        <v>0.15</v>
      </c>
      <c r="AC38" s="231"/>
      <c r="AD38" s="230" t="s">
        <v>55</v>
      </c>
      <c r="AE38" s="249">
        <v>43012.799999999996</v>
      </c>
      <c r="AF3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الشراء-الاستلام]]&lt;DATE(2017,1,1),Q38-AE38,0))</f>
        <v>243739.2</v>
      </c>
      <c r="AG3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43012.799999999996</v>
      </c>
      <c r="AH3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8" s="251">
        <f>Table51013454[[#This Row],[اهلاك المستبعد
في 2017]]+Table51013454[[#This Row],[مجمع إهلاك المستبعد 
01-01-2017]]</f>
        <v>0</v>
      </c>
      <c r="AJ38" s="251">
        <f>Table51013454[[#This Row],[إجمالي المستبعد]]-Table51013454[[#This Row],[مجمع إهلاك المستبعد 
بتاريخ الأستبعاد]]</f>
        <v>0</v>
      </c>
      <c r="AK38" s="250"/>
      <c r="AL38" s="249">
        <f>IF(OR(Table51013454[[#This Row],[تاريخ الشراء-الاستلام]]="",Table51013454[[#This Row],[الإجمالي]]="",Table51013454[[#This Row],[العمر الافتراضي]]=""),"",IF(((AE38+AG38)-Table51013454[[#This Row],[مجمع إهلاك المستبعد 
بتاريخ الأستبعاد]])&lt;=0,0,((AE38+AG38)-Table51013454[[#This Row],[مجمع إهلاك المستبعد 
بتاريخ الأستبعاد]])))</f>
        <v>86025.599999999991</v>
      </c>
      <c r="AM3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الشراء-الاستلام]]&gt;DATE(2017,12,31),0,AA38-AL38)))</f>
        <v>200726.40000000002</v>
      </c>
    </row>
    <row r="39" spans="1:39" s="260" customFormat="1" ht="57.75" hidden="1" customHeight="1">
      <c r="A39" s="239">
        <f>IF(B39="","",SUBTOTAL(3,$B$6:B39))</f>
        <v>0</v>
      </c>
      <c r="B39" s="230" t="s">
        <v>161</v>
      </c>
      <c r="C39" s="238" t="s">
        <v>91</v>
      </c>
      <c r="D39" s="238"/>
      <c r="E39" s="230" t="s">
        <v>31</v>
      </c>
      <c r="F39" s="230" t="s">
        <v>52</v>
      </c>
      <c r="G39" s="230" t="s">
        <v>436</v>
      </c>
      <c r="H39" s="231" t="s">
        <v>72</v>
      </c>
      <c r="I39" s="231"/>
      <c r="J39" s="237" t="s">
        <v>104</v>
      </c>
      <c r="K39" s="236">
        <v>39813</v>
      </c>
      <c r="L39" s="235"/>
      <c r="M39" s="283"/>
      <c r="N39" s="224">
        <v>1</v>
      </c>
      <c r="O39" s="223"/>
      <c r="P39" s="258">
        <v>585741</v>
      </c>
      <c r="Q39" s="257">
        <f t="shared" si="0"/>
        <v>585741</v>
      </c>
      <c r="R39" s="220"/>
      <c r="S39" s="240"/>
      <c r="T39" s="256"/>
      <c r="U39" s="256"/>
      <c r="V39" s="256"/>
      <c r="W39" s="256">
        <f>Table51013454[[#This Row],[العدد]]*Table51013454[[#This Row],[السعر الافرادي]]</f>
        <v>0</v>
      </c>
      <c r="X3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39" s="254">
        <f>Table51013454[[#This Row],[الكمية]]-Table51013454[[#This Row],[العدد]]</f>
        <v>1</v>
      </c>
      <c r="Z39" s="253">
        <f>Table51013454[[#This Row],[سعر/الحبة]]</f>
        <v>585741</v>
      </c>
      <c r="AA39" s="253">
        <f>Table51013454[[#This Row],[الإجمالي]]-Table51013454[[#This Row],[إجمالي المستبعد]]</f>
        <v>585741</v>
      </c>
      <c r="AB39" s="232">
        <v>0.15</v>
      </c>
      <c r="AC39" s="231"/>
      <c r="AD39" s="230"/>
      <c r="AE39" s="249">
        <v>585741</v>
      </c>
      <c r="AF3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الشراء-الاستلام]]&lt;DATE(2017,1,1),Q39-AE39,0))</f>
        <v>0</v>
      </c>
      <c r="AG3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3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39" s="251">
        <f>Table51013454[[#This Row],[اهلاك المستبعد
في 2017]]+Table51013454[[#This Row],[مجمع إهلاك المستبعد 
01-01-2017]]</f>
        <v>0</v>
      </c>
      <c r="AJ39" s="251">
        <f>Table51013454[[#This Row],[إجمالي المستبعد]]-Table51013454[[#This Row],[مجمع إهلاك المستبعد 
بتاريخ الأستبعاد]]</f>
        <v>0</v>
      </c>
      <c r="AK39" s="250"/>
      <c r="AL39" s="249">
        <f>IF(OR(Table51013454[[#This Row],[تاريخ الشراء-الاستلام]]="",Table51013454[[#This Row],[الإجمالي]]="",Table51013454[[#This Row],[العمر الافتراضي]]=""),"",IF(((AE39+AG39)-Table51013454[[#This Row],[مجمع إهلاك المستبعد 
بتاريخ الأستبعاد]])&lt;=0,0,((AE39+AG39)-Table51013454[[#This Row],[مجمع إهلاك المستبعد 
بتاريخ الأستبعاد]])))</f>
        <v>585741</v>
      </c>
      <c r="AM3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الشراء-الاستلام]]&gt;DATE(2017,12,31),0,AA39-AL39)))</f>
        <v>0</v>
      </c>
    </row>
    <row r="40" spans="1:39" s="260" customFormat="1" ht="57.75" hidden="1" customHeight="1">
      <c r="A40" s="239">
        <f>IF(B40="","",SUBTOTAL(3,$B$6:B40))</f>
        <v>0</v>
      </c>
      <c r="B40" s="230" t="s">
        <v>105</v>
      </c>
      <c r="C40" s="238" t="s">
        <v>91</v>
      </c>
      <c r="D40" s="238"/>
      <c r="E40" s="230" t="s">
        <v>71</v>
      </c>
      <c r="F40" s="230" t="s">
        <v>52</v>
      </c>
      <c r="G40" s="230" t="s">
        <v>436</v>
      </c>
      <c r="H40" s="231" t="s">
        <v>72</v>
      </c>
      <c r="I40" s="231"/>
      <c r="J40" s="237" t="s">
        <v>106</v>
      </c>
      <c r="K40" s="236">
        <v>41707</v>
      </c>
      <c r="L40" s="235"/>
      <c r="M40" s="283"/>
      <c r="N40" s="224">
        <v>1</v>
      </c>
      <c r="O40" s="223"/>
      <c r="P40" s="258">
        <v>48400</v>
      </c>
      <c r="Q40" s="257">
        <f t="shared" si="0"/>
        <v>48400</v>
      </c>
      <c r="R40" s="220"/>
      <c r="S40" s="240"/>
      <c r="T40" s="256"/>
      <c r="U40" s="256"/>
      <c r="V40" s="256"/>
      <c r="W40" s="256">
        <f>Table51013454[[#This Row],[العدد]]*Table51013454[[#This Row],[السعر الافرادي]]</f>
        <v>0</v>
      </c>
      <c r="X4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0" s="254">
        <f>Table51013454[[#This Row],[الكمية]]-Table51013454[[#This Row],[العدد]]</f>
        <v>1</v>
      </c>
      <c r="Z40" s="253">
        <f>Table51013454[[#This Row],[سعر/الحبة]]</f>
        <v>48400</v>
      </c>
      <c r="AA40" s="253">
        <f>Table51013454[[#This Row],[الإجمالي]]-Table51013454[[#This Row],[إجمالي المستبعد]]</f>
        <v>48400</v>
      </c>
      <c r="AB40" s="232">
        <v>0.15</v>
      </c>
      <c r="AC40" s="231"/>
      <c r="AD40" s="230"/>
      <c r="AE40" s="249">
        <v>20427.452054794521</v>
      </c>
      <c r="AF4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الشراء-الاستلام]]&lt;DATE(2017,1,1),Q40-AE40,0))</f>
        <v>27972.547945205479</v>
      </c>
      <c r="AG4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7260</v>
      </c>
      <c r="AH4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0" s="251">
        <f>Table51013454[[#This Row],[اهلاك المستبعد
في 2017]]+Table51013454[[#This Row],[مجمع إهلاك المستبعد 
01-01-2017]]</f>
        <v>0</v>
      </c>
      <c r="AJ40" s="251">
        <f>Table51013454[[#This Row],[إجمالي المستبعد]]-Table51013454[[#This Row],[مجمع إهلاك المستبعد 
بتاريخ الأستبعاد]]</f>
        <v>0</v>
      </c>
      <c r="AK40" s="250"/>
      <c r="AL40" s="249">
        <f>IF(OR(Table51013454[[#This Row],[تاريخ الشراء-الاستلام]]="",Table51013454[[#This Row],[الإجمالي]]="",Table51013454[[#This Row],[العمر الافتراضي]]=""),"",IF(((AE40+AG40)-Table51013454[[#This Row],[مجمع إهلاك المستبعد 
بتاريخ الأستبعاد]])&lt;=0,0,((AE40+AG40)-Table51013454[[#This Row],[مجمع إهلاك المستبعد 
بتاريخ الأستبعاد]])))</f>
        <v>27687.452054794521</v>
      </c>
      <c r="AM4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الشراء-الاستلام]]&gt;DATE(2017,12,31),0,AA40-AL40)))</f>
        <v>20712.547945205479</v>
      </c>
    </row>
    <row r="41" spans="1:39" s="260" customFormat="1" ht="57.75" hidden="1" customHeight="1">
      <c r="A41" s="239">
        <f>IF(B41="","",SUBTOTAL(3,$B$6:B41))</f>
        <v>0</v>
      </c>
      <c r="B41" s="285" t="s">
        <v>107</v>
      </c>
      <c r="C41" s="238" t="s">
        <v>12</v>
      </c>
      <c r="D41" s="238" t="s">
        <v>34</v>
      </c>
      <c r="E41" s="230" t="s">
        <v>51</v>
      </c>
      <c r="F41" s="230" t="s">
        <v>52</v>
      </c>
      <c r="G41" s="230" t="s">
        <v>72</v>
      </c>
      <c r="H41" s="231" t="s">
        <v>72</v>
      </c>
      <c r="I41" s="230"/>
      <c r="J41" s="236"/>
      <c r="K41" s="236">
        <v>42461</v>
      </c>
      <c r="L41" s="235" t="s">
        <v>91</v>
      </c>
      <c r="M41" s="283"/>
      <c r="N41" s="224">
        <v>1</v>
      </c>
      <c r="O41" s="223"/>
      <c r="P41" s="258">
        <v>12500</v>
      </c>
      <c r="Q41" s="257">
        <f t="shared" si="0"/>
        <v>12500</v>
      </c>
      <c r="R41" s="241" t="s">
        <v>487</v>
      </c>
      <c r="S41" s="240">
        <v>42862</v>
      </c>
      <c r="T41" s="256">
        <v>1</v>
      </c>
      <c r="U41" s="256" t="s">
        <v>486</v>
      </c>
      <c r="V41" s="256">
        <v>12500</v>
      </c>
      <c r="W41" s="256">
        <f>Table51013454[[#This Row],[العدد]]*Table51013454[[#This Row],[السعر الافرادي]]</f>
        <v>12500</v>
      </c>
      <c r="X4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647.2602739726027</v>
      </c>
      <c r="Y41" s="254">
        <f>Table51013454[[#This Row],[الكمية]]-Table51013454[[#This Row],[العدد]]</f>
        <v>0</v>
      </c>
      <c r="Z41" s="253">
        <f>Table51013454[[#This Row],[سعر/الحبة]]</f>
        <v>12500</v>
      </c>
      <c r="AA41" s="253">
        <f>Table51013454[[#This Row],[الإجمالي]]-Table51013454[[#This Row],[إجمالي المستبعد]]</f>
        <v>0</v>
      </c>
      <c r="AB41" s="269">
        <v>0.15</v>
      </c>
      <c r="AC41" s="231"/>
      <c r="AD41" s="230" t="s">
        <v>55</v>
      </c>
      <c r="AE41" s="249">
        <v>1407.5342465753422</v>
      </c>
      <c r="AF4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الشراء-الاستلام]]&lt;DATE(2017,1,1),Q41-AE41,0))</f>
        <v>11092.465753424658</v>
      </c>
      <c r="AG4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647.2602739726027</v>
      </c>
      <c r="AH4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1412.6712328767123</v>
      </c>
      <c r="AI41" s="251">
        <f>Table51013454[[#This Row],[اهلاك المستبعد
في 2017]]+Table51013454[[#This Row],[مجمع إهلاك المستبعد 
01-01-2017]]</f>
        <v>2059.9315068493152</v>
      </c>
      <c r="AJ41" s="251">
        <f>Table51013454[[#This Row],[إجمالي المستبعد]]-Table51013454[[#This Row],[مجمع إهلاك المستبعد 
بتاريخ الأستبعاد]]</f>
        <v>10440.068493150684</v>
      </c>
      <c r="AK41" s="250"/>
      <c r="AL41" s="249">
        <f>IF(OR(Table51013454[[#This Row],[تاريخ الشراء-الاستلام]]="",Table51013454[[#This Row],[الإجمالي]]="",Table51013454[[#This Row],[العمر الافتراضي]]=""),"",IF(((AE41+AG41)-Table51013454[[#This Row],[مجمع إهلاك المستبعد 
بتاريخ الأستبعاد]])&lt;=0,0,((AE41+AG41)-Table51013454[[#This Row],[مجمع إهلاك المستبعد 
بتاريخ الأستبعاد]])))</f>
        <v>0</v>
      </c>
      <c r="AM4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الشراء-الاستلام]]&gt;DATE(2017,12,31),0,AA41-AL41)))</f>
        <v>0</v>
      </c>
    </row>
    <row r="42" spans="1:39" s="260" customFormat="1" ht="57.75" hidden="1" customHeight="1">
      <c r="A42" s="239">
        <f>IF(B42="","",SUBTOTAL(3,$B$6:B42))</f>
        <v>0</v>
      </c>
      <c r="B42" s="230" t="s">
        <v>101</v>
      </c>
      <c r="C42" s="238" t="s">
        <v>12</v>
      </c>
      <c r="D42" s="238"/>
      <c r="E42" s="230" t="s">
        <v>102</v>
      </c>
      <c r="F42" s="230" t="s">
        <v>52</v>
      </c>
      <c r="G42" s="230" t="s">
        <v>439</v>
      </c>
      <c r="H42" s="231" t="s">
        <v>72</v>
      </c>
      <c r="I42" s="230"/>
      <c r="J42" s="236"/>
      <c r="K42" s="236">
        <v>42663</v>
      </c>
      <c r="L42" s="235" t="s">
        <v>212</v>
      </c>
      <c r="M42" s="283" t="s">
        <v>642</v>
      </c>
      <c r="N42" s="224">
        <v>3</v>
      </c>
      <c r="O42" s="223"/>
      <c r="P42" s="258">
        <v>66000</v>
      </c>
      <c r="Q42" s="257">
        <f t="shared" si="0"/>
        <v>198000</v>
      </c>
      <c r="R42" s="220"/>
      <c r="S42" s="240"/>
      <c r="T42" s="256"/>
      <c r="U42" s="256"/>
      <c r="V42" s="256"/>
      <c r="W42" s="256">
        <f>Table51013454[[#This Row],[العدد]]*Table51013454[[#This Row],[السعر الافرادي]]</f>
        <v>0</v>
      </c>
      <c r="X4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2" s="254">
        <f>Table51013454[[#This Row],[الكمية]]-Table51013454[[#This Row],[العدد]]</f>
        <v>3</v>
      </c>
      <c r="Z42" s="253">
        <f>Table51013454[[#This Row],[سعر/الحبة]]</f>
        <v>66000</v>
      </c>
      <c r="AA42" s="253">
        <f>Table51013454[[#This Row],[الإجمالي]]-Table51013454[[#This Row],[إجمالي المستبعد]]</f>
        <v>198000</v>
      </c>
      <c r="AB42" s="232">
        <v>0.15</v>
      </c>
      <c r="AC42" s="231"/>
      <c r="AD42" s="230" t="s">
        <v>55</v>
      </c>
      <c r="AE42" s="249">
        <v>5858.6301369863013</v>
      </c>
      <c r="AF4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الشراء-الاستلام]]&lt;DATE(2017,1,1),Q42-AE42,0))</f>
        <v>192141.36986301371</v>
      </c>
      <c r="AG4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29700</v>
      </c>
      <c r="AH4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2" s="251">
        <f>Table51013454[[#This Row],[اهلاك المستبعد
في 2017]]+Table51013454[[#This Row],[مجمع إهلاك المستبعد 
01-01-2017]]</f>
        <v>0</v>
      </c>
      <c r="AJ42" s="251">
        <f>Table51013454[[#This Row],[إجمالي المستبعد]]-Table51013454[[#This Row],[مجمع إهلاك المستبعد 
بتاريخ الأستبعاد]]</f>
        <v>0</v>
      </c>
      <c r="AK42" s="250"/>
      <c r="AL42" s="249">
        <f>IF(OR(Table51013454[[#This Row],[تاريخ الشراء-الاستلام]]="",Table51013454[[#This Row],[الإجمالي]]="",Table51013454[[#This Row],[العمر الافتراضي]]=""),"",IF(((AE42+AG42)-Table51013454[[#This Row],[مجمع إهلاك المستبعد 
بتاريخ الأستبعاد]])&lt;=0,0,((AE42+AG42)-Table51013454[[#This Row],[مجمع إهلاك المستبعد 
بتاريخ الأستبعاد]])))</f>
        <v>35558.630136986299</v>
      </c>
      <c r="AM4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الشراء-الاستلام]]&gt;DATE(2017,12,31),0,AA42-AL42)))</f>
        <v>162441.36986301371</v>
      </c>
    </row>
    <row r="43" spans="1:39" s="260" customFormat="1" ht="57.75" hidden="1" customHeight="1">
      <c r="A43" s="239">
        <f>IF(B43="","",SUBTOTAL(3,$B$6:B43))</f>
        <v>0</v>
      </c>
      <c r="B43" s="230" t="s">
        <v>101</v>
      </c>
      <c r="C43" s="238" t="s">
        <v>12</v>
      </c>
      <c r="D43" s="238"/>
      <c r="E43" s="230" t="s">
        <v>102</v>
      </c>
      <c r="F43" s="230" t="s">
        <v>52</v>
      </c>
      <c r="G43" s="230" t="s">
        <v>439</v>
      </c>
      <c r="H43" s="231" t="s">
        <v>72</v>
      </c>
      <c r="I43" s="230"/>
      <c r="J43" s="236"/>
      <c r="K43" s="236">
        <v>42694</v>
      </c>
      <c r="L43" s="235" t="s">
        <v>212</v>
      </c>
      <c r="M43" s="287" t="s">
        <v>641</v>
      </c>
      <c r="N43" s="224">
        <v>4</v>
      </c>
      <c r="O43" s="223"/>
      <c r="P43" s="258">
        <v>66000</v>
      </c>
      <c r="Q43" s="257">
        <f t="shared" si="0"/>
        <v>264000</v>
      </c>
      <c r="R43" s="220"/>
      <c r="S43" s="240"/>
      <c r="T43" s="256"/>
      <c r="U43" s="256"/>
      <c r="V43" s="256"/>
      <c r="W43" s="256">
        <f>Table51013454[[#This Row],[العدد]]*Table51013454[[#This Row],[السعر الافرادي]]</f>
        <v>0</v>
      </c>
      <c r="X4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3" s="254">
        <f>Table51013454[[#This Row],[الكمية]]-Table51013454[[#This Row],[العدد]]</f>
        <v>4</v>
      </c>
      <c r="Z43" s="253">
        <f>Table51013454[[#This Row],[سعر/الحبة]]</f>
        <v>66000</v>
      </c>
      <c r="AA43" s="253">
        <f>Table51013454[[#This Row],[الإجمالي]]-Table51013454[[#This Row],[إجمالي المستبعد]]</f>
        <v>264000</v>
      </c>
      <c r="AB43" s="232">
        <v>0.15</v>
      </c>
      <c r="AC43" s="231"/>
      <c r="AD43" s="230" t="s">
        <v>55</v>
      </c>
      <c r="AE43" s="249">
        <v>4448.2191780821913</v>
      </c>
      <c r="AF4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الشراء-الاستلام]]&lt;DATE(2017,1,1),Q43-AE43,0))</f>
        <v>259551.78082191781</v>
      </c>
      <c r="AG4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39600</v>
      </c>
      <c r="AH4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3" s="251">
        <f>Table51013454[[#This Row],[اهلاك المستبعد
في 2017]]+Table51013454[[#This Row],[مجمع إهلاك المستبعد 
01-01-2017]]</f>
        <v>0</v>
      </c>
      <c r="AJ43" s="251">
        <f>Table51013454[[#This Row],[إجمالي المستبعد]]-Table51013454[[#This Row],[مجمع إهلاك المستبعد 
بتاريخ الأستبعاد]]</f>
        <v>0</v>
      </c>
      <c r="AK43" s="250"/>
      <c r="AL43" s="249">
        <f>IF(OR(Table51013454[[#This Row],[تاريخ الشراء-الاستلام]]="",Table51013454[[#This Row],[الإجمالي]]="",Table51013454[[#This Row],[العمر الافتراضي]]=""),"",IF(((AE43+AG43)-Table51013454[[#This Row],[مجمع إهلاك المستبعد 
بتاريخ الأستبعاد]])&lt;=0,0,((AE43+AG43)-Table51013454[[#This Row],[مجمع إهلاك المستبعد 
بتاريخ الأستبعاد]])))</f>
        <v>44048.219178082189</v>
      </c>
      <c r="AM4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الشراء-الاستلام]]&gt;DATE(2017,12,31),0,AA43-AL43)))</f>
        <v>219951.78082191781</v>
      </c>
    </row>
    <row r="44" spans="1:39" s="260" customFormat="1" ht="57.75" hidden="1" customHeight="1">
      <c r="A44" s="239">
        <f>IF(B44="","",SUBTOTAL(3,$B$6:B44))</f>
        <v>0</v>
      </c>
      <c r="B44" s="230" t="s">
        <v>101</v>
      </c>
      <c r="C44" s="238" t="s">
        <v>12</v>
      </c>
      <c r="D44" s="238"/>
      <c r="E44" s="230" t="s">
        <v>102</v>
      </c>
      <c r="F44" s="230" t="s">
        <v>52</v>
      </c>
      <c r="G44" s="230" t="s">
        <v>439</v>
      </c>
      <c r="H44" s="231" t="s">
        <v>72</v>
      </c>
      <c r="I44" s="230"/>
      <c r="J44" s="236"/>
      <c r="K44" s="236">
        <v>42542</v>
      </c>
      <c r="L44" s="235" t="s">
        <v>91</v>
      </c>
      <c r="M44" s="283" t="s">
        <v>639</v>
      </c>
      <c r="N44" s="224">
        <v>3</v>
      </c>
      <c r="O44" s="223"/>
      <c r="P44" s="258">
        <v>80000</v>
      </c>
      <c r="Q44" s="257">
        <f t="shared" si="0"/>
        <v>240000</v>
      </c>
      <c r="R44" s="220"/>
      <c r="S44" s="240"/>
      <c r="T44" s="256"/>
      <c r="U44" s="256"/>
      <c r="V44" s="256"/>
      <c r="W44" s="256">
        <f>Table51013454[[#This Row],[العدد]]*Table51013454[[#This Row],[السعر الافرادي]]</f>
        <v>0</v>
      </c>
      <c r="X4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4" s="254">
        <f>Table51013454[[#This Row],[الكمية]]-Table51013454[[#This Row],[العدد]]</f>
        <v>3</v>
      </c>
      <c r="Z44" s="253">
        <f>Table51013454[[#This Row],[سعر/الحبة]]</f>
        <v>80000</v>
      </c>
      <c r="AA44" s="253">
        <f>Table51013454[[#This Row],[الإجمالي]]-Table51013454[[#This Row],[إجمالي المستبعد]]</f>
        <v>240000</v>
      </c>
      <c r="AB44" s="232">
        <v>0.15</v>
      </c>
      <c r="AC44" s="231"/>
      <c r="AD44" s="230" t="s">
        <v>55</v>
      </c>
      <c r="AE44" s="249">
        <v>19035.616438356163</v>
      </c>
      <c r="AF4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الشراء-الاستلام]]&lt;DATE(2017,1,1),Q44-AE44,0))</f>
        <v>220964.38356164383</v>
      </c>
      <c r="AG4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36000</v>
      </c>
      <c r="AH4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4" s="251">
        <f>Table51013454[[#This Row],[اهلاك المستبعد
في 2017]]+Table51013454[[#This Row],[مجمع إهلاك المستبعد 
01-01-2017]]</f>
        <v>0</v>
      </c>
      <c r="AJ44" s="251">
        <f>Table51013454[[#This Row],[إجمالي المستبعد]]-Table51013454[[#This Row],[مجمع إهلاك المستبعد 
بتاريخ الأستبعاد]]</f>
        <v>0</v>
      </c>
      <c r="AK44" s="250"/>
      <c r="AL44" s="249">
        <f>IF(OR(Table51013454[[#This Row],[تاريخ الشراء-الاستلام]]="",Table51013454[[#This Row],[الإجمالي]]="",Table51013454[[#This Row],[العمر الافتراضي]]=""),"",IF(((AE44+AG44)-Table51013454[[#This Row],[مجمع إهلاك المستبعد 
بتاريخ الأستبعاد]])&lt;=0,0,((AE44+AG44)-Table51013454[[#This Row],[مجمع إهلاك المستبعد 
بتاريخ الأستبعاد]])))</f>
        <v>55035.616438356163</v>
      </c>
      <c r="AM4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الشراء-الاستلام]]&gt;DATE(2017,12,31),0,AA44-AL44)))</f>
        <v>184964.38356164383</v>
      </c>
    </row>
    <row r="45" spans="1:39" s="260" customFormat="1" ht="57.75" hidden="1" customHeight="1">
      <c r="A45" s="239">
        <f>IF(B45="","",SUBTOTAL(3,$B$6:B45))</f>
        <v>0</v>
      </c>
      <c r="B45" s="230" t="s">
        <v>101</v>
      </c>
      <c r="C45" s="238" t="s">
        <v>12</v>
      </c>
      <c r="D45" s="238"/>
      <c r="E45" s="230" t="s">
        <v>102</v>
      </c>
      <c r="F45" s="230" t="s">
        <v>52</v>
      </c>
      <c r="G45" s="230" t="s">
        <v>439</v>
      </c>
      <c r="H45" s="231" t="s">
        <v>72</v>
      </c>
      <c r="I45" s="230"/>
      <c r="J45" s="236"/>
      <c r="K45" s="236">
        <v>42607</v>
      </c>
      <c r="L45" s="286" t="s">
        <v>108</v>
      </c>
      <c r="M45" s="283" t="s">
        <v>640</v>
      </c>
      <c r="N45" s="224">
        <v>4</v>
      </c>
      <c r="O45" s="223"/>
      <c r="P45" s="258">
        <v>66000</v>
      </c>
      <c r="Q45" s="257">
        <f t="shared" si="0"/>
        <v>264000</v>
      </c>
      <c r="R45" s="220"/>
      <c r="S45" s="240"/>
      <c r="T45" s="256"/>
      <c r="U45" s="256"/>
      <c r="V45" s="256"/>
      <c r="W45" s="256">
        <f>Table51013454[[#This Row],[العدد]]*Table51013454[[#This Row],[السعر الافرادي]]</f>
        <v>0</v>
      </c>
      <c r="X4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5" s="254">
        <f>Table51013454[[#This Row],[الكمية]]-Table51013454[[#This Row],[العدد]]</f>
        <v>4</v>
      </c>
      <c r="Z45" s="253">
        <f>Table51013454[[#This Row],[سعر/الحبة]]</f>
        <v>66000</v>
      </c>
      <c r="AA45" s="253">
        <f>Table51013454[[#This Row],[الإجمالي]]-Table51013454[[#This Row],[إجمالي المستبعد]]</f>
        <v>264000</v>
      </c>
      <c r="AB45" s="232">
        <v>0.15</v>
      </c>
      <c r="AC45" s="231"/>
      <c r="AD45" s="230" t="s">
        <v>55</v>
      </c>
      <c r="AE45" s="249">
        <v>13887.123287671231</v>
      </c>
      <c r="AF4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الشراء-الاستلام]]&lt;DATE(2017,1,1),Q45-AE45,0))</f>
        <v>250112.87671232875</v>
      </c>
      <c r="AG4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39600</v>
      </c>
      <c r="AH4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5" s="251">
        <f>Table51013454[[#This Row],[اهلاك المستبعد
في 2017]]+Table51013454[[#This Row],[مجمع إهلاك المستبعد 
01-01-2017]]</f>
        <v>0</v>
      </c>
      <c r="AJ45" s="251">
        <f>Table51013454[[#This Row],[إجمالي المستبعد]]-Table51013454[[#This Row],[مجمع إهلاك المستبعد 
بتاريخ الأستبعاد]]</f>
        <v>0</v>
      </c>
      <c r="AK45" s="250"/>
      <c r="AL45" s="249">
        <f>IF(OR(Table51013454[[#This Row],[تاريخ الشراء-الاستلام]]="",Table51013454[[#This Row],[الإجمالي]]="",Table51013454[[#This Row],[العمر الافتراضي]]=""),"",IF(((AE45+AG45)-Table51013454[[#This Row],[مجمع إهلاك المستبعد 
بتاريخ الأستبعاد]])&lt;=0,0,((AE45+AG45)-Table51013454[[#This Row],[مجمع إهلاك المستبعد 
بتاريخ الأستبعاد]])))</f>
        <v>53487.123287671231</v>
      </c>
      <c r="AM4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الشراء-الاستلام]]&gt;DATE(2017,12,31),0,AA45-AL45)))</f>
        <v>210512.87671232875</v>
      </c>
    </row>
    <row r="46" spans="1:39" s="260" customFormat="1" ht="57.75" hidden="1" customHeight="1">
      <c r="A46" s="239">
        <f>IF(B46="","",SUBTOTAL(3,$B$6:B46))</f>
        <v>0</v>
      </c>
      <c r="B46" s="230" t="s">
        <v>101</v>
      </c>
      <c r="C46" s="238" t="s">
        <v>12</v>
      </c>
      <c r="D46" s="238"/>
      <c r="E46" s="230" t="s">
        <v>102</v>
      </c>
      <c r="F46" s="230" t="s">
        <v>52</v>
      </c>
      <c r="G46" s="230" t="s">
        <v>439</v>
      </c>
      <c r="H46" s="231" t="s">
        <v>72</v>
      </c>
      <c r="I46" s="230"/>
      <c r="J46" s="236"/>
      <c r="K46" s="236">
        <v>42692</v>
      </c>
      <c r="L46" s="286" t="s">
        <v>109</v>
      </c>
      <c r="M46" s="283" t="s">
        <v>639</v>
      </c>
      <c r="N46" s="224">
        <v>12</v>
      </c>
      <c r="O46" s="223"/>
      <c r="P46" s="258">
        <v>66437</v>
      </c>
      <c r="Q46" s="257">
        <f t="shared" si="0"/>
        <v>797244</v>
      </c>
      <c r="R46" s="220"/>
      <c r="S46" s="240"/>
      <c r="T46" s="256"/>
      <c r="U46" s="256"/>
      <c r="V46" s="256"/>
      <c r="W46" s="256">
        <f>Table51013454[[#This Row],[العدد]]*Table51013454[[#This Row],[السعر الافرادي]]</f>
        <v>0</v>
      </c>
      <c r="X4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6" s="254">
        <f>Table51013454[[#This Row],[الكمية]]-Table51013454[[#This Row],[العدد]]</f>
        <v>12</v>
      </c>
      <c r="Z46" s="253">
        <f>Table51013454[[#This Row],[سعر/الحبة]]</f>
        <v>66437</v>
      </c>
      <c r="AA46" s="253">
        <f>Table51013454[[#This Row],[الإجمالي]]-Table51013454[[#This Row],[إجمالي المستبعد]]</f>
        <v>797244</v>
      </c>
      <c r="AB46" s="232">
        <v>0.15</v>
      </c>
      <c r="AC46" s="231"/>
      <c r="AD46" s="230" t="s">
        <v>55</v>
      </c>
      <c r="AE46" s="249">
        <v>14088.284383561642</v>
      </c>
      <c r="AF4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الشراء-الاستلام]]&lt;DATE(2017,1,1),Q46-AE46,0))</f>
        <v>783155.71561643831</v>
      </c>
      <c r="AG4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119586.59999999999</v>
      </c>
      <c r="AH4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6" s="251">
        <f>Table51013454[[#This Row],[اهلاك المستبعد
في 2017]]+Table51013454[[#This Row],[مجمع إهلاك المستبعد 
01-01-2017]]</f>
        <v>0</v>
      </c>
      <c r="AJ46" s="251">
        <f>Table51013454[[#This Row],[إجمالي المستبعد]]-Table51013454[[#This Row],[مجمع إهلاك المستبعد 
بتاريخ الأستبعاد]]</f>
        <v>0</v>
      </c>
      <c r="AK46" s="250"/>
      <c r="AL46" s="249">
        <f>IF(OR(Table51013454[[#This Row],[تاريخ الشراء-الاستلام]]="",Table51013454[[#This Row],[الإجمالي]]="",Table51013454[[#This Row],[العمر الافتراضي]]=""),"",IF(((AE46+AG46)-Table51013454[[#This Row],[مجمع إهلاك المستبعد 
بتاريخ الأستبعاد]])&lt;=0,0,((AE46+AG46)-Table51013454[[#This Row],[مجمع إهلاك المستبعد 
بتاريخ الأستبعاد]])))</f>
        <v>133674.88438356164</v>
      </c>
      <c r="AM4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الشراء-الاستلام]]&gt;DATE(2017,12,31),0,AA46-AL46)))</f>
        <v>663569.11561643833</v>
      </c>
    </row>
    <row r="47" spans="1:39" s="260" customFormat="1" ht="57.75" hidden="1" customHeight="1">
      <c r="A47" s="239">
        <f>IF(B47="","",SUBTOTAL(3,$B$6:B47))</f>
        <v>0</v>
      </c>
      <c r="B47" s="230" t="s">
        <v>110</v>
      </c>
      <c r="C47" s="238" t="s">
        <v>12</v>
      </c>
      <c r="D47" s="238"/>
      <c r="E47" s="230" t="s">
        <v>31</v>
      </c>
      <c r="F47" s="230" t="s">
        <v>52</v>
      </c>
      <c r="G47" s="230" t="s">
        <v>439</v>
      </c>
      <c r="H47" s="231" t="s">
        <v>72</v>
      </c>
      <c r="I47" s="230" t="s">
        <v>440</v>
      </c>
      <c r="J47" s="237" t="s">
        <v>162</v>
      </c>
      <c r="K47" s="236">
        <v>42579</v>
      </c>
      <c r="L47" s="235" t="s">
        <v>111</v>
      </c>
      <c r="M47" s="283"/>
      <c r="N47" s="224">
        <v>1</v>
      </c>
      <c r="O47" s="223"/>
      <c r="P47" s="258">
        <v>250000</v>
      </c>
      <c r="Q47" s="257">
        <f t="shared" si="0"/>
        <v>250000</v>
      </c>
      <c r="R47" s="220"/>
      <c r="S47" s="240"/>
      <c r="T47" s="256"/>
      <c r="U47" s="256"/>
      <c r="V47" s="256"/>
      <c r="W47" s="256">
        <f>Table51013454[[#This Row],[العدد]]*Table51013454[[#This Row],[السعر الافرادي]]</f>
        <v>0</v>
      </c>
      <c r="X4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7" s="254">
        <f>Table51013454[[#This Row],[الكمية]]-Table51013454[[#This Row],[العدد]]</f>
        <v>1</v>
      </c>
      <c r="Z47" s="253">
        <f>Table51013454[[#This Row],[سعر/الحبة]]</f>
        <v>250000</v>
      </c>
      <c r="AA47" s="253">
        <f>Table51013454[[#This Row],[الإجمالي]]-Table51013454[[#This Row],[إجمالي المستبعد]]</f>
        <v>250000</v>
      </c>
      <c r="AB47" s="232">
        <v>0.25</v>
      </c>
      <c r="AC47" s="231"/>
      <c r="AD47" s="230" t="s">
        <v>55</v>
      </c>
      <c r="AE47" s="249">
        <v>26712.32876712329</v>
      </c>
      <c r="AF4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الشراء-الاستلام]]&lt;DATE(2017,1,1),Q47-AE47,0))</f>
        <v>223287.67123287672</v>
      </c>
      <c r="AG4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62500</v>
      </c>
      <c r="AH4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7" s="251">
        <f>Table51013454[[#This Row],[اهلاك المستبعد
في 2017]]+Table51013454[[#This Row],[مجمع إهلاك المستبعد 
01-01-2017]]</f>
        <v>0</v>
      </c>
      <c r="AJ47" s="251">
        <f>Table51013454[[#This Row],[إجمالي المستبعد]]-Table51013454[[#This Row],[مجمع إهلاك المستبعد 
بتاريخ الأستبعاد]]</f>
        <v>0</v>
      </c>
      <c r="AK47" s="250"/>
      <c r="AL47" s="249">
        <f>IF(OR(Table51013454[[#This Row],[تاريخ الشراء-الاستلام]]="",Table51013454[[#This Row],[الإجمالي]]="",Table51013454[[#This Row],[العمر الافتراضي]]=""),"",IF(((AE47+AG47)-Table51013454[[#This Row],[مجمع إهلاك المستبعد 
بتاريخ الأستبعاد]])&lt;=0,0,((AE47+AG47)-Table51013454[[#This Row],[مجمع إهلاك المستبعد 
بتاريخ الأستبعاد]])))</f>
        <v>89212.328767123283</v>
      </c>
      <c r="AM4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الشراء-الاستلام]]&gt;DATE(2017,12,31),0,AA47-AL47)))</f>
        <v>160787.67123287672</v>
      </c>
    </row>
    <row r="48" spans="1:39" s="260" customFormat="1" ht="57.75" hidden="1" customHeight="1">
      <c r="A48" s="239">
        <f>IF(B48="","",SUBTOTAL(3,$B$6:B48))</f>
        <v>0</v>
      </c>
      <c r="B48" s="230" t="s">
        <v>110</v>
      </c>
      <c r="C48" s="238" t="s">
        <v>12</v>
      </c>
      <c r="D48" s="238"/>
      <c r="E48" s="230" t="s">
        <v>31</v>
      </c>
      <c r="F48" s="230" t="s">
        <v>52</v>
      </c>
      <c r="G48" s="230" t="s">
        <v>439</v>
      </c>
      <c r="H48" s="231" t="s">
        <v>72</v>
      </c>
      <c r="I48" s="230"/>
      <c r="J48" s="237" t="s">
        <v>163</v>
      </c>
      <c r="K48" s="236">
        <v>42580</v>
      </c>
      <c r="L48" s="235" t="s">
        <v>111</v>
      </c>
      <c r="M48" s="283"/>
      <c r="N48" s="224">
        <v>1</v>
      </c>
      <c r="O48" s="223"/>
      <c r="P48" s="258">
        <v>250000</v>
      </c>
      <c r="Q48" s="257">
        <f t="shared" si="0"/>
        <v>250000</v>
      </c>
      <c r="R48" s="220"/>
      <c r="S48" s="240"/>
      <c r="T48" s="256"/>
      <c r="U48" s="256"/>
      <c r="V48" s="256"/>
      <c r="W48" s="256">
        <f>Table51013454[[#This Row],[العدد]]*Table51013454[[#This Row],[السعر الافرادي]]</f>
        <v>0</v>
      </c>
      <c r="X4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8" s="254">
        <f>Table51013454[[#This Row],[الكمية]]-Table51013454[[#This Row],[العدد]]</f>
        <v>1</v>
      </c>
      <c r="Z48" s="253">
        <f>Table51013454[[#This Row],[سعر/الحبة]]</f>
        <v>250000</v>
      </c>
      <c r="AA48" s="253">
        <f>Table51013454[[#This Row],[الإجمالي]]-Table51013454[[#This Row],[إجمالي المستبعد]]</f>
        <v>250000</v>
      </c>
      <c r="AB48" s="232">
        <v>0.25</v>
      </c>
      <c r="AC48" s="231"/>
      <c r="AD48" s="230" t="s">
        <v>55</v>
      </c>
      <c r="AE48" s="249">
        <v>26541.095890410958</v>
      </c>
      <c r="AF4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الشراء-الاستلام]]&lt;DATE(2017,1,1),Q48-AE48,0))</f>
        <v>223458.90410958906</v>
      </c>
      <c r="AG4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62500</v>
      </c>
      <c r="AH4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8" s="251">
        <f>Table51013454[[#This Row],[اهلاك المستبعد
في 2017]]+Table51013454[[#This Row],[مجمع إهلاك المستبعد 
01-01-2017]]</f>
        <v>0</v>
      </c>
      <c r="AJ48" s="251">
        <f>Table51013454[[#This Row],[إجمالي المستبعد]]-Table51013454[[#This Row],[مجمع إهلاك المستبعد 
بتاريخ الأستبعاد]]</f>
        <v>0</v>
      </c>
      <c r="AK48" s="250"/>
      <c r="AL48" s="249">
        <f>IF(OR(Table51013454[[#This Row],[تاريخ الشراء-الاستلام]]="",Table51013454[[#This Row],[الإجمالي]]="",Table51013454[[#This Row],[العمر الافتراضي]]=""),"",IF(((AE48+AG48)-Table51013454[[#This Row],[مجمع إهلاك المستبعد 
بتاريخ الأستبعاد]])&lt;=0,0,((AE48+AG48)-Table51013454[[#This Row],[مجمع إهلاك المستبعد 
بتاريخ الأستبعاد]])))</f>
        <v>89041.095890410958</v>
      </c>
      <c r="AM4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الشراء-الاستلام]]&gt;DATE(2017,12,31),0,AA48-AL48)))</f>
        <v>160958.90410958906</v>
      </c>
    </row>
    <row r="49" spans="1:39" s="260" customFormat="1" ht="57.75" hidden="1" customHeight="1">
      <c r="A49" s="239">
        <f>IF(B49="","",SUBTOTAL(3,$B$6:B49))</f>
        <v>0</v>
      </c>
      <c r="B49" s="230" t="s">
        <v>110</v>
      </c>
      <c r="C49" s="238" t="s">
        <v>12</v>
      </c>
      <c r="D49" s="238"/>
      <c r="E49" s="230" t="s">
        <v>31</v>
      </c>
      <c r="F49" s="230" t="s">
        <v>126</v>
      </c>
      <c r="G49" s="230"/>
      <c r="H49" s="231" t="s">
        <v>72</v>
      </c>
      <c r="I49" s="230"/>
      <c r="J49" s="237" t="s">
        <v>164</v>
      </c>
      <c r="K49" s="236">
        <v>42580</v>
      </c>
      <c r="L49" s="235" t="s">
        <v>111</v>
      </c>
      <c r="M49" s="283"/>
      <c r="N49" s="224">
        <v>1</v>
      </c>
      <c r="O49" s="223"/>
      <c r="P49" s="258">
        <v>250000</v>
      </c>
      <c r="Q49" s="257">
        <f t="shared" si="0"/>
        <v>250000</v>
      </c>
      <c r="R49" s="220"/>
      <c r="S49" s="240"/>
      <c r="T49" s="256"/>
      <c r="U49" s="256"/>
      <c r="V49" s="256"/>
      <c r="W49" s="256">
        <f>Table51013454[[#This Row],[العدد]]*Table51013454[[#This Row],[السعر الافرادي]]</f>
        <v>0</v>
      </c>
      <c r="X4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49" s="254">
        <f>Table51013454[[#This Row],[الكمية]]-Table51013454[[#This Row],[العدد]]</f>
        <v>1</v>
      </c>
      <c r="Z49" s="253">
        <f>Table51013454[[#This Row],[سعر/الحبة]]</f>
        <v>250000</v>
      </c>
      <c r="AA49" s="253">
        <f>Table51013454[[#This Row],[الإجمالي]]-Table51013454[[#This Row],[إجمالي المستبعد]]</f>
        <v>250000</v>
      </c>
      <c r="AB49" s="232">
        <v>0.25</v>
      </c>
      <c r="AC49" s="231"/>
      <c r="AD49" s="230" t="s">
        <v>55</v>
      </c>
      <c r="AE49" s="249">
        <v>26541.095890410958</v>
      </c>
      <c r="AF4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الشراء-الاستلام]]&lt;DATE(2017,1,1),Q49-AE49,0))</f>
        <v>223458.90410958906</v>
      </c>
      <c r="AG4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62500</v>
      </c>
      <c r="AH4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49" s="251">
        <f>Table51013454[[#This Row],[اهلاك المستبعد
في 2017]]+Table51013454[[#This Row],[مجمع إهلاك المستبعد 
01-01-2017]]</f>
        <v>0</v>
      </c>
      <c r="AJ49" s="251">
        <f>Table51013454[[#This Row],[إجمالي المستبعد]]-Table51013454[[#This Row],[مجمع إهلاك المستبعد 
بتاريخ الأستبعاد]]</f>
        <v>0</v>
      </c>
      <c r="AK49" s="250"/>
      <c r="AL49" s="249">
        <f>IF(OR(Table51013454[[#This Row],[تاريخ الشراء-الاستلام]]="",Table51013454[[#This Row],[الإجمالي]]="",Table51013454[[#This Row],[العمر الافتراضي]]=""),"",IF(((AE49+AG49)-Table51013454[[#This Row],[مجمع إهلاك المستبعد 
بتاريخ الأستبعاد]])&lt;=0,0,((AE49+AG49)-Table51013454[[#This Row],[مجمع إهلاك المستبعد 
بتاريخ الأستبعاد]])))</f>
        <v>89041.095890410958</v>
      </c>
      <c r="AM4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الشراء-الاستلام]]&gt;DATE(2017,12,31),0,AA49-AL49)))</f>
        <v>160958.90410958906</v>
      </c>
    </row>
    <row r="50" spans="1:39" s="260" customFormat="1" ht="57.75" hidden="1" customHeight="1">
      <c r="A50" s="239">
        <f>IF(B50="","",SUBTOTAL(3,$B$6:B50))</f>
        <v>0</v>
      </c>
      <c r="B50" s="230" t="s">
        <v>99</v>
      </c>
      <c r="C50" s="238" t="s">
        <v>12</v>
      </c>
      <c r="D50" s="238"/>
      <c r="E50" s="230" t="s">
        <v>1528</v>
      </c>
      <c r="F50" s="230" t="s">
        <v>52</v>
      </c>
      <c r="G50" s="230" t="s">
        <v>436</v>
      </c>
      <c r="H50" s="231" t="s">
        <v>72</v>
      </c>
      <c r="I50" s="230"/>
      <c r="J50" s="236"/>
      <c r="K50" s="236">
        <v>42551</v>
      </c>
      <c r="L50" s="235" t="s">
        <v>112</v>
      </c>
      <c r="M50" s="283"/>
      <c r="N50" s="224">
        <v>43</v>
      </c>
      <c r="O50" s="223"/>
      <c r="P50" s="258">
        <v>595.4</v>
      </c>
      <c r="Q50" s="257">
        <f t="shared" si="0"/>
        <v>25602.2</v>
      </c>
      <c r="R50" s="220"/>
      <c r="S50" s="240"/>
      <c r="T50" s="256"/>
      <c r="U50" s="256"/>
      <c r="V50" s="256"/>
      <c r="W50" s="256">
        <f>Table51013454[[#This Row],[العدد]]*Table51013454[[#This Row],[السعر الافرادي]]</f>
        <v>0</v>
      </c>
      <c r="X5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0" s="254">
        <f>Table51013454[[#This Row],[الكمية]]-Table51013454[[#This Row],[العدد]]</f>
        <v>43</v>
      </c>
      <c r="Z50" s="253">
        <f>Table51013454[[#This Row],[سعر/الحبة]]</f>
        <v>595.4</v>
      </c>
      <c r="AA50" s="253">
        <f>Table51013454[[#This Row],[الإجمالي]]-Table51013454[[#This Row],[إجمالي المستبعد]]</f>
        <v>25602.2</v>
      </c>
      <c r="AB50" s="269">
        <v>0.15</v>
      </c>
      <c r="AC50" s="231"/>
      <c r="AD50" s="230" t="s">
        <v>55</v>
      </c>
      <c r="AE50" s="249">
        <v>1935.9471780821918</v>
      </c>
      <c r="AF5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الشراء-الاستلام]]&lt;DATE(2017,1,1),Q50-AE50,0))</f>
        <v>23666.252821917809</v>
      </c>
      <c r="AG5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3840.33</v>
      </c>
      <c r="AH5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0" s="251">
        <f>Table51013454[[#This Row],[اهلاك المستبعد
في 2017]]+Table51013454[[#This Row],[مجمع إهلاك المستبعد 
01-01-2017]]</f>
        <v>0</v>
      </c>
      <c r="AJ50" s="251">
        <f>Table51013454[[#This Row],[إجمالي المستبعد]]-Table51013454[[#This Row],[مجمع إهلاك المستبعد 
بتاريخ الأستبعاد]]</f>
        <v>0</v>
      </c>
      <c r="AK50" s="250"/>
      <c r="AL50" s="249">
        <f>IF(OR(Table51013454[[#This Row],[تاريخ الشراء-الاستلام]]="",Table51013454[[#This Row],[الإجمالي]]="",Table51013454[[#This Row],[العمر الافتراضي]]=""),"",IF(((AE50+AG50)-Table51013454[[#This Row],[مجمع إهلاك المستبعد 
بتاريخ الأستبعاد]])&lt;=0,0,((AE50+AG50)-Table51013454[[#This Row],[مجمع إهلاك المستبعد 
بتاريخ الأستبعاد]])))</f>
        <v>5776.2771780821913</v>
      </c>
      <c r="AM5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الشراء-الاستلام]]&gt;DATE(2017,12,31),0,AA50-AL50)))</f>
        <v>19825.922821917811</v>
      </c>
    </row>
    <row r="51" spans="1:39" s="260" customFormat="1" ht="57.75" customHeight="1">
      <c r="A51" s="239">
        <f>IF(B51="","",SUBTOTAL(3,$B$6:B51))</f>
        <v>1</v>
      </c>
      <c r="B51" s="230" t="s">
        <v>113</v>
      </c>
      <c r="C51" s="238" t="s">
        <v>12</v>
      </c>
      <c r="D51" s="238"/>
      <c r="E51" s="230" t="s">
        <v>1529</v>
      </c>
      <c r="F51" s="230" t="s">
        <v>52</v>
      </c>
      <c r="G51" s="230" t="s">
        <v>436</v>
      </c>
      <c r="H51" s="231" t="s">
        <v>72</v>
      </c>
      <c r="I51" s="230"/>
      <c r="J51" s="236"/>
      <c r="K51" s="236">
        <v>42371</v>
      </c>
      <c r="L51" s="235" t="s">
        <v>112</v>
      </c>
      <c r="M51" s="225"/>
      <c r="N51" s="224">
        <v>75</v>
      </c>
      <c r="O51" s="223"/>
      <c r="P51" s="258">
        <v>1600</v>
      </c>
      <c r="Q51" s="257">
        <f>P51*N51</f>
        <v>120000</v>
      </c>
      <c r="R51" s="241"/>
      <c r="S51" s="240"/>
      <c r="T51" s="256"/>
      <c r="U51" s="256"/>
      <c r="V51" s="256"/>
      <c r="W51" s="256">
        <f>Table51013454[[#This Row],[العدد]]*Table51013454[[#This Row],[السعر الافرادي]]</f>
        <v>0</v>
      </c>
      <c r="X5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1" s="254">
        <f>Table51013454[[#This Row],[الكمية]]-Table51013454[[#This Row],[العدد]]</f>
        <v>75</v>
      </c>
      <c r="Z51" s="253">
        <f>Table51013454[[#This Row],[سعر/الحبة]]</f>
        <v>1600</v>
      </c>
      <c r="AA51" s="253">
        <f>Table51013454[[#This Row],[الإجمالي]]-Table51013454[[#This Row],[إجمالي المستبعد]]</f>
        <v>120000</v>
      </c>
      <c r="AB51" s="269">
        <v>0.15</v>
      </c>
      <c r="AC51" s="231"/>
      <c r="AD51" s="230" t="s">
        <v>55</v>
      </c>
      <c r="AE51" s="249">
        <v>17950.68493150685</v>
      </c>
      <c r="AF5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الشراء-الاستلام]]&lt;DATE(2017,1,1),Q51-AE51,0))</f>
        <v>102049.31506849315</v>
      </c>
      <c r="AG5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18000</v>
      </c>
      <c r="AH5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1" s="251">
        <f>Table51013454[[#This Row],[اهلاك المستبعد
في 2017]]+Table51013454[[#This Row],[مجمع إهلاك المستبعد 
01-01-2017]]</f>
        <v>0</v>
      </c>
      <c r="AJ51" s="251">
        <f>Table51013454[[#This Row],[إجمالي المستبعد]]-Table51013454[[#This Row],[مجمع إهلاك المستبعد 
بتاريخ الأستبعاد]]</f>
        <v>0</v>
      </c>
      <c r="AK51" s="250"/>
      <c r="AL51" s="249">
        <f>IF(OR(Table51013454[[#This Row],[تاريخ الشراء-الاستلام]]="",Table51013454[[#This Row],[الإجمالي]]="",Table51013454[[#This Row],[العمر الافتراضي]]=""),"",IF(((AE51+AG51)-Table51013454[[#This Row],[مجمع إهلاك المستبعد 
بتاريخ الأستبعاد]])&lt;=0,0,((AE51+AG51)-Table51013454[[#This Row],[مجمع إهلاك المستبعد 
بتاريخ الأستبعاد]])))</f>
        <v>35950.684931506854</v>
      </c>
      <c r="AM5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الشراء-الاستلام]]&gt;DATE(2017,12,31),0,AA51-AL51)))</f>
        <v>84049.315068493146</v>
      </c>
    </row>
    <row r="52" spans="1:39" s="260" customFormat="1" ht="57.75" hidden="1" customHeight="1">
      <c r="A52" s="239">
        <f>IF(B52="","",SUBTOTAL(3,$B$6:B52))</f>
        <v>1</v>
      </c>
      <c r="B52" s="230" t="s">
        <v>114</v>
      </c>
      <c r="C52" s="238" t="s">
        <v>12</v>
      </c>
      <c r="D52" s="238"/>
      <c r="E52" s="230" t="s">
        <v>57</v>
      </c>
      <c r="F52" s="230" t="s">
        <v>52</v>
      </c>
      <c r="G52" s="230" t="s">
        <v>439</v>
      </c>
      <c r="H52" s="231" t="s">
        <v>72</v>
      </c>
      <c r="I52" s="230"/>
      <c r="J52" s="236" t="s">
        <v>115</v>
      </c>
      <c r="K52" s="236">
        <v>42612</v>
      </c>
      <c r="L52" s="235" t="s">
        <v>112</v>
      </c>
      <c r="M52" s="283"/>
      <c r="N52" s="224">
        <v>5</v>
      </c>
      <c r="O52" s="223"/>
      <c r="P52" s="258">
        <v>23000</v>
      </c>
      <c r="Q52" s="257">
        <f>P52*N52</f>
        <v>115000</v>
      </c>
      <c r="R52" s="220"/>
      <c r="S52" s="240"/>
      <c r="T52" s="256"/>
      <c r="U52" s="256"/>
      <c r="V52" s="256"/>
      <c r="W52" s="256">
        <f>Table51013454[[#This Row],[العدد]]*Table51013454[[#This Row],[السعر الافرادي]]</f>
        <v>0</v>
      </c>
      <c r="X5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2" s="254">
        <f>Table51013454[[#This Row],[الكمية]]-Table51013454[[#This Row],[العدد]]</f>
        <v>5</v>
      </c>
      <c r="Z52" s="253">
        <f>Table51013454[[#This Row],[سعر/الحبة]]</f>
        <v>23000</v>
      </c>
      <c r="AA52" s="253">
        <f>Table51013454[[#This Row],[الإجمالي]]-Table51013454[[#This Row],[إجمالي المستبعد]]</f>
        <v>115000</v>
      </c>
      <c r="AB52" s="269">
        <v>0.15</v>
      </c>
      <c r="AC52" s="231"/>
      <c r="AD52" s="230" t="s">
        <v>55</v>
      </c>
      <c r="AE52" s="249">
        <v>5813.0136986301368</v>
      </c>
      <c r="AF5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الشراء-الاستلام]]&lt;DATE(2017,1,1),Q52-AE52,0))</f>
        <v>109186.98630136986</v>
      </c>
      <c r="AG5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17250</v>
      </c>
      <c r="AH5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2" s="251">
        <f>Table51013454[[#This Row],[اهلاك المستبعد
في 2017]]+Table51013454[[#This Row],[مجمع إهلاك المستبعد 
01-01-2017]]</f>
        <v>0</v>
      </c>
      <c r="AJ52" s="251">
        <f>Table51013454[[#This Row],[إجمالي المستبعد]]-Table51013454[[#This Row],[مجمع إهلاك المستبعد 
بتاريخ الأستبعاد]]</f>
        <v>0</v>
      </c>
      <c r="AK52" s="250"/>
      <c r="AL52" s="249">
        <f>IF(OR(Table51013454[[#This Row],[تاريخ الشراء-الاستلام]]="",Table51013454[[#This Row],[الإجمالي]]="",Table51013454[[#This Row],[العمر الافتراضي]]=""),"",IF(((AE52+AG52)-Table51013454[[#This Row],[مجمع إهلاك المستبعد 
بتاريخ الأستبعاد]])&lt;=0,0,((AE52+AG52)-Table51013454[[#This Row],[مجمع إهلاك المستبعد 
بتاريخ الأستبعاد]])))</f>
        <v>23063.013698630137</v>
      </c>
      <c r="AM5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الشراء-الاستلام]]&gt;DATE(2017,12,31),0,AA52-AL52)))</f>
        <v>91936.986301369863</v>
      </c>
    </row>
    <row r="53" spans="1:39" s="260" customFormat="1" ht="57.75" hidden="1" customHeight="1">
      <c r="A53" s="239">
        <f>IF(B53="","",SUBTOTAL(3,$B$6:B53))</f>
        <v>1</v>
      </c>
      <c r="B53" s="230" t="s">
        <v>116</v>
      </c>
      <c r="C53" s="238" t="s">
        <v>12</v>
      </c>
      <c r="D53" s="238"/>
      <c r="E53" s="230" t="s">
        <v>57</v>
      </c>
      <c r="F53" s="230" t="s">
        <v>52</v>
      </c>
      <c r="G53" s="230" t="s">
        <v>439</v>
      </c>
      <c r="H53" s="231" t="s">
        <v>72</v>
      </c>
      <c r="I53" s="230"/>
      <c r="J53" s="236"/>
      <c r="K53" s="236">
        <v>42522</v>
      </c>
      <c r="L53" s="235" t="s">
        <v>112</v>
      </c>
      <c r="M53" s="283"/>
      <c r="N53" s="224">
        <v>3</v>
      </c>
      <c r="O53" s="223"/>
      <c r="P53" s="258">
        <v>12000</v>
      </c>
      <c r="Q53" s="257">
        <f>P53*N53</f>
        <v>36000</v>
      </c>
      <c r="R53" s="220"/>
      <c r="S53" s="240"/>
      <c r="T53" s="256"/>
      <c r="U53" s="256"/>
      <c r="V53" s="256"/>
      <c r="W53" s="256">
        <f>Table51013454[[#This Row],[العدد]]*Table51013454[[#This Row],[السعر الافرادي]]</f>
        <v>0</v>
      </c>
      <c r="X5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3" s="254">
        <f>Table51013454[[#This Row],[الكمية]]-Table51013454[[#This Row],[العدد]]</f>
        <v>3</v>
      </c>
      <c r="Z53" s="253">
        <f>Table51013454[[#This Row],[سعر/الحبة]]</f>
        <v>12000</v>
      </c>
      <c r="AA53" s="253">
        <f>Table51013454[[#This Row],[الإجمالي]]-Table51013454[[#This Row],[إجمالي المستبعد]]</f>
        <v>36000</v>
      </c>
      <c r="AB53" s="269">
        <v>0.15</v>
      </c>
      <c r="AC53" s="231"/>
      <c r="AD53" s="230" t="s">
        <v>55</v>
      </c>
      <c r="AE53" s="249">
        <v>3151.2328767123286</v>
      </c>
      <c r="AF5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الشراء-الاستلام]]&lt;DATE(2017,1,1),Q53-AE53,0))</f>
        <v>32848.767123287675</v>
      </c>
      <c r="AG5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5400</v>
      </c>
      <c r="AH5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3" s="251">
        <f>Table51013454[[#This Row],[اهلاك المستبعد
في 2017]]+Table51013454[[#This Row],[مجمع إهلاك المستبعد 
01-01-2017]]</f>
        <v>0</v>
      </c>
      <c r="AJ53" s="251">
        <f>Table51013454[[#This Row],[إجمالي المستبعد]]-Table51013454[[#This Row],[مجمع إهلاك المستبعد 
بتاريخ الأستبعاد]]</f>
        <v>0</v>
      </c>
      <c r="AK53" s="250"/>
      <c r="AL53" s="249">
        <f>IF(OR(Table51013454[[#This Row],[تاريخ الشراء-الاستلام]]="",Table51013454[[#This Row],[الإجمالي]]="",Table51013454[[#This Row],[العمر الافتراضي]]=""),"",IF(((AE53+AG53)-Table51013454[[#This Row],[مجمع إهلاك المستبعد 
بتاريخ الأستبعاد]])&lt;=0,0,((AE53+AG53)-Table51013454[[#This Row],[مجمع إهلاك المستبعد 
بتاريخ الأستبعاد]])))</f>
        <v>8551.232876712329</v>
      </c>
      <c r="AM5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الشراء-الاستلام]]&gt;DATE(2017,12,31),0,AA53-AL53)))</f>
        <v>27448.767123287671</v>
      </c>
    </row>
    <row r="54" spans="1:39" s="260" customFormat="1" ht="57.75" hidden="1" customHeight="1">
      <c r="A54" s="239">
        <f>IF(B54="","",SUBTOTAL(3,$B$6:B54))</f>
        <v>1</v>
      </c>
      <c r="B54" s="230" t="s">
        <v>117</v>
      </c>
      <c r="C54" s="238" t="s">
        <v>12</v>
      </c>
      <c r="D54" s="238"/>
      <c r="E54" s="230" t="s">
        <v>57</v>
      </c>
      <c r="F54" s="230" t="s">
        <v>52</v>
      </c>
      <c r="G54" s="230" t="s">
        <v>436</v>
      </c>
      <c r="H54" s="231" t="s">
        <v>72</v>
      </c>
      <c r="I54" s="230"/>
      <c r="J54" s="236"/>
      <c r="K54" s="236">
        <v>42461</v>
      </c>
      <c r="L54" s="235" t="s">
        <v>112</v>
      </c>
      <c r="M54" s="283"/>
      <c r="N54" s="224">
        <v>15</v>
      </c>
      <c r="O54" s="223"/>
      <c r="P54" s="258">
        <v>850</v>
      </c>
      <c r="Q54" s="257">
        <f>P54*N54</f>
        <v>12750</v>
      </c>
      <c r="R54" s="220"/>
      <c r="S54" s="240"/>
      <c r="T54" s="256"/>
      <c r="U54" s="256"/>
      <c r="V54" s="256"/>
      <c r="W54" s="256">
        <f>Table51013454[[#This Row],[العدد]]*Table51013454[[#This Row],[السعر الافرادي]]</f>
        <v>0</v>
      </c>
      <c r="X5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4" s="254">
        <f>Table51013454[[#This Row],[الكمية]]-Table51013454[[#This Row],[العدد]]</f>
        <v>15</v>
      </c>
      <c r="Z54" s="253">
        <f>Table51013454[[#This Row],[سعر/الحبة]]</f>
        <v>850</v>
      </c>
      <c r="AA54" s="253">
        <f>Table51013454[[#This Row],[الإجمالي]]-Table51013454[[#This Row],[إجمالي المستبعد]]</f>
        <v>12750</v>
      </c>
      <c r="AB54" s="269">
        <v>0.15</v>
      </c>
      <c r="AC54" s="231"/>
      <c r="AD54" s="230" t="s">
        <v>55</v>
      </c>
      <c r="AE54" s="249">
        <v>1435.6849315068491</v>
      </c>
      <c r="AF5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الشراء-الاستلام]]&lt;DATE(2017,1,1),Q54-AE54,0))</f>
        <v>11314.315068493152</v>
      </c>
      <c r="AG5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1912.5</v>
      </c>
      <c r="AH5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4" s="251">
        <f>Table51013454[[#This Row],[اهلاك المستبعد
في 2017]]+Table51013454[[#This Row],[مجمع إهلاك المستبعد 
01-01-2017]]</f>
        <v>0</v>
      </c>
      <c r="AJ54" s="251">
        <f>Table51013454[[#This Row],[إجمالي المستبعد]]-Table51013454[[#This Row],[مجمع إهلاك المستبعد 
بتاريخ الأستبعاد]]</f>
        <v>0</v>
      </c>
      <c r="AK54" s="250"/>
      <c r="AL54" s="249">
        <f>IF(OR(Table51013454[[#This Row],[تاريخ الشراء-الاستلام]]="",Table51013454[[#This Row],[الإجمالي]]="",Table51013454[[#This Row],[العمر الافتراضي]]=""),"",IF(((AE54+AG54)-Table51013454[[#This Row],[مجمع إهلاك المستبعد 
بتاريخ الأستبعاد]])&lt;=0,0,((AE54+AG54)-Table51013454[[#This Row],[مجمع إهلاك المستبعد 
بتاريخ الأستبعاد]])))</f>
        <v>3348.1849315068494</v>
      </c>
      <c r="AM5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الشراء-الاستلام]]&gt;DATE(2017,12,31),0,AA54-AL54)))</f>
        <v>9401.8150684931497</v>
      </c>
    </row>
    <row r="55" spans="1:39" s="260" customFormat="1" ht="57.75" hidden="1" customHeight="1">
      <c r="A55" s="239">
        <f>IF(B55="","",SUBTOTAL(3,$B$6:B55))</f>
        <v>1</v>
      </c>
      <c r="B55" s="230" t="s">
        <v>118</v>
      </c>
      <c r="C55" s="238" t="s">
        <v>12</v>
      </c>
      <c r="D55" s="238"/>
      <c r="E55" s="230" t="s">
        <v>1528</v>
      </c>
      <c r="F55" s="230" t="s">
        <v>52</v>
      </c>
      <c r="G55" s="230" t="s">
        <v>436</v>
      </c>
      <c r="H55" s="231" t="s">
        <v>72</v>
      </c>
      <c r="I55" s="230"/>
      <c r="J55" s="236"/>
      <c r="K55" s="236">
        <v>42461</v>
      </c>
      <c r="L55" s="235" t="s">
        <v>112</v>
      </c>
      <c r="M55" s="283"/>
      <c r="N55" s="224">
        <v>4</v>
      </c>
      <c r="O55" s="223"/>
      <c r="P55" s="258">
        <v>1225</v>
      </c>
      <c r="Q55" s="257">
        <f>P55*N55</f>
        <v>4900</v>
      </c>
      <c r="R55" s="220"/>
      <c r="S55" s="240"/>
      <c r="T55" s="256"/>
      <c r="U55" s="256"/>
      <c r="V55" s="256"/>
      <c r="W55" s="256">
        <f>Table51013454[[#This Row],[العدد]]*Table51013454[[#This Row],[السعر الافرادي]]</f>
        <v>0</v>
      </c>
      <c r="X5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5" s="254">
        <f>Table51013454[[#This Row],[الكمية]]-Table51013454[[#This Row],[العدد]]</f>
        <v>4</v>
      </c>
      <c r="Z55" s="253">
        <f>Table51013454[[#This Row],[سعر/الحبة]]</f>
        <v>1225</v>
      </c>
      <c r="AA55" s="253">
        <f>Table51013454[[#This Row],[الإجمالي]]-Table51013454[[#This Row],[إجمالي المستبعد]]</f>
        <v>4900</v>
      </c>
      <c r="AB55" s="269">
        <v>0.15</v>
      </c>
      <c r="AC55" s="231"/>
      <c r="AD55" s="230" t="s">
        <v>55</v>
      </c>
      <c r="AE55" s="249">
        <v>551.7534246575342</v>
      </c>
      <c r="AF5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الشراء-الاستلام]]&lt;DATE(2017,1,1),Q55-AE55,0))</f>
        <v>4348.2465753424658</v>
      </c>
      <c r="AG5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735</v>
      </c>
      <c r="AH5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5" s="251">
        <f>Table51013454[[#This Row],[اهلاك المستبعد
في 2017]]+Table51013454[[#This Row],[مجمع إهلاك المستبعد 
01-01-2017]]</f>
        <v>0</v>
      </c>
      <c r="AJ55" s="251">
        <f>Table51013454[[#This Row],[إجمالي المستبعد]]-Table51013454[[#This Row],[مجمع إهلاك المستبعد 
بتاريخ الأستبعاد]]</f>
        <v>0</v>
      </c>
      <c r="AK55" s="250"/>
      <c r="AL55" s="249">
        <f>IF(OR(Table51013454[[#This Row],[تاريخ الشراء-الاستلام]]="",Table51013454[[#This Row],[الإجمالي]]="",Table51013454[[#This Row],[العمر الافتراضي]]=""),"",IF(((AE55+AG55)-Table51013454[[#This Row],[مجمع إهلاك المستبعد 
بتاريخ الأستبعاد]])&lt;=0,0,((AE55+AG55)-Table51013454[[#This Row],[مجمع إهلاك المستبعد 
بتاريخ الأستبعاد]])))</f>
        <v>1286.7534246575342</v>
      </c>
      <c r="AM5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الشراء-الاستلام]]&gt;DATE(2017,12,31),0,AA55-AL55)))</f>
        <v>3613.2465753424658</v>
      </c>
    </row>
    <row r="56" spans="1:39" s="260" customFormat="1" ht="57.75" customHeight="1">
      <c r="A56" s="239">
        <f>IF(B56="","",SUBTOTAL(3,$B$6:B56))</f>
        <v>2</v>
      </c>
      <c r="B56" s="230" t="s">
        <v>94</v>
      </c>
      <c r="C56" s="238" t="s">
        <v>12</v>
      </c>
      <c r="D56" s="238"/>
      <c r="E56" s="230" t="s">
        <v>1529</v>
      </c>
      <c r="F56" s="230" t="s">
        <v>52</v>
      </c>
      <c r="G56" s="230" t="s">
        <v>436</v>
      </c>
      <c r="H56" s="231" t="s">
        <v>72</v>
      </c>
      <c r="I56" s="230"/>
      <c r="J56" s="236"/>
      <c r="K56" s="236">
        <v>42461</v>
      </c>
      <c r="L56" s="235" t="s">
        <v>112</v>
      </c>
      <c r="M56" s="283"/>
      <c r="N56" s="224">
        <v>9</v>
      </c>
      <c r="O56" s="223"/>
      <c r="P56" s="258">
        <v>1800</v>
      </c>
      <c r="Q56" s="257">
        <f>P56*N56</f>
        <v>16200</v>
      </c>
      <c r="R56" s="220"/>
      <c r="S56" s="240"/>
      <c r="T56" s="256"/>
      <c r="U56" s="256"/>
      <c r="V56" s="256"/>
      <c r="W56" s="256">
        <f>Table51013454[[#This Row],[العدد]]*Table51013454[[#This Row],[السعر الافرادي]]</f>
        <v>0</v>
      </c>
      <c r="X5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6" s="254">
        <f>Table51013454[[#This Row],[الكمية]]-Table51013454[[#This Row],[العدد]]</f>
        <v>9</v>
      </c>
      <c r="Z56" s="253">
        <f>Table51013454[[#This Row],[سعر/الحبة]]</f>
        <v>1800</v>
      </c>
      <c r="AA56" s="253">
        <f>Table51013454[[#This Row],[الإجمالي]]-Table51013454[[#This Row],[إجمالي المستبعد]]</f>
        <v>16200</v>
      </c>
      <c r="AB56" s="269">
        <v>0.15</v>
      </c>
      <c r="AC56" s="231"/>
      <c r="AD56" s="230" t="s">
        <v>55</v>
      </c>
      <c r="AE56" s="249">
        <v>1824.1643835616437</v>
      </c>
      <c r="AF5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الشراء-الاستلام]]&lt;DATE(2017,1,1),Q56-AE56,0))</f>
        <v>14375.835616438357</v>
      </c>
      <c r="AG5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2430</v>
      </c>
      <c r="AH5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6" s="251">
        <f>Table51013454[[#This Row],[اهلاك المستبعد
في 2017]]+Table51013454[[#This Row],[مجمع إهلاك المستبعد 
01-01-2017]]</f>
        <v>0</v>
      </c>
      <c r="AJ56" s="251">
        <f>Table51013454[[#This Row],[إجمالي المستبعد]]-Table51013454[[#This Row],[مجمع إهلاك المستبعد 
بتاريخ الأستبعاد]]</f>
        <v>0</v>
      </c>
      <c r="AK56" s="250"/>
      <c r="AL56" s="249">
        <f>IF(OR(Table51013454[[#This Row],[تاريخ الشراء-الاستلام]]="",Table51013454[[#This Row],[الإجمالي]]="",Table51013454[[#This Row],[العمر الافتراضي]]=""),"",IF(((AE56+AG56)-Table51013454[[#This Row],[مجمع إهلاك المستبعد 
بتاريخ الأستبعاد]])&lt;=0,0,((AE56+AG56)-Table51013454[[#This Row],[مجمع إهلاك المستبعد 
بتاريخ الأستبعاد]])))</f>
        <v>4254.1643835616433</v>
      </c>
      <c r="AM5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الشراء-الاستلام]]&gt;DATE(2017,12,31),0,AA56-AL56)))</f>
        <v>11945.835616438357</v>
      </c>
    </row>
    <row r="57" spans="1:39" s="260" customFormat="1" ht="57.75" customHeight="1">
      <c r="A57" s="239">
        <f>IF(B57="","",SUBTOTAL(3,$B$6:B57))</f>
        <v>3</v>
      </c>
      <c r="B57" s="230" t="s">
        <v>119</v>
      </c>
      <c r="C57" s="238" t="s">
        <v>12</v>
      </c>
      <c r="D57" s="238"/>
      <c r="E57" s="230" t="s">
        <v>1529</v>
      </c>
      <c r="F57" s="230" t="s">
        <v>52</v>
      </c>
      <c r="G57" s="230" t="s">
        <v>436</v>
      </c>
      <c r="H57" s="231" t="s">
        <v>72</v>
      </c>
      <c r="I57" s="230"/>
      <c r="J57" s="236"/>
      <c r="K57" s="236">
        <v>42461</v>
      </c>
      <c r="L57" s="235" t="s">
        <v>112</v>
      </c>
      <c r="M57" s="283"/>
      <c r="N57" s="224">
        <v>6</v>
      </c>
      <c r="O57" s="223"/>
      <c r="P57" s="258">
        <v>733</v>
      </c>
      <c r="Q57" s="257">
        <f>P57*N57</f>
        <v>4398</v>
      </c>
      <c r="R57" s="220"/>
      <c r="S57" s="240"/>
      <c r="T57" s="256"/>
      <c r="U57" s="256"/>
      <c r="V57" s="256"/>
      <c r="W57" s="256">
        <f>Table51013454[[#This Row],[العدد]]*Table51013454[[#This Row],[السعر الافرادي]]</f>
        <v>0</v>
      </c>
      <c r="X5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7" s="254">
        <f>Table51013454[[#This Row],[الكمية]]-Table51013454[[#This Row],[العدد]]</f>
        <v>6</v>
      </c>
      <c r="Z57" s="253">
        <f>Table51013454[[#This Row],[سعر/الحبة]]</f>
        <v>733</v>
      </c>
      <c r="AA57" s="253">
        <f>Table51013454[[#This Row],[الإجمالي]]-Table51013454[[#This Row],[إجمالي المستبعد]]</f>
        <v>4398</v>
      </c>
      <c r="AB57" s="269">
        <v>0.15</v>
      </c>
      <c r="AC57" s="231"/>
      <c r="AD57" s="230" t="s">
        <v>55</v>
      </c>
      <c r="AE57" s="249">
        <v>495.22684931506842</v>
      </c>
      <c r="AF5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الشراء-الاستلام]]&lt;DATE(2017,1,1),Q57-AE57,0))</f>
        <v>3902.7731506849314</v>
      </c>
      <c r="AG5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659.69999999999993</v>
      </c>
      <c r="AH5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7" s="251">
        <f>Table51013454[[#This Row],[اهلاك المستبعد
في 2017]]+Table51013454[[#This Row],[مجمع إهلاك المستبعد 
01-01-2017]]</f>
        <v>0</v>
      </c>
      <c r="AJ57" s="251">
        <f>Table51013454[[#This Row],[إجمالي المستبعد]]-Table51013454[[#This Row],[مجمع إهلاك المستبعد 
بتاريخ الأستبعاد]]</f>
        <v>0</v>
      </c>
      <c r="AK57" s="250"/>
      <c r="AL57" s="249">
        <f>IF(OR(Table51013454[[#This Row],[تاريخ الشراء-الاستلام]]="",Table51013454[[#This Row],[الإجمالي]]="",Table51013454[[#This Row],[العمر الافتراضي]]=""),"",IF(((AE57+AG57)-Table51013454[[#This Row],[مجمع إهلاك المستبعد 
بتاريخ الأستبعاد]])&lt;=0,0,((AE57+AG57)-Table51013454[[#This Row],[مجمع إهلاك المستبعد 
بتاريخ الأستبعاد]])))</f>
        <v>1154.9268493150685</v>
      </c>
      <c r="AM5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الشراء-الاستلام]]&gt;DATE(2017,12,31),0,AA57-AL57)))</f>
        <v>3243.0731506849315</v>
      </c>
    </row>
    <row r="58" spans="1:39" s="260" customFormat="1" ht="57.75" hidden="1" customHeight="1">
      <c r="A58" s="239">
        <f>IF(B58="","",SUBTOTAL(3,$B$6:B58))</f>
        <v>3</v>
      </c>
      <c r="B58" s="230" t="s">
        <v>120</v>
      </c>
      <c r="C58" s="238" t="s">
        <v>12</v>
      </c>
      <c r="D58" s="238"/>
      <c r="E58" s="230" t="s">
        <v>1528</v>
      </c>
      <c r="F58" s="230" t="s">
        <v>52</v>
      </c>
      <c r="G58" s="230" t="s">
        <v>436</v>
      </c>
      <c r="H58" s="231" t="s">
        <v>72</v>
      </c>
      <c r="I58" s="230"/>
      <c r="J58" s="236"/>
      <c r="K58" s="236">
        <v>42461</v>
      </c>
      <c r="L58" s="235" t="s">
        <v>112</v>
      </c>
      <c r="M58" s="283"/>
      <c r="N58" s="224">
        <v>5</v>
      </c>
      <c r="O58" s="223"/>
      <c r="P58" s="258">
        <v>400</v>
      </c>
      <c r="Q58" s="257">
        <f>P58*N58</f>
        <v>2000</v>
      </c>
      <c r="R58" s="220"/>
      <c r="S58" s="240"/>
      <c r="T58" s="256"/>
      <c r="U58" s="256"/>
      <c r="V58" s="256"/>
      <c r="W58" s="256">
        <f>Table51013454[[#This Row],[العدد]]*Table51013454[[#This Row],[السعر الافرادي]]</f>
        <v>0</v>
      </c>
      <c r="X5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8" s="254">
        <f>Table51013454[[#This Row],[الكمية]]-Table51013454[[#This Row],[العدد]]</f>
        <v>5</v>
      </c>
      <c r="Z58" s="253">
        <f>Table51013454[[#This Row],[سعر/الحبة]]</f>
        <v>400</v>
      </c>
      <c r="AA58" s="253">
        <f>Table51013454[[#This Row],[الإجمالي]]-Table51013454[[#This Row],[إجمالي المستبعد]]</f>
        <v>2000</v>
      </c>
      <c r="AB58" s="269">
        <v>0.15</v>
      </c>
      <c r="AC58" s="231"/>
      <c r="AD58" s="230" t="s">
        <v>55</v>
      </c>
      <c r="AE58" s="249">
        <v>225.20547945205476</v>
      </c>
      <c r="AF5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الشراء-الاستلام]]&lt;DATE(2017,1,1),Q58-AE58,0))</f>
        <v>1774.7945205479452</v>
      </c>
      <c r="AG5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300</v>
      </c>
      <c r="AH5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8" s="251">
        <f>Table51013454[[#This Row],[اهلاك المستبعد
في 2017]]+Table51013454[[#This Row],[مجمع إهلاك المستبعد 
01-01-2017]]</f>
        <v>0</v>
      </c>
      <c r="AJ58" s="251">
        <f>Table51013454[[#This Row],[إجمالي المستبعد]]-Table51013454[[#This Row],[مجمع إهلاك المستبعد 
بتاريخ الأستبعاد]]</f>
        <v>0</v>
      </c>
      <c r="AK58" s="250"/>
      <c r="AL58" s="249">
        <f>IF(OR(Table51013454[[#This Row],[تاريخ الشراء-الاستلام]]="",Table51013454[[#This Row],[الإجمالي]]="",Table51013454[[#This Row],[العمر الافتراضي]]=""),"",IF(((AE58+AG58)-Table51013454[[#This Row],[مجمع إهلاك المستبعد 
بتاريخ الأستبعاد]])&lt;=0,0,((AE58+AG58)-Table51013454[[#This Row],[مجمع إهلاك المستبعد 
بتاريخ الأستبعاد]])))</f>
        <v>525.20547945205476</v>
      </c>
      <c r="AM5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الشراء-الاستلام]]&gt;DATE(2017,12,31),0,AA58-AL58)))</f>
        <v>1474.7945205479452</v>
      </c>
    </row>
    <row r="59" spans="1:39" s="260" customFormat="1" ht="57.75" hidden="1" customHeight="1">
      <c r="A59" s="239">
        <f>IF(B59="","",SUBTOTAL(3,$B$6:B59))</f>
        <v>3</v>
      </c>
      <c r="B59" s="230" t="s">
        <v>56</v>
      </c>
      <c r="C59" s="238" t="s">
        <v>121</v>
      </c>
      <c r="D59" s="238"/>
      <c r="E59" s="230" t="s">
        <v>57</v>
      </c>
      <c r="F59" s="230" t="s">
        <v>122</v>
      </c>
      <c r="G59" s="230"/>
      <c r="H59" s="231" t="s">
        <v>72</v>
      </c>
      <c r="I59" s="231"/>
      <c r="J59" s="236"/>
      <c r="K59" s="236">
        <v>42464</v>
      </c>
      <c r="L59" s="235" t="s">
        <v>58</v>
      </c>
      <c r="M59" s="283"/>
      <c r="N59" s="224">
        <v>50</v>
      </c>
      <c r="O59" s="223"/>
      <c r="P59" s="258">
        <v>700</v>
      </c>
      <c r="Q59" s="257">
        <f>P59*N59</f>
        <v>35000</v>
      </c>
      <c r="R59" s="220"/>
      <c r="S59" s="240"/>
      <c r="T59" s="256"/>
      <c r="U59" s="256"/>
      <c r="V59" s="256"/>
      <c r="W59" s="256">
        <f>Table51013454[[#This Row],[العدد]]*Table51013454[[#This Row],[السعر الافرادي]]</f>
        <v>0</v>
      </c>
      <c r="X5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59" s="254">
        <f>Table51013454[[#This Row],[الكمية]]-Table51013454[[#This Row],[العدد]]</f>
        <v>50</v>
      </c>
      <c r="Z59" s="253">
        <f>Table51013454[[#This Row],[سعر/الحبة]]</f>
        <v>700</v>
      </c>
      <c r="AA59" s="253">
        <f>Table51013454[[#This Row],[الإجمالي]]-Table51013454[[#This Row],[إجمالي المستبعد]]</f>
        <v>35000</v>
      </c>
      <c r="AB59" s="232">
        <v>0.1</v>
      </c>
      <c r="AC59" s="231"/>
      <c r="AD59" s="230" t="s">
        <v>55</v>
      </c>
      <c r="AE59" s="249">
        <v>2598.6301369863017</v>
      </c>
      <c r="AF5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الشراء-الاستلام]]&lt;DATE(2017,1,1),Q59-AE59,0))</f>
        <v>32401.369863013697</v>
      </c>
      <c r="AG5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3500</v>
      </c>
      <c r="AH5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59" s="251">
        <f>Table51013454[[#This Row],[اهلاك المستبعد
في 2017]]+Table51013454[[#This Row],[مجمع إهلاك المستبعد 
01-01-2017]]</f>
        <v>0</v>
      </c>
      <c r="AJ59" s="251">
        <f>Table51013454[[#This Row],[إجمالي المستبعد]]-Table51013454[[#This Row],[مجمع إهلاك المستبعد 
بتاريخ الأستبعاد]]</f>
        <v>0</v>
      </c>
      <c r="AK59" s="250"/>
      <c r="AL59" s="249">
        <f>IF(OR(Table51013454[[#This Row],[تاريخ الشراء-الاستلام]]="",Table51013454[[#This Row],[الإجمالي]]="",Table51013454[[#This Row],[العمر الافتراضي]]=""),"",IF(((AE59+AG59)-Table51013454[[#This Row],[مجمع إهلاك المستبعد 
بتاريخ الأستبعاد]])&lt;=0,0,((AE59+AG59)-Table51013454[[#This Row],[مجمع إهلاك المستبعد 
بتاريخ الأستبعاد]])))</f>
        <v>6098.6301369863013</v>
      </c>
      <c r="AM5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الشراء-الاستلام]]&gt;DATE(2017,12,31),0,AA59-AL59)))</f>
        <v>28901.369863013701</v>
      </c>
    </row>
    <row r="60" spans="1:39" s="260" customFormat="1" ht="57.75" hidden="1" customHeight="1">
      <c r="A60" s="239">
        <f>IF(B60="","",SUBTOTAL(3,$B$6:B60))</f>
        <v>3</v>
      </c>
      <c r="B60" s="230" t="s">
        <v>56</v>
      </c>
      <c r="C60" s="238" t="s">
        <v>12</v>
      </c>
      <c r="D60" s="238"/>
      <c r="E60" s="230" t="s">
        <v>57</v>
      </c>
      <c r="F60" s="230" t="s">
        <v>123</v>
      </c>
      <c r="G60" s="230"/>
      <c r="H60" s="231" t="s">
        <v>72</v>
      </c>
      <c r="I60" s="230"/>
      <c r="J60" s="236"/>
      <c r="K60" s="236">
        <v>42522</v>
      </c>
      <c r="L60" s="235" t="s">
        <v>58</v>
      </c>
      <c r="M60" s="283"/>
      <c r="N60" s="224">
        <v>30</v>
      </c>
      <c r="O60" s="223"/>
      <c r="P60" s="258">
        <v>700</v>
      </c>
      <c r="Q60" s="257">
        <f>P60*N60</f>
        <v>21000</v>
      </c>
      <c r="R60" s="220"/>
      <c r="S60" s="240"/>
      <c r="T60" s="256"/>
      <c r="U60" s="256"/>
      <c r="V60" s="256"/>
      <c r="W60" s="256">
        <f>Table51013454[[#This Row],[العدد]]*Table51013454[[#This Row],[السعر الافرادي]]</f>
        <v>0</v>
      </c>
      <c r="X6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0" s="254">
        <f>Table51013454[[#This Row],[الكمية]]-Table51013454[[#This Row],[العدد]]</f>
        <v>30</v>
      </c>
      <c r="Z60" s="253">
        <f>Table51013454[[#This Row],[سعر/الحبة]]</f>
        <v>700</v>
      </c>
      <c r="AA60" s="253">
        <f>Table51013454[[#This Row],[الإجمالي]]-Table51013454[[#This Row],[إجمالي المستبعد]]</f>
        <v>21000</v>
      </c>
      <c r="AB60" s="269">
        <v>0.15</v>
      </c>
      <c r="AC60" s="231"/>
      <c r="AD60" s="230" t="s">
        <v>55</v>
      </c>
      <c r="AE60" s="249">
        <v>1838.2191780821918</v>
      </c>
      <c r="AF6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الشراء-الاستلام]]&lt;DATE(2017,1,1),Q60-AE60,0))</f>
        <v>19161.780821917808</v>
      </c>
      <c r="AG6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3150</v>
      </c>
      <c r="AH6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0" s="251">
        <f>Table51013454[[#This Row],[اهلاك المستبعد
في 2017]]+Table51013454[[#This Row],[مجمع إهلاك المستبعد 
01-01-2017]]</f>
        <v>0</v>
      </c>
      <c r="AJ60" s="251">
        <f>Table51013454[[#This Row],[إجمالي المستبعد]]-Table51013454[[#This Row],[مجمع إهلاك المستبعد 
بتاريخ الأستبعاد]]</f>
        <v>0</v>
      </c>
      <c r="AK60" s="250"/>
      <c r="AL60" s="249">
        <f>IF(OR(Table51013454[[#This Row],[تاريخ الشراء-الاستلام]]="",Table51013454[[#This Row],[الإجمالي]]="",Table51013454[[#This Row],[العمر الافتراضي]]=""),"",IF(((AE60+AG60)-Table51013454[[#This Row],[مجمع إهلاك المستبعد 
بتاريخ الأستبعاد]])&lt;=0,0,((AE60+AG60)-Table51013454[[#This Row],[مجمع إهلاك المستبعد 
بتاريخ الأستبعاد]])))</f>
        <v>4988.2191780821922</v>
      </c>
      <c r="AM6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الشراء-الاستلام]]&gt;DATE(2017,12,31),0,AA60-AL60)))</f>
        <v>16011.780821917808</v>
      </c>
    </row>
    <row r="61" spans="1:39" s="260" customFormat="1" ht="57.75" hidden="1" customHeight="1">
      <c r="A61" s="239">
        <f>IF(B61="","",SUBTOTAL(3,$B$6:B61))</f>
        <v>3</v>
      </c>
      <c r="B61" s="230" t="s">
        <v>125</v>
      </c>
      <c r="C61" s="238" t="s">
        <v>12</v>
      </c>
      <c r="D61" s="238"/>
      <c r="E61" s="230" t="s">
        <v>57</v>
      </c>
      <c r="F61" s="230" t="s">
        <v>126</v>
      </c>
      <c r="G61" s="230"/>
      <c r="H61" s="231" t="s">
        <v>72</v>
      </c>
      <c r="I61" s="230"/>
      <c r="J61" s="236"/>
      <c r="K61" s="236">
        <v>42614</v>
      </c>
      <c r="L61" s="235" t="s">
        <v>58</v>
      </c>
      <c r="M61" s="283"/>
      <c r="N61" s="224">
        <v>100</v>
      </c>
      <c r="O61" s="223">
        <v>10223</v>
      </c>
      <c r="P61" s="258">
        <v>700</v>
      </c>
      <c r="Q61" s="257">
        <f>P61*N61</f>
        <v>70000</v>
      </c>
      <c r="R61" s="220"/>
      <c r="S61" s="240"/>
      <c r="T61" s="256"/>
      <c r="U61" s="256"/>
      <c r="V61" s="256"/>
      <c r="W61" s="256">
        <f>Table51013454[[#This Row],[العدد]]*Table51013454[[#This Row],[السعر الافرادي]]</f>
        <v>0</v>
      </c>
      <c r="X6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1" s="254">
        <f>Table51013454[[#This Row],[الكمية]]-Table51013454[[#This Row],[العدد]]</f>
        <v>100</v>
      </c>
      <c r="Z61" s="253">
        <f>Table51013454[[#This Row],[سعر/الحبة]]</f>
        <v>700</v>
      </c>
      <c r="AA61" s="253">
        <f>Table51013454[[#This Row],[الإجمالي]]-Table51013454[[#This Row],[إجمالي المستبعد]]</f>
        <v>70000</v>
      </c>
      <c r="AB61" s="269">
        <v>0.15</v>
      </c>
      <c r="AC61" s="231"/>
      <c r="AD61" s="230" t="s">
        <v>55</v>
      </c>
      <c r="AE61" s="249">
        <v>3480.821917808219</v>
      </c>
      <c r="AF6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الشراء-الاستلام]]&lt;DATE(2017,1,1),Q61-AE61,0))</f>
        <v>66519.178082191778</v>
      </c>
      <c r="AG6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10500</v>
      </c>
      <c r="AH6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1" s="251">
        <f>Table51013454[[#This Row],[اهلاك المستبعد
في 2017]]+Table51013454[[#This Row],[مجمع إهلاك المستبعد 
01-01-2017]]</f>
        <v>0</v>
      </c>
      <c r="AJ61" s="251">
        <f>Table51013454[[#This Row],[إجمالي المستبعد]]-Table51013454[[#This Row],[مجمع إهلاك المستبعد 
بتاريخ الأستبعاد]]</f>
        <v>0</v>
      </c>
      <c r="AK61" s="250"/>
      <c r="AL61" s="249">
        <f>IF(OR(Table51013454[[#This Row],[تاريخ الشراء-الاستلام]]="",Table51013454[[#This Row],[الإجمالي]]="",Table51013454[[#This Row],[العمر الافتراضي]]=""),"",IF(((AE61+AG61)-Table51013454[[#This Row],[مجمع إهلاك المستبعد 
بتاريخ الأستبعاد]])&lt;=0,0,((AE61+AG61)-Table51013454[[#This Row],[مجمع إهلاك المستبعد 
بتاريخ الأستبعاد]])))</f>
        <v>13980.821917808218</v>
      </c>
      <c r="AM6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الشراء-الاستلام]]&gt;DATE(2017,12,31),0,AA61-AL61)))</f>
        <v>56019.178082191778</v>
      </c>
    </row>
    <row r="62" spans="1:39" s="260" customFormat="1" ht="57.75" hidden="1" customHeight="1">
      <c r="A62" s="239">
        <f>IF(B62="","",SUBTOTAL(3,$B$6:B62))</f>
        <v>3</v>
      </c>
      <c r="B62" s="230" t="s">
        <v>125</v>
      </c>
      <c r="C62" s="238" t="s">
        <v>12</v>
      </c>
      <c r="D62" s="238"/>
      <c r="E62" s="230" t="s">
        <v>57</v>
      </c>
      <c r="F62" s="230" t="s">
        <v>122</v>
      </c>
      <c r="G62" s="230"/>
      <c r="H62" s="231" t="s">
        <v>72</v>
      </c>
      <c r="I62" s="230"/>
      <c r="J62" s="236"/>
      <c r="K62" s="236">
        <v>42614</v>
      </c>
      <c r="L62" s="235" t="s">
        <v>58</v>
      </c>
      <c r="M62" s="283"/>
      <c r="N62" s="224">
        <v>50</v>
      </c>
      <c r="O62" s="223">
        <v>10157</v>
      </c>
      <c r="P62" s="258">
        <v>700</v>
      </c>
      <c r="Q62" s="257">
        <f>P62*N62</f>
        <v>35000</v>
      </c>
      <c r="R62" s="220"/>
      <c r="S62" s="240"/>
      <c r="T62" s="256"/>
      <c r="U62" s="256"/>
      <c r="V62" s="256"/>
      <c r="W62" s="256">
        <f>Table51013454[[#This Row],[العدد]]*Table51013454[[#This Row],[السعر الافرادي]]</f>
        <v>0</v>
      </c>
      <c r="X6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2" s="254">
        <f>Table51013454[[#This Row],[الكمية]]-Table51013454[[#This Row],[العدد]]</f>
        <v>50</v>
      </c>
      <c r="Z62" s="253">
        <f>Table51013454[[#This Row],[سعر/الحبة]]</f>
        <v>700</v>
      </c>
      <c r="AA62" s="253">
        <f>Table51013454[[#This Row],[الإجمالي]]-Table51013454[[#This Row],[إجمالي المستبعد]]</f>
        <v>35000</v>
      </c>
      <c r="AB62" s="269">
        <v>0.15</v>
      </c>
      <c r="AC62" s="231"/>
      <c r="AD62" s="230" t="s">
        <v>55</v>
      </c>
      <c r="AE62" s="249">
        <v>1740.4109589041095</v>
      </c>
      <c r="AF6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الشراء-الاستلام]]&lt;DATE(2017,1,1),Q62-AE62,0))</f>
        <v>33259.589041095889</v>
      </c>
      <c r="AG6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5250</v>
      </c>
      <c r="AH6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2" s="251">
        <f>Table51013454[[#This Row],[اهلاك المستبعد
في 2017]]+Table51013454[[#This Row],[مجمع إهلاك المستبعد 
01-01-2017]]</f>
        <v>0</v>
      </c>
      <c r="AJ62" s="251">
        <f>Table51013454[[#This Row],[إجمالي المستبعد]]-Table51013454[[#This Row],[مجمع إهلاك المستبعد 
بتاريخ الأستبعاد]]</f>
        <v>0</v>
      </c>
      <c r="AK62" s="250"/>
      <c r="AL62" s="249">
        <f>IF(OR(Table51013454[[#This Row],[تاريخ الشراء-الاستلام]]="",Table51013454[[#This Row],[الإجمالي]]="",Table51013454[[#This Row],[العمر الافتراضي]]=""),"",IF(((AE62+AG62)-Table51013454[[#This Row],[مجمع إهلاك المستبعد 
بتاريخ الأستبعاد]])&lt;=0,0,((AE62+AG62)-Table51013454[[#This Row],[مجمع إهلاك المستبعد 
بتاريخ الأستبعاد]])))</f>
        <v>6990.4109589041091</v>
      </c>
      <c r="AM6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الشراء-الاستلام]]&gt;DATE(2017,12,31),0,AA62-AL62)))</f>
        <v>28009.589041095889</v>
      </c>
    </row>
    <row r="63" spans="1:39" s="260" customFormat="1" ht="57.75" hidden="1" customHeight="1">
      <c r="A63" s="239">
        <f>IF(B63="","",SUBTOTAL(3,$B$6:B63))</f>
        <v>3</v>
      </c>
      <c r="B63" s="230" t="s">
        <v>213</v>
      </c>
      <c r="C63" s="238" t="s">
        <v>12</v>
      </c>
      <c r="D63" s="238"/>
      <c r="E63" s="230" t="s">
        <v>214</v>
      </c>
      <c r="F63" s="230" t="s">
        <v>52</v>
      </c>
      <c r="G63" s="230" t="s">
        <v>439</v>
      </c>
      <c r="H63" s="231" t="s">
        <v>72</v>
      </c>
      <c r="I63" s="230"/>
      <c r="J63" s="236"/>
      <c r="K63" s="236">
        <v>42432</v>
      </c>
      <c r="L63" s="235"/>
      <c r="M63" s="283"/>
      <c r="N63" s="224">
        <v>1</v>
      </c>
      <c r="O63" s="223"/>
      <c r="P63" s="258">
        <v>1287</v>
      </c>
      <c r="Q63" s="257">
        <f>P63*N63</f>
        <v>1287</v>
      </c>
      <c r="R63" s="220"/>
      <c r="S63" s="240"/>
      <c r="T63" s="256"/>
      <c r="U63" s="256"/>
      <c r="V63" s="256"/>
      <c r="W63" s="256">
        <f>Table51013454[[#This Row],[العدد]]*Table51013454[[#This Row],[السعر الافرادي]]</f>
        <v>0</v>
      </c>
      <c r="X6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3" s="254">
        <f>Table51013454[[#This Row],[الكمية]]-Table51013454[[#This Row],[العدد]]</f>
        <v>1</v>
      </c>
      <c r="Z63" s="253">
        <f>Table51013454[[#This Row],[سعر/الحبة]]</f>
        <v>1287</v>
      </c>
      <c r="AA63" s="253">
        <f>Table51013454[[#This Row],[الإجمالي]]-Table51013454[[#This Row],[إجمالي المستبعد]]</f>
        <v>1287</v>
      </c>
      <c r="AB63" s="269">
        <v>0.15</v>
      </c>
      <c r="AC63" s="231"/>
      <c r="AD63" s="230" t="s">
        <v>55</v>
      </c>
      <c r="AE63" s="249">
        <v>160.25794520547944</v>
      </c>
      <c r="AF6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الشراء-الاستلام]]&lt;DATE(2017,1,1),Q63-AE63,0))</f>
        <v>1126.7420547945205</v>
      </c>
      <c r="AG6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193.04999999999998</v>
      </c>
      <c r="AH6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3" s="251">
        <f>Table51013454[[#This Row],[اهلاك المستبعد
في 2017]]+Table51013454[[#This Row],[مجمع إهلاك المستبعد 
01-01-2017]]</f>
        <v>0</v>
      </c>
      <c r="AJ63" s="251">
        <f>Table51013454[[#This Row],[إجمالي المستبعد]]-Table51013454[[#This Row],[مجمع إهلاك المستبعد 
بتاريخ الأستبعاد]]</f>
        <v>0</v>
      </c>
      <c r="AK63" s="250"/>
      <c r="AL63" s="249">
        <f>IF(OR(Table51013454[[#This Row],[تاريخ الشراء-الاستلام]]="",Table51013454[[#This Row],[الإجمالي]]="",Table51013454[[#This Row],[العمر الافتراضي]]=""),"",IF(((AE63+AG63)-Table51013454[[#This Row],[مجمع إهلاك المستبعد 
بتاريخ الأستبعاد]])&lt;=0,0,((AE63+AG63)-Table51013454[[#This Row],[مجمع إهلاك المستبعد 
بتاريخ الأستبعاد]])))</f>
        <v>353.30794520547943</v>
      </c>
      <c r="AM6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الشراء-الاستلام]]&gt;DATE(2017,12,31),0,AA63-AL63)))</f>
        <v>933.69205479452057</v>
      </c>
    </row>
    <row r="64" spans="1:39" s="260" customFormat="1" ht="57.75" hidden="1" customHeight="1">
      <c r="A64" s="239">
        <f>IF(B64="","",SUBTOTAL(3,$B$6:B64))</f>
        <v>3</v>
      </c>
      <c r="B64" s="230" t="s">
        <v>56</v>
      </c>
      <c r="C64" s="238" t="s">
        <v>12</v>
      </c>
      <c r="D64" s="238"/>
      <c r="E64" s="230" t="s">
        <v>57</v>
      </c>
      <c r="F64" s="230" t="s">
        <v>52</v>
      </c>
      <c r="G64" s="230" t="s">
        <v>436</v>
      </c>
      <c r="H64" s="231" t="s">
        <v>72</v>
      </c>
      <c r="I64" s="230"/>
      <c r="J64" s="236"/>
      <c r="K64" s="236">
        <v>42735</v>
      </c>
      <c r="L64" s="235" t="s">
        <v>58</v>
      </c>
      <c r="M64" s="283"/>
      <c r="N64" s="224">
        <v>5</v>
      </c>
      <c r="O64" s="223">
        <v>10297</v>
      </c>
      <c r="P64" s="258">
        <v>700</v>
      </c>
      <c r="Q64" s="257">
        <f>P64*N64</f>
        <v>3500</v>
      </c>
      <c r="R64" s="220"/>
      <c r="S64" s="240"/>
      <c r="T64" s="256"/>
      <c r="U64" s="256"/>
      <c r="V64" s="256"/>
      <c r="W64" s="256">
        <f>Table51013454[[#This Row],[العدد]]*Table51013454[[#This Row],[السعر الافرادي]]</f>
        <v>0</v>
      </c>
      <c r="X6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4" s="254">
        <f>Table51013454[[#This Row],[الكمية]]-Table51013454[[#This Row],[العدد]]</f>
        <v>5</v>
      </c>
      <c r="Z64" s="253">
        <f>Table51013454[[#This Row],[سعر/الحبة]]</f>
        <v>700</v>
      </c>
      <c r="AA64" s="253">
        <f>Table51013454[[#This Row],[الإجمالي]]-Table51013454[[#This Row],[إجمالي المستبعد]]</f>
        <v>3500</v>
      </c>
      <c r="AB64" s="269">
        <v>0.15</v>
      </c>
      <c r="AC64" s="231"/>
      <c r="AD64" s="230" t="s">
        <v>55</v>
      </c>
      <c r="AE64" s="249">
        <v>0</v>
      </c>
      <c r="AF6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الشراء-الاستلام]]&lt;DATE(2017,1,1),Q64-AE64,0))</f>
        <v>3500</v>
      </c>
      <c r="AG6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</v>
      </c>
      <c r="AH6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4" s="251">
        <f>Table51013454[[#This Row],[اهلاك المستبعد
في 2017]]+Table51013454[[#This Row],[مجمع إهلاك المستبعد 
01-01-2017]]</f>
        <v>0</v>
      </c>
      <c r="AJ64" s="251">
        <f>Table51013454[[#This Row],[إجمالي المستبعد]]-Table51013454[[#This Row],[مجمع إهلاك المستبعد 
بتاريخ الأستبعاد]]</f>
        <v>0</v>
      </c>
      <c r="AK64" s="250"/>
      <c r="AL64" s="249">
        <f>IF(OR(Table51013454[[#This Row],[تاريخ الشراء-الاستلام]]="",Table51013454[[#This Row],[الإجمالي]]="",Table51013454[[#This Row],[العمر الافتراضي]]=""),"",IF(((AE64+AG64)-Table51013454[[#This Row],[مجمع إهلاك المستبعد 
بتاريخ الأستبعاد]])&lt;=0,0,((AE64+AG64)-Table51013454[[#This Row],[مجمع إهلاك المستبعد 
بتاريخ الأستبعاد]])))</f>
        <v>525</v>
      </c>
      <c r="AM6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الشراء-الاستلام]]&gt;DATE(2017,12,31),0,AA64-AL64)))</f>
        <v>2975</v>
      </c>
    </row>
    <row r="65" spans="1:39" s="260" customFormat="1" ht="57.75" hidden="1" customHeight="1">
      <c r="A65" s="239">
        <f>IF(B65="","",SUBTOTAL(3,$B$6:B65))</f>
        <v>3</v>
      </c>
      <c r="B65" s="230" t="s">
        <v>127</v>
      </c>
      <c r="C65" s="238" t="s">
        <v>91</v>
      </c>
      <c r="D65" s="238"/>
      <c r="E65" s="230" t="s">
        <v>71</v>
      </c>
      <c r="F65" s="230" t="s">
        <v>52</v>
      </c>
      <c r="G65" s="230" t="s">
        <v>439</v>
      </c>
      <c r="H65" s="231" t="s">
        <v>72</v>
      </c>
      <c r="I65" s="231"/>
      <c r="J65" s="237" t="s">
        <v>128</v>
      </c>
      <c r="K65" s="236">
        <v>41562</v>
      </c>
      <c r="L65" s="235" t="s">
        <v>129</v>
      </c>
      <c r="M65" s="283"/>
      <c r="N65" s="224">
        <v>1</v>
      </c>
      <c r="O65" s="223"/>
      <c r="P65" s="258">
        <v>40500</v>
      </c>
      <c r="Q65" s="257">
        <f>P65*N65</f>
        <v>40500</v>
      </c>
      <c r="R65" s="220"/>
      <c r="S65" s="240"/>
      <c r="T65" s="256"/>
      <c r="U65" s="256"/>
      <c r="V65" s="256"/>
      <c r="W65" s="256">
        <f>Table51013454[[#This Row],[العدد]]*Table51013454[[#This Row],[السعر الافرادي]]</f>
        <v>0</v>
      </c>
      <c r="X6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5" s="254">
        <f>Table51013454[[#This Row],[الكمية]]-Table51013454[[#This Row],[العدد]]</f>
        <v>1</v>
      </c>
      <c r="Z65" s="253">
        <f>Table51013454[[#This Row],[سعر/الحبة]]</f>
        <v>40500</v>
      </c>
      <c r="AA65" s="253">
        <f>Table51013454[[#This Row],[الإجمالي]]-Table51013454[[#This Row],[إجمالي المستبعد]]</f>
        <v>40500</v>
      </c>
      <c r="AB65" s="232">
        <v>0.25</v>
      </c>
      <c r="AC65" s="231"/>
      <c r="AD65" s="230" t="s">
        <v>55</v>
      </c>
      <c r="AE65" s="249">
        <v>32510.95890410959</v>
      </c>
      <c r="AF6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الشراء-الاستلام]]&lt;DATE(2017,1,1),Q65-AE65,0))</f>
        <v>7989.0410958904104</v>
      </c>
      <c r="AG6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7989.0410958904104</v>
      </c>
      <c r="AH6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5" s="251">
        <f>Table51013454[[#This Row],[اهلاك المستبعد
في 2017]]+Table51013454[[#This Row],[مجمع إهلاك المستبعد 
01-01-2017]]</f>
        <v>0</v>
      </c>
      <c r="AJ65" s="251">
        <f>Table51013454[[#This Row],[إجمالي المستبعد]]-Table51013454[[#This Row],[مجمع إهلاك المستبعد 
بتاريخ الأستبعاد]]</f>
        <v>0</v>
      </c>
      <c r="AK65" s="250"/>
      <c r="AL65" s="249">
        <f>IF(OR(Table51013454[[#This Row],[تاريخ الشراء-الاستلام]]="",Table51013454[[#This Row],[الإجمالي]]="",Table51013454[[#This Row],[العمر الافتراضي]]=""),"",IF(((AE65+AG65)-Table51013454[[#This Row],[مجمع إهلاك المستبعد 
بتاريخ الأستبعاد]])&lt;=0,0,((AE65+AG65)-Table51013454[[#This Row],[مجمع إهلاك المستبعد 
بتاريخ الأستبعاد]])))</f>
        <v>40500</v>
      </c>
      <c r="AM6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الشراء-الاستلام]]&gt;DATE(2017,12,31),0,AA65-AL65)))</f>
        <v>0</v>
      </c>
    </row>
    <row r="66" spans="1:39" s="260" customFormat="1" ht="57.75" hidden="1" customHeight="1">
      <c r="A66" s="239">
        <f>IF(B66="","",SUBTOTAL(3,$B$6:B66))</f>
        <v>3</v>
      </c>
      <c r="B66" s="230" t="s">
        <v>130</v>
      </c>
      <c r="C66" s="238" t="s">
        <v>91</v>
      </c>
      <c r="D66" s="238"/>
      <c r="E66" s="230" t="s">
        <v>31</v>
      </c>
      <c r="F66" s="230" t="s">
        <v>123</v>
      </c>
      <c r="G66" s="230"/>
      <c r="H66" s="231" t="s">
        <v>72</v>
      </c>
      <c r="I66" s="231"/>
      <c r="J66" s="237" t="s">
        <v>131</v>
      </c>
      <c r="K66" s="236">
        <v>39995</v>
      </c>
      <c r="L66" s="235"/>
      <c r="M66" s="283"/>
      <c r="N66" s="224">
        <v>1</v>
      </c>
      <c r="O66" s="223"/>
      <c r="P66" s="258">
        <v>307357</v>
      </c>
      <c r="Q66" s="257">
        <f>P66*N66</f>
        <v>307357</v>
      </c>
      <c r="R66" s="220"/>
      <c r="S66" s="240"/>
      <c r="T66" s="256"/>
      <c r="U66" s="256"/>
      <c r="V66" s="256"/>
      <c r="W66" s="256">
        <f>Table51013454[[#This Row],[العدد]]*Table51013454[[#This Row],[السعر الافرادي]]</f>
        <v>0</v>
      </c>
      <c r="X6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6" s="254">
        <f>Table51013454[[#This Row],[الكمية]]-Table51013454[[#This Row],[العدد]]</f>
        <v>1</v>
      </c>
      <c r="Z66" s="253">
        <f>Table51013454[[#This Row],[سعر/الحبة]]</f>
        <v>307357</v>
      </c>
      <c r="AA66" s="253">
        <f>Table51013454[[#This Row],[الإجمالي]]-Table51013454[[#This Row],[إجمالي المستبعد]]</f>
        <v>307357</v>
      </c>
      <c r="AB66" s="232">
        <v>0.2</v>
      </c>
      <c r="AC66" s="231"/>
      <c r="AD66" s="230" t="s">
        <v>55</v>
      </c>
      <c r="AE66" s="249">
        <v>307357</v>
      </c>
      <c r="AF6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الشراء-الاستلام]]&lt;DATE(2017,1,1),Q66-AE66,0))</f>
        <v>0</v>
      </c>
      <c r="AG6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6" s="251">
        <f>Table51013454[[#This Row],[اهلاك المستبعد
في 2017]]+Table51013454[[#This Row],[مجمع إهلاك المستبعد 
01-01-2017]]</f>
        <v>0</v>
      </c>
      <c r="AJ66" s="251">
        <f>Table51013454[[#This Row],[إجمالي المستبعد]]-Table51013454[[#This Row],[مجمع إهلاك المستبعد 
بتاريخ الأستبعاد]]</f>
        <v>0</v>
      </c>
      <c r="AK66" s="250"/>
      <c r="AL66" s="249">
        <f>IF(OR(Table51013454[[#This Row],[تاريخ الشراء-الاستلام]]="",Table51013454[[#This Row],[الإجمالي]]="",Table51013454[[#This Row],[العمر الافتراضي]]=""),"",IF(((AE66+AG66)-Table51013454[[#This Row],[مجمع إهلاك المستبعد 
بتاريخ الأستبعاد]])&lt;=0,0,((AE66+AG66)-Table51013454[[#This Row],[مجمع إهلاك المستبعد 
بتاريخ الأستبعاد]])))</f>
        <v>307357</v>
      </c>
      <c r="AM6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الشراء-الاستلام]]&gt;DATE(2017,12,31),0,AA66-AL66)))</f>
        <v>0</v>
      </c>
    </row>
    <row r="67" spans="1:39" s="260" customFormat="1" ht="57.75" hidden="1" customHeight="1">
      <c r="A67" s="239">
        <f>IF(B67="","",SUBTOTAL(3,$B$6:B67))</f>
        <v>3</v>
      </c>
      <c r="B67" s="230" t="s">
        <v>73</v>
      </c>
      <c r="C67" s="238" t="s">
        <v>91</v>
      </c>
      <c r="D67" s="238"/>
      <c r="E67" s="230" t="s">
        <v>31</v>
      </c>
      <c r="F67" s="230" t="s">
        <v>165</v>
      </c>
      <c r="G67" s="230"/>
      <c r="H67" s="231" t="s">
        <v>72</v>
      </c>
      <c r="I67" s="231"/>
      <c r="J67" s="237" t="s">
        <v>132</v>
      </c>
      <c r="K67" s="236">
        <v>40269</v>
      </c>
      <c r="L67" s="235"/>
      <c r="M67" s="283"/>
      <c r="N67" s="224">
        <v>1</v>
      </c>
      <c r="O67" s="223"/>
      <c r="P67" s="258">
        <v>212550</v>
      </c>
      <c r="Q67" s="257">
        <f>P67*N67</f>
        <v>212550</v>
      </c>
      <c r="R67" s="220"/>
      <c r="S67" s="240"/>
      <c r="T67" s="256"/>
      <c r="U67" s="256"/>
      <c r="V67" s="256"/>
      <c r="W67" s="256">
        <f>Table51013454[[#This Row],[العدد]]*Table51013454[[#This Row],[السعر الافرادي]]</f>
        <v>0</v>
      </c>
      <c r="X6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7" s="254">
        <f>Table51013454[[#This Row],[الكمية]]-Table51013454[[#This Row],[العدد]]</f>
        <v>1</v>
      </c>
      <c r="Z67" s="253">
        <f>Table51013454[[#This Row],[سعر/الحبة]]</f>
        <v>212550</v>
      </c>
      <c r="AA67" s="253">
        <f>Table51013454[[#This Row],[الإجمالي]]-Table51013454[[#This Row],[إجمالي المستبعد]]</f>
        <v>212550</v>
      </c>
      <c r="AB67" s="232">
        <v>0.2</v>
      </c>
      <c r="AC67" s="231"/>
      <c r="AD67" s="230" t="s">
        <v>55</v>
      </c>
      <c r="AE67" s="249">
        <v>212550</v>
      </c>
      <c r="AF6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الشراء-الاستلام]]&lt;DATE(2017,1,1),Q67-AE67,0))</f>
        <v>0</v>
      </c>
      <c r="AG6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7" s="251">
        <f>Table51013454[[#This Row],[اهلاك المستبعد
في 2017]]+Table51013454[[#This Row],[مجمع إهلاك المستبعد 
01-01-2017]]</f>
        <v>0</v>
      </c>
      <c r="AJ67" s="251">
        <f>Table51013454[[#This Row],[إجمالي المستبعد]]-Table51013454[[#This Row],[مجمع إهلاك المستبعد 
بتاريخ الأستبعاد]]</f>
        <v>0</v>
      </c>
      <c r="AK67" s="250"/>
      <c r="AL67" s="249">
        <f>IF(OR(Table51013454[[#This Row],[تاريخ الشراء-الاستلام]]="",Table51013454[[#This Row],[الإجمالي]]="",Table51013454[[#This Row],[العمر الافتراضي]]=""),"",IF(((AE67+AG67)-Table51013454[[#This Row],[مجمع إهلاك المستبعد 
بتاريخ الأستبعاد]])&lt;=0,0,((AE67+AG67)-Table51013454[[#This Row],[مجمع إهلاك المستبعد 
بتاريخ الأستبعاد]])))</f>
        <v>212550</v>
      </c>
      <c r="AM6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الشراء-الاستلام]]&gt;DATE(2017,12,31),0,AA67-AL67)))</f>
        <v>0</v>
      </c>
    </row>
    <row r="68" spans="1:39" s="260" customFormat="1" ht="57.75" hidden="1" customHeight="1">
      <c r="A68" s="239">
        <f>IF(B68="","",SUBTOTAL(3,$B$6:B68))</f>
        <v>3</v>
      </c>
      <c r="B68" s="230" t="s">
        <v>130</v>
      </c>
      <c r="C68" s="238" t="s">
        <v>91</v>
      </c>
      <c r="D68" s="238"/>
      <c r="E68" s="230" t="s">
        <v>31</v>
      </c>
      <c r="F68" s="230" t="s">
        <v>165</v>
      </c>
      <c r="G68" s="230"/>
      <c r="H68" s="231" t="s">
        <v>72</v>
      </c>
      <c r="I68" s="231"/>
      <c r="J68" s="237" t="s">
        <v>132</v>
      </c>
      <c r="K68" s="236">
        <v>40298</v>
      </c>
      <c r="L68" s="235"/>
      <c r="M68" s="283"/>
      <c r="N68" s="224">
        <v>1</v>
      </c>
      <c r="O68" s="223"/>
      <c r="P68" s="258">
        <v>82000</v>
      </c>
      <c r="Q68" s="257">
        <f>P68*N68</f>
        <v>82000</v>
      </c>
      <c r="R68" s="220"/>
      <c r="S68" s="240"/>
      <c r="T68" s="256"/>
      <c r="U68" s="256"/>
      <c r="V68" s="256"/>
      <c r="W68" s="256">
        <f>Table51013454[[#This Row],[العدد]]*Table51013454[[#This Row],[السعر الافرادي]]</f>
        <v>0</v>
      </c>
      <c r="X6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8" s="254">
        <f>Table51013454[[#This Row],[الكمية]]-Table51013454[[#This Row],[العدد]]</f>
        <v>1</v>
      </c>
      <c r="Z68" s="253">
        <f>Table51013454[[#This Row],[سعر/الحبة]]</f>
        <v>82000</v>
      </c>
      <c r="AA68" s="253">
        <f>Table51013454[[#This Row],[الإجمالي]]-Table51013454[[#This Row],[إجمالي المستبعد]]</f>
        <v>82000</v>
      </c>
      <c r="AB68" s="232">
        <v>0.2</v>
      </c>
      <c r="AC68" s="231"/>
      <c r="AD68" s="230" t="s">
        <v>55</v>
      </c>
      <c r="AE68" s="249">
        <v>82000</v>
      </c>
      <c r="AF6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الشراء-الاستلام]]&lt;DATE(2017,1,1),Q68-AE68,0))</f>
        <v>0</v>
      </c>
      <c r="AG6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8" s="251">
        <f>Table51013454[[#This Row],[اهلاك المستبعد
في 2017]]+Table51013454[[#This Row],[مجمع إهلاك المستبعد 
01-01-2017]]</f>
        <v>0</v>
      </c>
      <c r="AJ68" s="251">
        <f>Table51013454[[#This Row],[إجمالي المستبعد]]-Table51013454[[#This Row],[مجمع إهلاك المستبعد 
بتاريخ الأستبعاد]]</f>
        <v>0</v>
      </c>
      <c r="AK68" s="250"/>
      <c r="AL68" s="249">
        <f>IF(OR(Table51013454[[#This Row],[تاريخ الشراء-الاستلام]]="",Table51013454[[#This Row],[الإجمالي]]="",Table51013454[[#This Row],[العمر الافتراضي]]=""),"",IF(((AE68+AG68)-Table51013454[[#This Row],[مجمع إهلاك المستبعد 
بتاريخ الأستبعاد]])&lt;=0,0,((AE68+AG68)-Table51013454[[#This Row],[مجمع إهلاك المستبعد 
بتاريخ الأستبعاد]])))</f>
        <v>82000</v>
      </c>
      <c r="AM6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الشراء-الاستلام]]&gt;DATE(2017,12,31),0,AA68-AL68)))</f>
        <v>0</v>
      </c>
    </row>
    <row r="69" spans="1:39" s="260" customFormat="1" ht="57.75" hidden="1" customHeight="1">
      <c r="A69" s="239">
        <f>IF(B69="","",SUBTOTAL(3,$B$6:B69))</f>
        <v>3</v>
      </c>
      <c r="B69" s="230" t="s">
        <v>73</v>
      </c>
      <c r="C69" s="238" t="s">
        <v>91</v>
      </c>
      <c r="D69" s="238"/>
      <c r="E69" s="230" t="s">
        <v>31</v>
      </c>
      <c r="F69" s="230" t="s">
        <v>123</v>
      </c>
      <c r="G69" s="230"/>
      <c r="H69" s="231" t="s">
        <v>72</v>
      </c>
      <c r="I69" s="231"/>
      <c r="J69" s="237" t="s">
        <v>133</v>
      </c>
      <c r="K69" s="236">
        <v>40269</v>
      </c>
      <c r="L69" s="235"/>
      <c r="M69" s="283"/>
      <c r="N69" s="224">
        <v>1</v>
      </c>
      <c r="O69" s="223"/>
      <c r="P69" s="258">
        <v>212550</v>
      </c>
      <c r="Q69" s="257">
        <f>P69*N69</f>
        <v>212550</v>
      </c>
      <c r="R69" s="220"/>
      <c r="S69" s="240"/>
      <c r="T69" s="256"/>
      <c r="U69" s="256"/>
      <c r="V69" s="256"/>
      <c r="W69" s="256">
        <f>Table51013454[[#This Row],[العدد]]*Table51013454[[#This Row],[السعر الافرادي]]</f>
        <v>0</v>
      </c>
      <c r="X6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69" s="254">
        <f>Table51013454[[#This Row],[الكمية]]-Table51013454[[#This Row],[العدد]]</f>
        <v>1</v>
      </c>
      <c r="Z69" s="253">
        <f>Table51013454[[#This Row],[سعر/الحبة]]</f>
        <v>212550</v>
      </c>
      <c r="AA69" s="253">
        <f>Table51013454[[#This Row],[الإجمالي]]-Table51013454[[#This Row],[إجمالي المستبعد]]</f>
        <v>212550</v>
      </c>
      <c r="AB69" s="232">
        <v>0.2</v>
      </c>
      <c r="AC69" s="231"/>
      <c r="AD69" s="230" t="s">
        <v>55</v>
      </c>
      <c r="AE69" s="249">
        <v>212550</v>
      </c>
      <c r="AF6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الشراء-الاستلام]]&lt;DATE(2017,1,1),Q69-AE69,0))</f>
        <v>0</v>
      </c>
      <c r="AG6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6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69" s="251">
        <f>Table51013454[[#This Row],[اهلاك المستبعد
في 2017]]+Table51013454[[#This Row],[مجمع إهلاك المستبعد 
01-01-2017]]</f>
        <v>0</v>
      </c>
      <c r="AJ69" s="251">
        <f>Table51013454[[#This Row],[إجمالي المستبعد]]-Table51013454[[#This Row],[مجمع إهلاك المستبعد 
بتاريخ الأستبعاد]]</f>
        <v>0</v>
      </c>
      <c r="AK69" s="250"/>
      <c r="AL69" s="249">
        <f>IF(OR(Table51013454[[#This Row],[تاريخ الشراء-الاستلام]]="",Table51013454[[#This Row],[الإجمالي]]="",Table51013454[[#This Row],[العمر الافتراضي]]=""),"",IF(((AE69+AG69)-Table51013454[[#This Row],[مجمع إهلاك المستبعد 
بتاريخ الأستبعاد]])&lt;=0,0,((AE69+AG69)-Table51013454[[#This Row],[مجمع إهلاك المستبعد 
بتاريخ الأستبعاد]])))</f>
        <v>212550</v>
      </c>
      <c r="AM6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الشراء-الاستلام]]&gt;DATE(2017,12,31),0,AA69-AL69)))</f>
        <v>0</v>
      </c>
    </row>
    <row r="70" spans="1:39" s="260" customFormat="1" ht="57.75" hidden="1" customHeight="1">
      <c r="A70" s="239">
        <f>IF(B70="","",SUBTOTAL(3,$B$6:B70))</f>
        <v>3</v>
      </c>
      <c r="B70" s="230" t="s">
        <v>130</v>
      </c>
      <c r="C70" s="238" t="s">
        <v>91</v>
      </c>
      <c r="D70" s="238"/>
      <c r="E70" s="230" t="s">
        <v>31</v>
      </c>
      <c r="F70" s="230" t="s">
        <v>123</v>
      </c>
      <c r="G70" s="230"/>
      <c r="H70" s="231" t="s">
        <v>72</v>
      </c>
      <c r="I70" s="231"/>
      <c r="J70" s="237" t="s">
        <v>133</v>
      </c>
      <c r="K70" s="236">
        <v>40298</v>
      </c>
      <c r="L70" s="235"/>
      <c r="M70" s="283"/>
      <c r="N70" s="224">
        <v>1</v>
      </c>
      <c r="O70" s="223"/>
      <c r="P70" s="258">
        <v>82000</v>
      </c>
      <c r="Q70" s="257">
        <f>P70*N70</f>
        <v>82000</v>
      </c>
      <c r="R70" s="220"/>
      <c r="S70" s="240"/>
      <c r="T70" s="256"/>
      <c r="U70" s="256"/>
      <c r="V70" s="256"/>
      <c r="W70" s="256">
        <f>Table51013454[[#This Row],[العدد]]*Table51013454[[#This Row],[السعر الافرادي]]</f>
        <v>0</v>
      </c>
      <c r="X7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0" s="254">
        <f>Table51013454[[#This Row],[الكمية]]-Table51013454[[#This Row],[العدد]]</f>
        <v>1</v>
      </c>
      <c r="Z70" s="253">
        <f>Table51013454[[#This Row],[سعر/الحبة]]</f>
        <v>82000</v>
      </c>
      <c r="AA70" s="253">
        <f>Table51013454[[#This Row],[الإجمالي]]-Table51013454[[#This Row],[إجمالي المستبعد]]</f>
        <v>82000</v>
      </c>
      <c r="AB70" s="232">
        <v>0.2</v>
      </c>
      <c r="AC70" s="231"/>
      <c r="AD70" s="230" t="s">
        <v>55</v>
      </c>
      <c r="AE70" s="249">
        <v>82000</v>
      </c>
      <c r="AF7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الشراء-الاستلام]]&lt;DATE(2017,1,1),Q70-AE70,0))</f>
        <v>0</v>
      </c>
      <c r="AG7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7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0" s="251">
        <f>Table51013454[[#This Row],[اهلاك المستبعد
في 2017]]+Table51013454[[#This Row],[مجمع إهلاك المستبعد 
01-01-2017]]</f>
        <v>0</v>
      </c>
      <c r="AJ70" s="251">
        <f>Table51013454[[#This Row],[إجمالي المستبعد]]-Table51013454[[#This Row],[مجمع إهلاك المستبعد 
بتاريخ الأستبعاد]]</f>
        <v>0</v>
      </c>
      <c r="AK70" s="250"/>
      <c r="AL70" s="249">
        <f>IF(OR(Table51013454[[#This Row],[تاريخ الشراء-الاستلام]]="",Table51013454[[#This Row],[الإجمالي]]="",Table51013454[[#This Row],[العمر الافتراضي]]=""),"",IF(((AE70+AG70)-Table51013454[[#This Row],[مجمع إهلاك المستبعد 
بتاريخ الأستبعاد]])&lt;=0,0,((AE70+AG70)-Table51013454[[#This Row],[مجمع إهلاك المستبعد 
بتاريخ الأستبعاد]])))</f>
        <v>82000</v>
      </c>
      <c r="AM7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الشراء-الاستلام]]&gt;DATE(2017,12,31),0,AA70-AL70)))</f>
        <v>0</v>
      </c>
    </row>
    <row r="71" spans="1:39" s="260" customFormat="1" ht="57.75" hidden="1" customHeight="1">
      <c r="A71" s="239">
        <f>IF(B71="","",SUBTOTAL(3,$B$6:B71))</f>
        <v>3</v>
      </c>
      <c r="B71" s="230" t="s">
        <v>134</v>
      </c>
      <c r="C71" s="238" t="s">
        <v>91</v>
      </c>
      <c r="D71" s="238"/>
      <c r="E71" s="230" t="s">
        <v>31</v>
      </c>
      <c r="F71" s="230" t="s">
        <v>52</v>
      </c>
      <c r="G71" s="285" t="s">
        <v>441</v>
      </c>
      <c r="H71" s="231" t="s">
        <v>72</v>
      </c>
      <c r="I71" s="231"/>
      <c r="J71" s="237" t="s">
        <v>135</v>
      </c>
      <c r="K71" s="236">
        <v>40797</v>
      </c>
      <c r="L71" s="235"/>
      <c r="M71" s="283"/>
      <c r="N71" s="224">
        <v>1</v>
      </c>
      <c r="O71" s="223"/>
      <c r="P71" s="258">
        <v>267763</v>
      </c>
      <c r="Q71" s="257">
        <f>P71*N71</f>
        <v>267763</v>
      </c>
      <c r="R71" s="220"/>
      <c r="S71" s="240"/>
      <c r="T71" s="256"/>
      <c r="U71" s="256"/>
      <c r="V71" s="256"/>
      <c r="W71" s="256">
        <f>Table51013454[[#This Row],[العدد]]*Table51013454[[#This Row],[السعر الافرادي]]</f>
        <v>0</v>
      </c>
      <c r="X7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1" s="254">
        <f>Table51013454[[#This Row],[الكمية]]-Table51013454[[#This Row],[العدد]]</f>
        <v>1</v>
      </c>
      <c r="Z71" s="253">
        <f>Table51013454[[#This Row],[سعر/الحبة]]</f>
        <v>267763</v>
      </c>
      <c r="AA71" s="253">
        <f>Table51013454[[#This Row],[الإجمالي]]-Table51013454[[#This Row],[إجمالي المستبعد]]</f>
        <v>267763</v>
      </c>
      <c r="AB71" s="232">
        <v>0.15</v>
      </c>
      <c r="AC71" s="231"/>
      <c r="AD71" s="230" t="s">
        <v>55</v>
      </c>
      <c r="AE71" s="249">
        <v>213146.68397260271</v>
      </c>
      <c r="AF7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الشراء-الاستلام]]&lt;DATE(2017,1,1),Q71-AE71,0))</f>
        <v>54616.31602739729</v>
      </c>
      <c r="AG7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40164.449999999997</v>
      </c>
      <c r="AH7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1" s="251">
        <f>Table51013454[[#This Row],[اهلاك المستبعد
في 2017]]+Table51013454[[#This Row],[مجمع إهلاك المستبعد 
01-01-2017]]</f>
        <v>0</v>
      </c>
      <c r="AJ71" s="251">
        <f>Table51013454[[#This Row],[إجمالي المستبعد]]-Table51013454[[#This Row],[مجمع إهلاك المستبعد 
بتاريخ الأستبعاد]]</f>
        <v>0</v>
      </c>
      <c r="AK71" s="250"/>
      <c r="AL71" s="249">
        <f>IF(OR(Table51013454[[#This Row],[تاريخ الشراء-الاستلام]]="",Table51013454[[#This Row],[الإجمالي]]="",Table51013454[[#This Row],[العمر الافتراضي]]=""),"",IF(((AE71+AG71)-Table51013454[[#This Row],[مجمع إهلاك المستبعد 
بتاريخ الأستبعاد]])&lt;=0,0,((AE71+AG71)-Table51013454[[#This Row],[مجمع إهلاك المستبعد 
بتاريخ الأستبعاد]])))</f>
        <v>253311.13397260272</v>
      </c>
      <c r="AM7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الشراء-الاستلام]]&gt;DATE(2017,12,31),0,AA71-AL71)))</f>
        <v>14451.866027397278</v>
      </c>
    </row>
    <row r="72" spans="1:39" s="260" customFormat="1" ht="57.75" hidden="1" customHeight="1">
      <c r="A72" s="239">
        <f>IF(B72="","",SUBTOTAL(3,$B$6:B72))</f>
        <v>3</v>
      </c>
      <c r="B72" s="230" t="s">
        <v>136</v>
      </c>
      <c r="C72" s="238" t="s">
        <v>91</v>
      </c>
      <c r="D72" s="238"/>
      <c r="E72" s="230" t="s">
        <v>31</v>
      </c>
      <c r="F72" s="230" t="s">
        <v>52</v>
      </c>
      <c r="G72" s="285" t="s">
        <v>441</v>
      </c>
      <c r="H72" s="231" t="s">
        <v>72</v>
      </c>
      <c r="I72" s="231"/>
      <c r="J72" s="237" t="s">
        <v>135</v>
      </c>
      <c r="K72" s="236">
        <v>41028</v>
      </c>
      <c r="L72" s="235"/>
      <c r="M72" s="283"/>
      <c r="N72" s="224">
        <v>1</v>
      </c>
      <c r="O72" s="223"/>
      <c r="P72" s="258">
        <v>79269</v>
      </c>
      <c r="Q72" s="257">
        <f>P72*N72</f>
        <v>79269</v>
      </c>
      <c r="R72" s="220"/>
      <c r="S72" s="240"/>
      <c r="T72" s="256"/>
      <c r="U72" s="256"/>
      <c r="V72" s="256"/>
      <c r="W72" s="256">
        <f>Table51013454[[#This Row],[العدد]]*Table51013454[[#This Row],[السعر الافرادي]]</f>
        <v>0</v>
      </c>
      <c r="X7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2" s="254">
        <f>Table51013454[[#This Row],[الكمية]]-Table51013454[[#This Row],[العدد]]</f>
        <v>1</v>
      </c>
      <c r="Z72" s="253">
        <f>Table51013454[[#This Row],[سعر/الحبة]]</f>
        <v>79269</v>
      </c>
      <c r="AA72" s="253">
        <f>Table51013454[[#This Row],[الإجمالي]]-Table51013454[[#This Row],[إجمالي المستبعد]]</f>
        <v>79269</v>
      </c>
      <c r="AB72" s="232">
        <v>0.15</v>
      </c>
      <c r="AC72" s="231"/>
      <c r="AD72" s="230" t="s">
        <v>55</v>
      </c>
      <c r="AE72" s="249">
        <v>55575.170136986293</v>
      </c>
      <c r="AF7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الشراء-الاستلام]]&lt;DATE(2017,1,1),Q72-AE72,0))</f>
        <v>23693.829863013707</v>
      </c>
      <c r="AG7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11890.35</v>
      </c>
      <c r="AH7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2" s="251">
        <f>Table51013454[[#This Row],[اهلاك المستبعد
في 2017]]+Table51013454[[#This Row],[مجمع إهلاك المستبعد 
01-01-2017]]</f>
        <v>0</v>
      </c>
      <c r="AJ72" s="251">
        <f>Table51013454[[#This Row],[إجمالي المستبعد]]-Table51013454[[#This Row],[مجمع إهلاك المستبعد 
بتاريخ الأستبعاد]]</f>
        <v>0</v>
      </c>
      <c r="AK72" s="250"/>
      <c r="AL72" s="249">
        <f>IF(OR(Table51013454[[#This Row],[تاريخ الشراء-الاستلام]]="",Table51013454[[#This Row],[الإجمالي]]="",Table51013454[[#This Row],[العمر الافتراضي]]=""),"",IF(((AE72+AG72)-Table51013454[[#This Row],[مجمع إهلاك المستبعد 
بتاريخ الأستبعاد]])&lt;=0,0,((AE72+AG72)-Table51013454[[#This Row],[مجمع إهلاك المستبعد 
بتاريخ الأستبعاد]])))</f>
        <v>67465.520136986292</v>
      </c>
      <c r="AM7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الشراء-الاستلام]]&gt;DATE(2017,12,31),0,AA72-AL72)))</f>
        <v>11803.479863013708</v>
      </c>
    </row>
    <row r="73" spans="1:39" s="260" customFormat="1" ht="57.75" hidden="1" customHeight="1">
      <c r="A73" s="239">
        <f>IF(B73="","",SUBTOTAL(3,$B$6:B73))</f>
        <v>3</v>
      </c>
      <c r="B73" s="230" t="s">
        <v>137</v>
      </c>
      <c r="C73" s="238" t="s">
        <v>91</v>
      </c>
      <c r="D73" s="238"/>
      <c r="E73" s="230" t="s">
        <v>31</v>
      </c>
      <c r="F73" s="230" t="s">
        <v>52</v>
      </c>
      <c r="G73" s="285" t="s">
        <v>441</v>
      </c>
      <c r="H73" s="231" t="s">
        <v>72</v>
      </c>
      <c r="I73" s="231"/>
      <c r="J73" s="237" t="s">
        <v>135</v>
      </c>
      <c r="K73" s="236">
        <v>40806</v>
      </c>
      <c r="L73" s="235"/>
      <c r="M73" s="283"/>
      <c r="N73" s="224">
        <v>1</v>
      </c>
      <c r="O73" s="223"/>
      <c r="P73" s="258">
        <v>1500</v>
      </c>
      <c r="Q73" s="257">
        <f>P73*N73</f>
        <v>1500</v>
      </c>
      <c r="R73" s="220"/>
      <c r="S73" s="240"/>
      <c r="T73" s="256"/>
      <c r="U73" s="256"/>
      <c r="V73" s="256"/>
      <c r="W73" s="256">
        <f>Table51013454[[#This Row],[العدد]]*Table51013454[[#This Row],[السعر الافرادي]]</f>
        <v>0</v>
      </c>
      <c r="X7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3" s="254">
        <f>Table51013454[[#This Row],[الكمية]]-Table51013454[[#This Row],[العدد]]</f>
        <v>1</v>
      </c>
      <c r="Z73" s="253">
        <f>Table51013454[[#This Row],[سعر/الحبة]]</f>
        <v>1500</v>
      </c>
      <c r="AA73" s="253">
        <f>Table51013454[[#This Row],[الإجمالي]]-Table51013454[[#This Row],[إجمالي المستبعد]]</f>
        <v>1500</v>
      </c>
      <c r="AB73" s="232">
        <v>0.15</v>
      </c>
      <c r="AC73" s="231"/>
      <c r="AD73" s="230" t="s">
        <v>55</v>
      </c>
      <c r="AE73" s="249">
        <v>1188.4931506849314</v>
      </c>
      <c r="AF7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الشراء-الاستلام]]&lt;DATE(2017,1,1),Q73-AE73,0))</f>
        <v>311.50684931506862</v>
      </c>
      <c r="AG7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225</v>
      </c>
      <c r="AH7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3" s="251">
        <f>Table51013454[[#This Row],[اهلاك المستبعد
في 2017]]+Table51013454[[#This Row],[مجمع إهلاك المستبعد 
01-01-2017]]</f>
        <v>0</v>
      </c>
      <c r="AJ73" s="251">
        <f>Table51013454[[#This Row],[إجمالي المستبعد]]-Table51013454[[#This Row],[مجمع إهلاك المستبعد 
بتاريخ الأستبعاد]]</f>
        <v>0</v>
      </c>
      <c r="AK73" s="250"/>
      <c r="AL73" s="249">
        <f>IF(OR(Table51013454[[#This Row],[تاريخ الشراء-الاستلام]]="",Table51013454[[#This Row],[الإجمالي]]="",Table51013454[[#This Row],[العمر الافتراضي]]=""),"",IF(((AE73+AG73)-Table51013454[[#This Row],[مجمع إهلاك المستبعد 
بتاريخ الأستبعاد]])&lt;=0,0,((AE73+AG73)-Table51013454[[#This Row],[مجمع إهلاك المستبعد 
بتاريخ الأستبعاد]])))</f>
        <v>1413.4931506849314</v>
      </c>
      <c r="AM7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الشراء-الاستلام]]&gt;DATE(2017,12,31),0,AA73-AL73)))</f>
        <v>86.506849315068621</v>
      </c>
    </row>
    <row r="74" spans="1:39" s="260" customFormat="1" ht="57.75" hidden="1" customHeight="1">
      <c r="A74" s="239">
        <f>IF(B74="","",SUBTOTAL(3,$B$6:B74))</f>
        <v>3</v>
      </c>
      <c r="B74" s="230" t="s">
        <v>136</v>
      </c>
      <c r="C74" s="238" t="s">
        <v>91</v>
      </c>
      <c r="D74" s="238"/>
      <c r="E74" s="230" t="s">
        <v>31</v>
      </c>
      <c r="F74" s="230" t="s">
        <v>482</v>
      </c>
      <c r="G74" s="230"/>
      <c r="H74" s="231" t="s">
        <v>72</v>
      </c>
      <c r="I74" s="231"/>
      <c r="J74" s="237" t="s">
        <v>138</v>
      </c>
      <c r="K74" s="236">
        <v>40756</v>
      </c>
      <c r="L74" s="235"/>
      <c r="M74" s="283"/>
      <c r="N74" s="224">
        <v>1</v>
      </c>
      <c r="O74" s="223"/>
      <c r="P74" s="258">
        <v>305000</v>
      </c>
      <c r="Q74" s="257">
        <f>P74*N74</f>
        <v>305000</v>
      </c>
      <c r="R74" s="220"/>
      <c r="S74" s="240"/>
      <c r="T74" s="256"/>
      <c r="U74" s="256"/>
      <c r="V74" s="256"/>
      <c r="W74" s="256">
        <f>Table51013454[[#This Row],[العدد]]*Table51013454[[#This Row],[السعر الافرادي]]</f>
        <v>0</v>
      </c>
      <c r="X7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4" s="254">
        <f>Table51013454[[#This Row],[الكمية]]-Table51013454[[#This Row],[العدد]]</f>
        <v>1</v>
      </c>
      <c r="Z74" s="253">
        <f>Table51013454[[#This Row],[سعر/الحبة]]</f>
        <v>305000</v>
      </c>
      <c r="AA74" s="253">
        <f>Table51013454[[#This Row],[الإجمالي]]-Table51013454[[#This Row],[إجمالي المستبعد]]</f>
        <v>305000</v>
      </c>
      <c r="AB74" s="232">
        <v>0.15</v>
      </c>
      <c r="AC74" s="231"/>
      <c r="AD74" s="230" t="s">
        <v>55</v>
      </c>
      <c r="AE74" s="249">
        <v>247927.39726027395</v>
      </c>
      <c r="AF7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الشراء-الاستلام]]&lt;DATE(2017,1,1),Q74-AE74,0))</f>
        <v>57072.602739726048</v>
      </c>
      <c r="AG7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45750</v>
      </c>
      <c r="AH7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4" s="251">
        <f>Table51013454[[#This Row],[اهلاك المستبعد
في 2017]]+Table51013454[[#This Row],[مجمع إهلاك المستبعد 
01-01-2017]]</f>
        <v>0</v>
      </c>
      <c r="AJ74" s="251">
        <f>Table51013454[[#This Row],[إجمالي المستبعد]]-Table51013454[[#This Row],[مجمع إهلاك المستبعد 
بتاريخ الأستبعاد]]</f>
        <v>0</v>
      </c>
      <c r="AK74" s="250"/>
      <c r="AL74" s="249">
        <f>IF(OR(Table51013454[[#This Row],[تاريخ الشراء-الاستلام]]="",Table51013454[[#This Row],[الإجمالي]]="",Table51013454[[#This Row],[العمر الافتراضي]]=""),"",IF(((AE74+AG74)-Table51013454[[#This Row],[مجمع إهلاك المستبعد 
بتاريخ الأستبعاد]])&lt;=0,0,((AE74+AG74)-Table51013454[[#This Row],[مجمع إهلاك المستبعد 
بتاريخ الأستبعاد]])))</f>
        <v>293677.39726027392</v>
      </c>
      <c r="AM7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الشراء-الاستلام]]&gt;DATE(2017,12,31),0,AA74-AL74)))</f>
        <v>11322.602739726077</v>
      </c>
    </row>
    <row r="75" spans="1:39" s="260" customFormat="1" ht="57.75" hidden="1" customHeight="1">
      <c r="A75" s="239">
        <f>IF(B75="","",SUBTOTAL(3,$B$6:B75))</f>
        <v>3</v>
      </c>
      <c r="B75" s="230" t="s">
        <v>73</v>
      </c>
      <c r="C75" s="238" t="s">
        <v>91</v>
      </c>
      <c r="D75" s="238"/>
      <c r="E75" s="230" t="s">
        <v>31</v>
      </c>
      <c r="F75" s="230" t="s">
        <v>52</v>
      </c>
      <c r="G75" s="230" t="s">
        <v>436</v>
      </c>
      <c r="H75" s="231" t="s">
        <v>72</v>
      </c>
      <c r="I75" s="231"/>
      <c r="J75" s="237" t="s">
        <v>139</v>
      </c>
      <c r="K75" s="236">
        <v>40904</v>
      </c>
      <c r="L75" s="235"/>
      <c r="M75" s="283"/>
      <c r="N75" s="224">
        <v>1</v>
      </c>
      <c r="O75" s="223"/>
      <c r="P75" s="258">
        <v>243070</v>
      </c>
      <c r="Q75" s="257">
        <f>P75*N75</f>
        <v>243070</v>
      </c>
      <c r="R75" s="220"/>
      <c r="S75" s="240"/>
      <c r="T75" s="256"/>
      <c r="U75" s="256"/>
      <c r="V75" s="256"/>
      <c r="W75" s="256">
        <f>Table51013454[[#This Row],[العدد]]*Table51013454[[#This Row],[السعر الافرادي]]</f>
        <v>0</v>
      </c>
      <c r="X7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5" s="254">
        <f>Table51013454[[#This Row],[الكمية]]-Table51013454[[#This Row],[العدد]]</f>
        <v>1</v>
      </c>
      <c r="Z75" s="253">
        <f>Table51013454[[#This Row],[سعر/الحبة]]</f>
        <v>243070</v>
      </c>
      <c r="AA75" s="253">
        <f>Table51013454[[#This Row],[الإجمالي]]-Table51013454[[#This Row],[إجمالي المستبعد]]</f>
        <v>243070</v>
      </c>
      <c r="AB75" s="232">
        <v>0.15</v>
      </c>
      <c r="AC75" s="231"/>
      <c r="AD75" s="230" t="s">
        <v>55</v>
      </c>
      <c r="AE75" s="249">
        <v>182801.95890410958</v>
      </c>
      <c r="AF7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الشراء-الاستلام]]&lt;DATE(2017,1,1),Q75-AE75,0))</f>
        <v>60268.041095890425</v>
      </c>
      <c r="AG7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36460.5</v>
      </c>
      <c r="AH7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5" s="251">
        <f>Table51013454[[#This Row],[اهلاك المستبعد
في 2017]]+Table51013454[[#This Row],[مجمع إهلاك المستبعد 
01-01-2017]]</f>
        <v>0</v>
      </c>
      <c r="AJ75" s="251">
        <f>Table51013454[[#This Row],[إجمالي المستبعد]]-Table51013454[[#This Row],[مجمع إهلاك المستبعد 
بتاريخ الأستبعاد]]</f>
        <v>0</v>
      </c>
      <c r="AK75" s="250"/>
      <c r="AL75" s="249">
        <f>IF(OR(Table51013454[[#This Row],[تاريخ الشراء-الاستلام]]="",Table51013454[[#This Row],[الإجمالي]]="",Table51013454[[#This Row],[العمر الافتراضي]]=""),"",IF(((AE75+AG75)-Table51013454[[#This Row],[مجمع إهلاك المستبعد 
بتاريخ الأستبعاد]])&lt;=0,0,((AE75+AG75)-Table51013454[[#This Row],[مجمع إهلاك المستبعد 
بتاريخ الأستبعاد]])))</f>
        <v>219262.45890410958</v>
      </c>
      <c r="AM7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الشراء-الاستلام]]&gt;DATE(2017,12,31),0,AA75-AL75)))</f>
        <v>23807.541095890425</v>
      </c>
    </row>
    <row r="76" spans="1:39" s="260" customFormat="1" ht="57.75" hidden="1" customHeight="1">
      <c r="A76" s="239">
        <f>IF(B76="","",SUBTOTAL(3,$B$6:B76))</f>
        <v>3</v>
      </c>
      <c r="B76" s="230" t="s">
        <v>124</v>
      </c>
      <c r="C76" s="238" t="s">
        <v>91</v>
      </c>
      <c r="D76" s="238"/>
      <c r="E76" s="230" t="s">
        <v>31</v>
      </c>
      <c r="F76" s="230" t="s">
        <v>52</v>
      </c>
      <c r="G76" s="230" t="s">
        <v>436</v>
      </c>
      <c r="H76" s="231" t="s">
        <v>72</v>
      </c>
      <c r="I76" s="231"/>
      <c r="J76" s="237" t="s">
        <v>139</v>
      </c>
      <c r="K76" s="236">
        <v>40904</v>
      </c>
      <c r="L76" s="235"/>
      <c r="M76" s="283"/>
      <c r="N76" s="224">
        <v>1</v>
      </c>
      <c r="O76" s="223"/>
      <c r="P76" s="258">
        <v>93000</v>
      </c>
      <c r="Q76" s="257">
        <f>P76*N76</f>
        <v>93000</v>
      </c>
      <c r="R76" s="220"/>
      <c r="S76" s="240"/>
      <c r="T76" s="256"/>
      <c r="U76" s="256"/>
      <c r="V76" s="256"/>
      <c r="W76" s="256">
        <f>Table51013454[[#This Row],[العدد]]*Table51013454[[#This Row],[السعر الافرادي]]</f>
        <v>0</v>
      </c>
      <c r="X7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6" s="254">
        <f>Table51013454[[#This Row],[الكمية]]-Table51013454[[#This Row],[العدد]]</f>
        <v>1</v>
      </c>
      <c r="Z76" s="253">
        <f>Table51013454[[#This Row],[سعر/الحبة]]</f>
        <v>93000</v>
      </c>
      <c r="AA76" s="253">
        <f>Table51013454[[#This Row],[الإجمالي]]-Table51013454[[#This Row],[إجمالي المستبعد]]</f>
        <v>93000</v>
      </c>
      <c r="AB76" s="232">
        <v>0.15</v>
      </c>
      <c r="AC76" s="231"/>
      <c r="AD76" s="230" t="s">
        <v>55</v>
      </c>
      <c r="AE76" s="249">
        <v>69941.095890410958</v>
      </c>
      <c r="AF7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الشراء-الاستلام]]&lt;DATE(2017,1,1),Q76-AE76,0))</f>
        <v>23058.904109589042</v>
      </c>
      <c r="AG7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7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6" s="251">
        <f>Table51013454[[#This Row],[اهلاك المستبعد
في 2017]]+Table51013454[[#This Row],[مجمع إهلاك المستبعد 
01-01-2017]]</f>
        <v>0</v>
      </c>
      <c r="AJ76" s="251">
        <f>Table51013454[[#This Row],[إجمالي المستبعد]]-Table51013454[[#This Row],[مجمع إهلاك المستبعد 
بتاريخ الأستبعاد]]</f>
        <v>0</v>
      </c>
      <c r="AK76" s="250"/>
      <c r="AL76" s="249">
        <f>IF(OR(Table51013454[[#This Row],[تاريخ الشراء-الاستلام]]="",Table51013454[[#This Row],[الإجمالي]]="",Table51013454[[#This Row],[العمر الافتراضي]]=""),"",IF(((AE76+AG76)-Table51013454[[#This Row],[مجمع إهلاك المستبعد 
بتاريخ الأستبعاد]])&lt;=0,0,((AE76+AG76)-Table51013454[[#This Row],[مجمع إهلاك المستبعد 
بتاريخ الأستبعاد]])))</f>
        <v>83891.095890410958</v>
      </c>
      <c r="AM7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الشراء-الاستلام]]&gt;DATE(2017,12,31),0,AA76-AL76)))</f>
        <v>9108.9041095890425</v>
      </c>
    </row>
    <row r="77" spans="1:39" s="260" customFormat="1" ht="57.75" hidden="1" customHeight="1">
      <c r="A77" s="239">
        <f>IF(B77="","",SUBTOTAL(3,$B$6:B77))</f>
        <v>3</v>
      </c>
      <c r="B77" s="230" t="s">
        <v>73</v>
      </c>
      <c r="C77" s="238" t="s">
        <v>91</v>
      </c>
      <c r="D77" s="238"/>
      <c r="E77" s="230" t="s">
        <v>31</v>
      </c>
      <c r="F77" s="230" t="s">
        <v>123</v>
      </c>
      <c r="G77" s="230"/>
      <c r="H77" s="231" t="s">
        <v>72</v>
      </c>
      <c r="I77" s="231"/>
      <c r="J77" s="237" t="s">
        <v>140</v>
      </c>
      <c r="K77" s="236">
        <v>41091</v>
      </c>
      <c r="L77" s="235"/>
      <c r="M77" s="283"/>
      <c r="N77" s="224">
        <v>1</v>
      </c>
      <c r="O77" s="223"/>
      <c r="P77" s="258">
        <v>245826</v>
      </c>
      <c r="Q77" s="257">
        <f>P77*N77</f>
        <v>245826</v>
      </c>
      <c r="R77" s="220"/>
      <c r="S77" s="240"/>
      <c r="T77" s="256"/>
      <c r="U77" s="256"/>
      <c r="V77" s="256"/>
      <c r="W77" s="256">
        <f>Table51013454[[#This Row],[العدد]]*Table51013454[[#This Row],[السعر الافرادي]]</f>
        <v>0</v>
      </c>
      <c r="X7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7" s="254">
        <f>Table51013454[[#This Row],[الكمية]]-Table51013454[[#This Row],[العدد]]</f>
        <v>1</v>
      </c>
      <c r="Z77" s="253">
        <f>Table51013454[[#This Row],[سعر/الحبة]]</f>
        <v>245826</v>
      </c>
      <c r="AA77" s="253">
        <f>Table51013454[[#This Row],[الإجمالي]]-Table51013454[[#This Row],[إجمالي المستبعد]]</f>
        <v>245826</v>
      </c>
      <c r="AB77" s="232">
        <v>0.15</v>
      </c>
      <c r="AC77" s="231"/>
      <c r="AD77" s="230" t="s">
        <v>55</v>
      </c>
      <c r="AE77" s="249">
        <v>165983.06219178083</v>
      </c>
      <c r="AF7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الشراء-الاستلام]]&lt;DATE(2017,1,1),Q77-AE77,0))</f>
        <v>79842.937808219169</v>
      </c>
      <c r="AG7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36873.9</v>
      </c>
      <c r="AH7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7" s="251">
        <f>Table51013454[[#This Row],[اهلاك المستبعد
في 2017]]+Table51013454[[#This Row],[مجمع إهلاك المستبعد 
01-01-2017]]</f>
        <v>0</v>
      </c>
      <c r="AJ77" s="251">
        <f>Table51013454[[#This Row],[إجمالي المستبعد]]-Table51013454[[#This Row],[مجمع إهلاك المستبعد 
بتاريخ الأستبعاد]]</f>
        <v>0</v>
      </c>
      <c r="AK77" s="250"/>
      <c r="AL77" s="249">
        <f>IF(OR(Table51013454[[#This Row],[تاريخ الشراء-الاستلام]]="",Table51013454[[#This Row],[الإجمالي]]="",Table51013454[[#This Row],[العمر الافتراضي]]=""),"",IF(((AE77+AG77)-Table51013454[[#This Row],[مجمع إهلاك المستبعد 
بتاريخ الأستبعاد]])&lt;=0,0,((AE77+AG77)-Table51013454[[#This Row],[مجمع إهلاك المستبعد 
بتاريخ الأستبعاد]])))</f>
        <v>202856.96219178083</v>
      </c>
      <c r="AM7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الشراء-الاستلام]]&gt;DATE(2017,12,31),0,AA77-AL77)))</f>
        <v>42969.037808219175</v>
      </c>
    </row>
    <row r="78" spans="1:39" s="260" customFormat="1" ht="57.75" hidden="1" customHeight="1">
      <c r="A78" s="239">
        <f>IF(B78="","",SUBTOTAL(3,$B$6:B78))</f>
        <v>3</v>
      </c>
      <c r="B78" s="230" t="s">
        <v>124</v>
      </c>
      <c r="C78" s="238" t="s">
        <v>91</v>
      </c>
      <c r="D78" s="238"/>
      <c r="E78" s="230" t="s">
        <v>31</v>
      </c>
      <c r="F78" s="230" t="s">
        <v>123</v>
      </c>
      <c r="G78" s="230"/>
      <c r="H78" s="231" t="s">
        <v>72</v>
      </c>
      <c r="I78" s="231"/>
      <c r="J78" s="237" t="s">
        <v>140</v>
      </c>
      <c r="K78" s="236">
        <v>41265</v>
      </c>
      <c r="L78" s="235"/>
      <c r="M78" s="283"/>
      <c r="N78" s="224">
        <v>1</v>
      </c>
      <c r="O78" s="223"/>
      <c r="P78" s="258">
        <v>93000</v>
      </c>
      <c r="Q78" s="257">
        <f>P78*N78</f>
        <v>93000</v>
      </c>
      <c r="R78" s="220"/>
      <c r="S78" s="240"/>
      <c r="T78" s="256"/>
      <c r="U78" s="256"/>
      <c r="V78" s="256"/>
      <c r="W78" s="256">
        <f>Table51013454[[#This Row],[العدد]]*Table51013454[[#This Row],[السعر الافرادي]]</f>
        <v>0</v>
      </c>
      <c r="X7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8" s="254">
        <f>Table51013454[[#This Row],[الكمية]]-Table51013454[[#This Row],[العدد]]</f>
        <v>1</v>
      </c>
      <c r="Z78" s="253">
        <f>Table51013454[[#This Row],[سعر/الحبة]]</f>
        <v>93000</v>
      </c>
      <c r="AA78" s="253">
        <f>Table51013454[[#This Row],[الإجمالي]]-Table51013454[[#This Row],[إجمالي المستبعد]]</f>
        <v>93000</v>
      </c>
      <c r="AB78" s="232">
        <v>0.15</v>
      </c>
      <c r="AC78" s="231"/>
      <c r="AD78" s="230" t="s">
        <v>55</v>
      </c>
      <c r="AE78" s="249">
        <v>56143.972602739726</v>
      </c>
      <c r="AF7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الشراء-الاستلام]]&lt;DATE(2017,1,1),Q78-AE78,0))</f>
        <v>36856.027397260274</v>
      </c>
      <c r="AG7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7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8" s="251">
        <f>Table51013454[[#This Row],[اهلاك المستبعد
في 2017]]+Table51013454[[#This Row],[مجمع إهلاك المستبعد 
01-01-2017]]</f>
        <v>0</v>
      </c>
      <c r="AJ78" s="251">
        <f>Table51013454[[#This Row],[إجمالي المستبعد]]-Table51013454[[#This Row],[مجمع إهلاك المستبعد 
بتاريخ الأستبعاد]]</f>
        <v>0</v>
      </c>
      <c r="AK78" s="250"/>
      <c r="AL78" s="249">
        <f>IF(OR(Table51013454[[#This Row],[تاريخ الشراء-الاستلام]]="",Table51013454[[#This Row],[الإجمالي]]="",Table51013454[[#This Row],[العمر الافتراضي]]=""),"",IF(((AE78+AG78)-Table51013454[[#This Row],[مجمع إهلاك المستبعد 
بتاريخ الأستبعاد]])&lt;=0,0,((AE78+AG78)-Table51013454[[#This Row],[مجمع إهلاك المستبعد 
بتاريخ الأستبعاد]])))</f>
        <v>70093.972602739726</v>
      </c>
      <c r="AM7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الشراء-الاستلام]]&gt;DATE(2017,12,31),0,AA78-AL78)))</f>
        <v>22906.027397260274</v>
      </c>
    </row>
    <row r="79" spans="1:39" s="260" customFormat="1" ht="57.75" hidden="1" customHeight="1">
      <c r="A79" s="239">
        <f>IF(B79="","",SUBTOTAL(3,$B$6:B79))</f>
        <v>3</v>
      </c>
      <c r="B79" s="230" t="s">
        <v>73</v>
      </c>
      <c r="C79" s="238" t="s">
        <v>91</v>
      </c>
      <c r="D79" s="238"/>
      <c r="E79" s="230" t="s">
        <v>31</v>
      </c>
      <c r="F79" s="230" t="s">
        <v>52</v>
      </c>
      <c r="G79" s="230" t="s">
        <v>436</v>
      </c>
      <c r="H79" s="231" t="s">
        <v>72</v>
      </c>
      <c r="I79" s="231"/>
      <c r="J79" s="237" t="s">
        <v>141</v>
      </c>
      <c r="K79" s="236">
        <v>41091</v>
      </c>
      <c r="L79" s="235"/>
      <c r="M79" s="283"/>
      <c r="N79" s="224">
        <v>1</v>
      </c>
      <c r="O79" s="223"/>
      <c r="P79" s="258">
        <v>245826</v>
      </c>
      <c r="Q79" s="257">
        <f>P79*N79</f>
        <v>245826</v>
      </c>
      <c r="R79" s="220"/>
      <c r="S79" s="240"/>
      <c r="T79" s="256"/>
      <c r="U79" s="256"/>
      <c r="V79" s="256"/>
      <c r="W79" s="256">
        <f>Table51013454[[#This Row],[العدد]]*Table51013454[[#This Row],[السعر الافرادي]]</f>
        <v>0</v>
      </c>
      <c r="X7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79" s="254">
        <f>Table51013454[[#This Row],[الكمية]]-Table51013454[[#This Row],[العدد]]</f>
        <v>1</v>
      </c>
      <c r="Z79" s="253">
        <f>Table51013454[[#This Row],[سعر/الحبة]]</f>
        <v>245826</v>
      </c>
      <c r="AA79" s="253">
        <f>Table51013454[[#This Row],[الإجمالي]]-Table51013454[[#This Row],[إجمالي المستبعد]]</f>
        <v>245826</v>
      </c>
      <c r="AB79" s="232">
        <v>0.15</v>
      </c>
      <c r="AC79" s="231"/>
      <c r="AD79" s="230" t="s">
        <v>55</v>
      </c>
      <c r="AE79" s="249">
        <v>165983.06219178083</v>
      </c>
      <c r="AF7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الشراء-الاستلام]]&lt;DATE(2017,1,1),Q79-AE79,0))</f>
        <v>79842.937808219169</v>
      </c>
      <c r="AG7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36873.9</v>
      </c>
      <c r="AH7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79" s="251">
        <f>Table51013454[[#This Row],[اهلاك المستبعد
في 2017]]+Table51013454[[#This Row],[مجمع إهلاك المستبعد 
01-01-2017]]</f>
        <v>0</v>
      </c>
      <c r="AJ79" s="251">
        <f>Table51013454[[#This Row],[إجمالي المستبعد]]-Table51013454[[#This Row],[مجمع إهلاك المستبعد 
بتاريخ الأستبعاد]]</f>
        <v>0</v>
      </c>
      <c r="AK79" s="250"/>
      <c r="AL79" s="249">
        <f>IF(OR(Table51013454[[#This Row],[تاريخ الشراء-الاستلام]]="",Table51013454[[#This Row],[الإجمالي]]="",Table51013454[[#This Row],[العمر الافتراضي]]=""),"",IF(((AE79+AG79)-Table51013454[[#This Row],[مجمع إهلاك المستبعد 
بتاريخ الأستبعاد]])&lt;=0,0,((AE79+AG79)-Table51013454[[#This Row],[مجمع إهلاك المستبعد 
بتاريخ الأستبعاد]])))</f>
        <v>202856.96219178083</v>
      </c>
      <c r="AM7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الشراء-الاستلام]]&gt;DATE(2017,12,31),0,AA79-AL79)))</f>
        <v>42969.037808219175</v>
      </c>
    </row>
    <row r="80" spans="1:39" s="260" customFormat="1" ht="57.75" hidden="1" customHeight="1">
      <c r="A80" s="239">
        <f>IF(B80="","",SUBTOTAL(3,$B$6:B80))</f>
        <v>3</v>
      </c>
      <c r="B80" s="230" t="s">
        <v>124</v>
      </c>
      <c r="C80" s="238" t="s">
        <v>91</v>
      </c>
      <c r="D80" s="238"/>
      <c r="E80" s="230" t="s">
        <v>31</v>
      </c>
      <c r="F80" s="230" t="s">
        <v>52</v>
      </c>
      <c r="G80" s="230" t="s">
        <v>436</v>
      </c>
      <c r="H80" s="231" t="s">
        <v>72</v>
      </c>
      <c r="I80" s="231"/>
      <c r="J80" s="237" t="s">
        <v>141</v>
      </c>
      <c r="K80" s="236">
        <v>41265</v>
      </c>
      <c r="L80" s="235"/>
      <c r="M80" s="283"/>
      <c r="N80" s="224">
        <v>1</v>
      </c>
      <c r="O80" s="223"/>
      <c r="P80" s="258">
        <v>93000</v>
      </c>
      <c r="Q80" s="257">
        <f>P80*N80</f>
        <v>93000</v>
      </c>
      <c r="R80" s="220"/>
      <c r="S80" s="240"/>
      <c r="T80" s="256"/>
      <c r="U80" s="256"/>
      <c r="V80" s="256"/>
      <c r="W80" s="256">
        <f>Table51013454[[#This Row],[العدد]]*Table51013454[[#This Row],[السعر الافرادي]]</f>
        <v>0</v>
      </c>
      <c r="X8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0" s="254">
        <f>Table51013454[[#This Row],[الكمية]]-Table51013454[[#This Row],[العدد]]</f>
        <v>1</v>
      </c>
      <c r="Z80" s="253">
        <f>Table51013454[[#This Row],[سعر/الحبة]]</f>
        <v>93000</v>
      </c>
      <c r="AA80" s="253">
        <f>Table51013454[[#This Row],[الإجمالي]]-Table51013454[[#This Row],[إجمالي المستبعد]]</f>
        <v>93000</v>
      </c>
      <c r="AB80" s="232">
        <v>0.15</v>
      </c>
      <c r="AC80" s="231"/>
      <c r="AD80" s="230" t="s">
        <v>55</v>
      </c>
      <c r="AE80" s="249">
        <v>56143.972602739726</v>
      </c>
      <c r="AF8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الشراء-الاستلام]]&lt;DATE(2017,1,1),Q80-AE80,0))</f>
        <v>36856.027397260274</v>
      </c>
      <c r="AG8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0" s="251">
        <f>Table51013454[[#This Row],[اهلاك المستبعد
في 2017]]+Table51013454[[#This Row],[مجمع إهلاك المستبعد 
01-01-2017]]</f>
        <v>0</v>
      </c>
      <c r="AJ80" s="251">
        <f>Table51013454[[#This Row],[إجمالي المستبعد]]-Table51013454[[#This Row],[مجمع إهلاك المستبعد 
بتاريخ الأستبعاد]]</f>
        <v>0</v>
      </c>
      <c r="AK80" s="250"/>
      <c r="AL80" s="249">
        <f>IF(OR(Table51013454[[#This Row],[تاريخ الشراء-الاستلام]]="",Table51013454[[#This Row],[الإجمالي]]="",Table51013454[[#This Row],[العمر الافتراضي]]=""),"",IF(((AE80+AG80)-Table51013454[[#This Row],[مجمع إهلاك المستبعد 
بتاريخ الأستبعاد]])&lt;=0,0,((AE80+AG80)-Table51013454[[#This Row],[مجمع إهلاك المستبعد 
بتاريخ الأستبعاد]])))</f>
        <v>70093.972602739726</v>
      </c>
      <c r="AM8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الشراء-الاستلام]]&gt;DATE(2017,12,31),0,AA80-AL80)))</f>
        <v>22906.027397260274</v>
      </c>
    </row>
    <row r="81" spans="1:39" s="260" customFormat="1" ht="57.75" hidden="1" customHeight="1">
      <c r="A81" s="239">
        <f>IF(B81="","",SUBTOTAL(3,$B$6:B81))</f>
        <v>3</v>
      </c>
      <c r="B81" s="230" t="s">
        <v>73</v>
      </c>
      <c r="C81" s="238" t="s">
        <v>91</v>
      </c>
      <c r="D81" s="238"/>
      <c r="E81" s="230" t="s">
        <v>31</v>
      </c>
      <c r="F81" s="230" t="s">
        <v>52</v>
      </c>
      <c r="G81" s="230" t="s">
        <v>436</v>
      </c>
      <c r="H81" s="231" t="s">
        <v>72</v>
      </c>
      <c r="I81" s="231"/>
      <c r="J81" s="237" t="s">
        <v>142</v>
      </c>
      <c r="K81" s="236">
        <v>41091</v>
      </c>
      <c r="L81" s="235"/>
      <c r="M81" s="283"/>
      <c r="N81" s="224">
        <v>1</v>
      </c>
      <c r="O81" s="223"/>
      <c r="P81" s="258">
        <v>245826</v>
      </c>
      <c r="Q81" s="257">
        <f>P81*N81</f>
        <v>245826</v>
      </c>
      <c r="R81" s="220"/>
      <c r="S81" s="240"/>
      <c r="T81" s="256"/>
      <c r="U81" s="256"/>
      <c r="V81" s="256"/>
      <c r="W81" s="256">
        <f>Table51013454[[#This Row],[العدد]]*Table51013454[[#This Row],[السعر الافرادي]]</f>
        <v>0</v>
      </c>
      <c r="X8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1" s="254">
        <f>Table51013454[[#This Row],[الكمية]]-Table51013454[[#This Row],[العدد]]</f>
        <v>1</v>
      </c>
      <c r="Z81" s="253">
        <f>Table51013454[[#This Row],[سعر/الحبة]]</f>
        <v>245826</v>
      </c>
      <c r="AA81" s="253">
        <f>Table51013454[[#This Row],[الإجمالي]]-Table51013454[[#This Row],[إجمالي المستبعد]]</f>
        <v>245826</v>
      </c>
      <c r="AB81" s="232">
        <v>0.15</v>
      </c>
      <c r="AC81" s="231"/>
      <c r="AD81" s="230" t="s">
        <v>55</v>
      </c>
      <c r="AE81" s="249">
        <v>165983.06219178083</v>
      </c>
      <c r="AF8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الشراء-الاستلام]]&lt;DATE(2017,1,1),Q81-AE81,0))</f>
        <v>79842.937808219169</v>
      </c>
      <c r="AG8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36873.9</v>
      </c>
      <c r="AH8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1" s="251">
        <f>Table51013454[[#This Row],[اهلاك المستبعد
في 2017]]+Table51013454[[#This Row],[مجمع إهلاك المستبعد 
01-01-2017]]</f>
        <v>0</v>
      </c>
      <c r="AJ81" s="251">
        <f>Table51013454[[#This Row],[إجمالي المستبعد]]-Table51013454[[#This Row],[مجمع إهلاك المستبعد 
بتاريخ الأستبعاد]]</f>
        <v>0</v>
      </c>
      <c r="AK81" s="250"/>
      <c r="AL81" s="249">
        <f>IF(OR(Table51013454[[#This Row],[تاريخ الشراء-الاستلام]]="",Table51013454[[#This Row],[الإجمالي]]="",Table51013454[[#This Row],[العمر الافتراضي]]=""),"",IF(((AE81+AG81)-Table51013454[[#This Row],[مجمع إهلاك المستبعد 
بتاريخ الأستبعاد]])&lt;=0,0,((AE81+AG81)-Table51013454[[#This Row],[مجمع إهلاك المستبعد 
بتاريخ الأستبعاد]])))</f>
        <v>202856.96219178083</v>
      </c>
      <c r="AM8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الشراء-الاستلام]]&gt;DATE(2017,12,31),0,AA81-AL81)))</f>
        <v>42969.037808219175</v>
      </c>
    </row>
    <row r="82" spans="1:39" s="260" customFormat="1" ht="78" hidden="1">
      <c r="A82" s="239">
        <f>IF(B82="","",SUBTOTAL(3,$B$6:B82))</f>
        <v>3</v>
      </c>
      <c r="B82" s="230" t="s">
        <v>124</v>
      </c>
      <c r="C82" s="238" t="s">
        <v>91</v>
      </c>
      <c r="D82" s="238"/>
      <c r="E82" s="230" t="s">
        <v>31</v>
      </c>
      <c r="F82" s="230" t="s">
        <v>52</v>
      </c>
      <c r="G82" s="230" t="s">
        <v>436</v>
      </c>
      <c r="H82" s="231" t="s">
        <v>72</v>
      </c>
      <c r="I82" s="231"/>
      <c r="J82" s="237" t="s">
        <v>142</v>
      </c>
      <c r="K82" s="236">
        <v>41265</v>
      </c>
      <c r="L82" s="235"/>
      <c r="M82" s="283"/>
      <c r="N82" s="224">
        <v>1</v>
      </c>
      <c r="O82" s="223"/>
      <c r="P82" s="258">
        <v>93000</v>
      </c>
      <c r="Q82" s="257">
        <f>P82*N82</f>
        <v>93000</v>
      </c>
      <c r="R82" s="220"/>
      <c r="S82" s="240"/>
      <c r="T82" s="256"/>
      <c r="U82" s="256"/>
      <c r="V82" s="256"/>
      <c r="W82" s="256">
        <f>Table51013454[[#This Row],[العدد]]*Table51013454[[#This Row],[السعر الافرادي]]</f>
        <v>0</v>
      </c>
      <c r="X8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2" s="254">
        <f>Table51013454[[#This Row],[الكمية]]-Table51013454[[#This Row],[العدد]]</f>
        <v>1</v>
      </c>
      <c r="Z82" s="253">
        <f>Table51013454[[#This Row],[سعر/الحبة]]</f>
        <v>93000</v>
      </c>
      <c r="AA82" s="253">
        <f>Table51013454[[#This Row],[الإجمالي]]-Table51013454[[#This Row],[إجمالي المستبعد]]</f>
        <v>93000</v>
      </c>
      <c r="AB82" s="232">
        <v>0.15</v>
      </c>
      <c r="AC82" s="231"/>
      <c r="AD82" s="230" t="s">
        <v>55</v>
      </c>
      <c r="AE82" s="249">
        <v>56143.972602739726</v>
      </c>
      <c r="AF8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الشراء-الاستلام]]&lt;DATE(2017,1,1),Q82-AE82,0))</f>
        <v>36856.027397260274</v>
      </c>
      <c r="AG8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2" s="251">
        <f>Table51013454[[#This Row],[اهلاك المستبعد
في 2017]]+Table51013454[[#This Row],[مجمع إهلاك المستبعد 
01-01-2017]]</f>
        <v>0</v>
      </c>
      <c r="AJ82" s="251">
        <f>Table51013454[[#This Row],[إجمالي المستبعد]]-Table51013454[[#This Row],[مجمع إهلاك المستبعد 
بتاريخ الأستبعاد]]</f>
        <v>0</v>
      </c>
      <c r="AK82" s="250"/>
      <c r="AL82" s="249">
        <f>IF(OR(Table51013454[[#This Row],[تاريخ الشراء-الاستلام]]="",Table51013454[[#This Row],[الإجمالي]]="",Table51013454[[#This Row],[العمر الافتراضي]]=""),"",IF(((AE82+AG82)-Table51013454[[#This Row],[مجمع إهلاك المستبعد 
بتاريخ الأستبعاد]])&lt;=0,0,((AE82+AG82)-Table51013454[[#This Row],[مجمع إهلاك المستبعد 
بتاريخ الأستبعاد]])))</f>
        <v>70093.972602739726</v>
      </c>
      <c r="AM8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الشراء-الاستلام]]&gt;DATE(2017,12,31),0,AA82-AL82)))</f>
        <v>22906.027397260274</v>
      </c>
    </row>
    <row r="83" spans="1:39" s="260" customFormat="1" ht="57.75" hidden="1" customHeight="1">
      <c r="A83" s="239">
        <f>IF(B83="","",SUBTOTAL(3,$B$6:B83))</f>
        <v>3</v>
      </c>
      <c r="B83" s="230" t="s">
        <v>73</v>
      </c>
      <c r="C83" s="238" t="s">
        <v>91</v>
      </c>
      <c r="D83" s="238"/>
      <c r="E83" s="230" t="s">
        <v>31</v>
      </c>
      <c r="F83" s="230" t="s">
        <v>81</v>
      </c>
      <c r="G83" s="230"/>
      <c r="H83" s="231" t="s">
        <v>72</v>
      </c>
      <c r="I83" s="231"/>
      <c r="J83" s="237" t="s">
        <v>143</v>
      </c>
      <c r="K83" s="236">
        <v>41091</v>
      </c>
      <c r="L83" s="235"/>
      <c r="M83" s="283"/>
      <c r="N83" s="224">
        <v>1</v>
      </c>
      <c r="O83" s="223"/>
      <c r="P83" s="258">
        <v>245825</v>
      </c>
      <c r="Q83" s="257">
        <f>P83*N83</f>
        <v>245825</v>
      </c>
      <c r="R83" s="220"/>
      <c r="S83" s="240"/>
      <c r="T83" s="256"/>
      <c r="U83" s="256"/>
      <c r="V83" s="256"/>
      <c r="W83" s="256">
        <f>Table51013454[[#This Row],[العدد]]*Table51013454[[#This Row],[السعر الافرادي]]</f>
        <v>0</v>
      </c>
      <c r="X8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3" s="254">
        <f>Table51013454[[#This Row],[الكمية]]-Table51013454[[#This Row],[العدد]]</f>
        <v>1</v>
      </c>
      <c r="Z83" s="253">
        <f>Table51013454[[#This Row],[سعر/الحبة]]</f>
        <v>245825</v>
      </c>
      <c r="AA83" s="253">
        <f>Table51013454[[#This Row],[الإجمالي]]-Table51013454[[#This Row],[إجمالي المستبعد]]</f>
        <v>245825</v>
      </c>
      <c r="AB83" s="232">
        <v>0.15</v>
      </c>
      <c r="AC83" s="231"/>
      <c r="AD83" s="230" t="s">
        <v>55</v>
      </c>
      <c r="AE83" s="249">
        <v>165982.38698630134</v>
      </c>
      <c r="AF8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الشراء-الاستلام]]&lt;DATE(2017,1,1),Q83-AE83,0))</f>
        <v>79842.613013698661</v>
      </c>
      <c r="AG8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3" s="251">
        <f>Table51013454[[#This Row],[اهلاك المستبعد
في 2017]]+Table51013454[[#This Row],[مجمع إهلاك المستبعد 
01-01-2017]]</f>
        <v>0</v>
      </c>
      <c r="AJ83" s="251">
        <f>Table51013454[[#This Row],[إجمالي المستبعد]]-Table51013454[[#This Row],[مجمع إهلاك المستبعد 
بتاريخ الأستبعاد]]</f>
        <v>0</v>
      </c>
      <c r="AK83" s="250"/>
      <c r="AL83" s="249">
        <f>IF(OR(Table51013454[[#This Row],[تاريخ الشراء-الاستلام]]="",Table51013454[[#This Row],[الإجمالي]]="",Table51013454[[#This Row],[العمر الافتراضي]]=""),"",IF(((AE83+AG83)-Table51013454[[#This Row],[مجمع إهلاك المستبعد 
بتاريخ الأستبعاد]])&lt;=0,0,((AE83+AG83)-Table51013454[[#This Row],[مجمع إهلاك المستبعد 
بتاريخ الأستبعاد]])))</f>
        <v>202856.13698630134</v>
      </c>
      <c r="AM8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الشراء-الاستلام]]&gt;DATE(2017,12,31),0,AA83-AL83)))</f>
        <v>42968.863013698661</v>
      </c>
    </row>
    <row r="84" spans="1:39" s="260" customFormat="1" ht="57.75" hidden="1" customHeight="1">
      <c r="A84" s="239">
        <f>IF(B84="","",SUBTOTAL(3,$B$6:B84))</f>
        <v>3</v>
      </c>
      <c r="B84" s="230" t="s">
        <v>124</v>
      </c>
      <c r="C84" s="238" t="s">
        <v>91</v>
      </c>
      <c r="D84" s="238"/>
      <c r="E84" s="230" t="s">
        <v>31</v>
      </c>
      <c r="F84" s="230" t="s">
        <v>81</v>
      </c>
      <c r="G84" s="230"/>
      <c r="H84" s="231" t="s">
        <v>72</v>
      </c>
      <c r="I84" s="231"/>
      <c r="J84" s="237" t="s">
        <v>143</v>
      </c>
      <c r="K84" s="236">
        <v>41265</v>
      </c>
      <c r="L84" s="235"/>
      <c r="M84" s="283"/>
      <c r="N84" s="224">
        <v>1</v>
      </c>
      <c r="O84" s="223"/>
      <c r="P84" s="258">
        <v>93000</v>
      </c>
      <c r="Q84" s="257">
        <f>P84*N84</f>
        <v>93000</v>
      </c>
      <c r="R84" s="220"/>
      <c r="S84" s="240"/>
      <c r="T84" s="256"/>
      <c r="U84" s="256"/>
      <c r="V84" s="256"/>
      <c r="W84" s="256">
        <f>Table51013454[[#This Row],[العدد]]*Table51013454[[#This Row],[السعر الافرادي]]</f>
        <v>0</v>
      </c>
      <c r="X8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4" s="254">
        <f>Table51013454[[#This Row],[الكمية]]-Table51013454[[#This Row],[العدد]]</f>
        <v>1</v>
      </c>
      <c r="Z84" s="253">
        <f>Table51013454[[#This Row],[سعر/الحبة]]</f>
        <v>93000</v>
      </c>
      <c r="AA84" s="253">
        <f>Table51013454[[#This Row],[الإجمالي]]-Table51013454[[#This Row],[إجمالي المستبعد]]</f>
        <v>93000</v>
      </c>
      <c r="AB84" s="232">
        <v>0.15</v>
      </c>
      <c r="AC84" s="231"/>
      <c r="AD84" s="230" t="s">
        <v>55</v>
      </c>
      <c r="AE84" s="249">
        <v>56143.972602739726</v>
      </c>
      <c r="AF8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الشراء-الاستلام]]&lt;DATE(2017,1,1),Q84-AE84,0))</f>
        <v>36856.027397260274</v>
      </c>
      <c r="AG8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4" s="251">
        <f>Table51013454[[#This Row],[اهلاك المستبعد
في 2017]]+Table51013454[[#This Row],[مجمع إهلاك المستبعد 
01-01-2017]]</f>
        <v>0</v>
      </c>
      <c r="AJ84" s="251">
        <f>Table51013454[[#This Row],[إجمالي المستبعد]]-Table51013454[[#This Row],[مجمع إهلاك المستبعد 
بتاريخ الأستبعاد]]</f>
        <v>0</v>
      </c>
      <c r="AK84" s="250"/>
      <c r="AL84" s="249">
        <f>IF(OR(Table51013454[[#This Row],[تاريخ الشراء-الاستلام]]="",Table51013454[[#This Row],[الإجمالي]]="",Table51013454[[#This Row],[العمر الافتراضي]]=""),"",IF(((AE84+AG84)-Table51013454[[#This Row],[مجمع إهلاك المستبعد 
بتاريخ الأستبعاد]])&lt;=0,0,((AE84+AG84)-Table51013454[[#This Row],[مجمع إهلاك المستبعد 
بتاريخ الأستبعاد]])))</f>
        <v>70093.972602739726</v>
      </c>
      <c r="AM8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الشراء-الاستلام]]&gt;DATE(2017,12,31),0,AA84-AL84)))</f>
        <v>22906.027397260274</v>
      </c>
    </row>
    <row r="85" spans="1:39" s="260" customFormat="1" ht="57.75" hidden="1" customHeight="1">
      <c r="A85" s="239">
        <f>IF(B85="","",SUBTOTAL(3,$B$6:B85))</f>
        <v>3</v>
      </c>
      <c r="B85" s="230" t="s">
        <v>73</v>
      </c>
      <c r="C85" s="238" t="s">
        <v>91</v>
      </c>
      <c r="D85" s="238"/>
      <c r="E85" s="230" t="s">
        <v>31</v>
      </c>
      <c r="F85" s="230"/>
      <c r="G85" s="230"/>
      <c r="H85" s="231" t="s">
        <v>72</v>
      </c>
      <c r="I85" s="231"/>
      <c r="J85" s="237" t="s">
        <v>144</v>
      </c>
      <c r="K85" s="236">
        <v>41091</v>
      </c>
      <c r="L85" s="235"/>
      <c r="M85" s="283"/>
      <c r="N85" s="224">
        <v>1</v>
      </c>
      <c r="O85" s="223"/>
      <c r="P85" s="258">
        <v>245825</v>
      </c>
      <c r="Q85" s="257">
        <f>P85*N85</f>
        <v>245825</v>
      </c>
      <c r="R85" s="220"/>
      <c r="S85" s="240"/>
      <c r="T85" s="256"/>
      <c r="U85" s="256"/>
      <c r="V85" s="256"/>
      <c r="W85" s="256">
        <f>Table51013454[[#This Row],[العدد]]*Table51013454[[#This Row],[السعر الافرادي]]</f>
        <v>0</v>
      </c>
      <c r="X8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5" s="254">
        <f>Table51013454[[#This Row],[الكمية]]-Table51013454[[#This Row],[العدد]]</f>
        <v>1</v>
      </c>
      <c r="Z85" s="253">
        <f>Table51013454[[#This Row],[سعر/الحبة]]</f>
        <v>245825</v>
      </c>
      <c r="AA85" s="253">
        <f>Table51013454[[#This Row],[الإجمالي]]-Table51013454[[#This Row],[إجمالي المستبعد]]</f>
        <v>245825</v>
      </c>
      <c r="AB85" s="232">
        <v>0.15</v>
      </c>
      <c r="AC85" s="231"/>
      <c r="AD85" s="230" t="s">
        <v>55</v>
      </c>
      <c r="AE85" s="249">
        <v>165982.38698630134</v>
      </c>
      <c r="AF8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الشراء-الاستلام]]&lt;DATE(2017,1,1),Q85-AE85,0))</f>
        <v>79842.613013698661</v>
      </c>
      <c r="AG8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5" s="251">
        <f>Table51013454[[#This Row],[اهلاك المستبعد
في 2017]]+Table51013454[[#This Row],[مجمع إهلاك المستبعد 
01-01-2017]]</f>
        <v>0</v>
      </c>
      <c r="AJ85" s="251">
        <f>Table51013454[[#This Row],[إجمالي المستبعد]]-Table51013454[[#This Row],[مجمع إهلاك المستبعد 
بتاريخ الأستبعاد]]</f>
        <v>0</v>
      </c>
      <c r="AK85" s="250"/>
      <c r="AL85" s="249">
        <f>IF(OR(Table51013454[[#This Row],[تاريخ الشراء-الاستلام]]="",Table51013454[[#This Row],[الإجمالي]]="",Table51013454[[#This Row],[العمر الافتراضي]]=""),"",IF(((AE85+AG85)-Table51013454[[#This Row],[مجمع إهلاك المستبعد 
بتاريخ الأستبعاد]])&lt;=0,0,((AE85+AG85)-Table51013454[[#This Row],[مجمع إهلاك المستبعد 
بتاريخ الأستبعاد]])))</f>
        <v>202856.13698630134</v>
      </c>
      <c r="AM8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الشراء-الاستلام]]&gt;DATE(2017,12,31),0,AA85-AL85)))</f>
        <v>42968.863013698661</v>
      </c>
    </row>
    <row r="86" spans="1:39" s="260" customFormat="1" ht="57.75" hidden="1" customHeight="1">
      <c r="A86" s="239">
        <f>IF(B86="","",SUBTOTAL(3,$B$6:B86))</f>
        <v>3</v>
      </c>
      <c r="B86" s="230" t="s">
        <v>124</v>
      </c>
      <c r="C86" s="238" t="s">
        <v>91</v>
      </c>
      <c r="D86" s="238"/>
      <c r="E86" s="230" t="s">
        <v>31</v>
      </c>
      <c r="F86" s="230"/>
      <c r="G86" s="230"/>
      <c r="H86" s="231" t="s">
        <v>72</v>
      </c>
      <c r="I86" s="231"/>
      <c r="J86" s="237" t="s">
        <v>144</v>
      </c>
      <c r="K86" s="236">
        <v>41265</v>
      </c>
      <c r="L86" s="235"/>
      <c r="M86" s="283"/>
      <c r="N86" s="224">
        <v>1</v>
      </c>
      <c r="O86" s="223"/>
      <c r="P86" s="258">
        <v>93000</v>
      </c>
      <c r="Q86" s="257">
        <f>P86*N86</f>
        <v>93000</v>
      </c>
      <c r="R86" s="220"/>
      <c r="S86" s="240"/>
      <c r="T86" s="256"/>
      <c r="U86" s="256"/>
      <c r="V86" s="256"/>
      <c r="W86" s="256">
        <f>Table51013454[[#This Row],[العدد]]*Table51013454[[#This Row],[السعر الافرادي]]</f>
        <v>0</v>
      </c>
      <c r="X8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6" s="254">
        <f>Table51013454[[#This Row],[الكمية]]-Table51013454[[#This Row],[العدد]]</f>
        <v>1</v>
      </c>
      <c r="Z86" s="253">
        <f>Table51013454[[#This Row],[سعر/الحبة]]</f>
        <v>93000</v>
      </c>
      <c r="AA86" s="253">
        <f>Table51013454[[#This Row],[الإجمالي]]-Table51013454[[#This Row],[إجمالي المستبعد]]</f>
        <v>93000</v>
      </c>
      <c r="AB86" s="232">
        <v>0.15</v>
      </c>
      <c r="AC86" s="231"/>
      <c r="AD86" s="230" t="s">
        <v>55</v>
      </c>
      <c r="AE86" s="249">
        <v>56143.972602739726</v>
      </c>
      <c r="AF8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الشراء-الاستلام]]&lt;DATE(2017,1,1),Q86-AE86,0))</f>
        <v>36856.027397260274</v>
      </c>
      <c r="AG8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6" s="251">
        <f>Table51013454[[#This Row],[اهلاك المستبعد
في 2017]]+Table51013454[[#This Row],[مجمع إهلاك المستبعد 
01-01-2017]]</f>
        <v>0</v>
      </c>
      <c r="AJ86" s="251">
        <f>Table51013454[[#This Row],[إجمالي المستبعد]]-Table51013454[[#This Row],[مجمع إهلاك المستبعد 
بتاريخ الأستبعاد]]</f>
        <v>0</v>
      </c>
      <c r="AK86" s="250"/>
      <c r="AL86" s="249">
        <f>IF(OR(Table51013454[[#This Row],[تاريخ الشراء-الاستلام]]="",Table51013454[[#This Row],[الإجمالي]]="",Table51013454[[#This Row],[العمر الافتراضي]]=""),"",IF(((AE86+AG86)-Table51013454[[#This Row],[مجمع إهلاك المستبعد 
بتاريخ الأستبعاد]])&lt;=0,0,((AE86+AG86)-Table51013454[[#This Row],[مجمع إهلاك المستبعد 
بتاريخ الأستبعاد]])))</f>
        <v>70093.972602739726</v>
      </c>
      <c r="AM8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الشراء-الاستلام]]&gt;DATE(2017,12,31),0,AA86-AL86)))</f>
        <v>22906.027397260274</v>
      </c>
    </row>
    <row r="87" spans="1:39" s="260" customFormat="1" ht="57.75" hidden="1" customHeight="1">
      <c r="A87" s="239">
        <f>IF(B87="","",SUBTOTAL(3,$B$6:B87))</f>
        <v>3</v>
      </c>
      <c r="B87" s="230" t="s">
        <v>73</v>
      </c>
      <c r="C87" s="238" t="s">
        <v>91</v>
      </c>
      <c r="D87" s="238"/>
      <c r="E87" s="230" t="s">
        <v>31</v>
      </c>
      <c r="F87" s="230" t="s">
        <v>52</v>
      </c>
      <c r="G87" s="285" t="s">
        <v>441</v>
      </c>
      <c r="H87" s="231" t="s">
        <v>72</v>
      </c>
      <c r="I87" s="231"/>
      <c r="J87" s="237" t="s">
        <v>145</v>
      </c>
      <c r="K87" s="236">
        <v>41091</v>
      </c>
      <c r="L87" s="235"/>
      <c r="M87" s="283"/>
      <c r="N87" s="224">
        <v>1</v>
      </c>
      <c r="O87" s="223"/>
      <c r="P87" s="258">
        <v>245825</v>
      </c>
      <c r="Q87" s="257">
        <f>P87*N87</f>
        <v>245825</v>
      </c>
      <c r="R87" s="220"/>
      <c r="S87" s="240"/>
      <c r="T87" s="256"/>
      <c r="U87" s="256"/>
      <c r="V87" s="256"/>
      <c r="W87" s="256">
        <f>Table51013454[[#This Row],[العدد]]*Table51013454[[#This Row],[السعر الافرادي]]</f>
        <v>0</v>
      </c>
      <c r="X8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7" s="254">
        <f>Table51013454[[#This Row],[الكمية]]-Table51013454[[#This Row],[العدد]]</f>
        <v>1</v>
      </c>
      <c r="Z87" s="253">
        <f>Table51013454[[#This Row],[سعر/الحبة]]</f>
        <v>245825</v>
      </c>
      <c r="AA87" s="253">
        <f>Table51013454[[#This Row],[الإجمالي]]-Table51013454[[#This Row],[إجمالي المستبعد]]</f>
        <v>245825</v>
      </c>
      <c r="AB87" s="232">
        <v>0.15</v>
      </c>
      <c r="AC87" s="231"/>
      <c r="AD87" s="230" t="s">
        <v>55</v>
      </c>
      <c r="AE87" s="249">
        <v>165982.38698630134</v>
      </c>
      <c r="AF8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الشراء-الاستلام]]&lt;DATE(2017,1,1),Q87-AE87,0))</f>
        <v>79842.613013698661</v>
      </c>
      <c r="AG8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7" s="251">
        <f>Table51013454[[#This Row],[اهلاك المستبعد
في 2017]]+Table51013454[[#This Row],[مجمع إهلاك المستبعد 
01-01-2017]]</f>
        <v>0</v>
      </c>
      <c r="AJ87" s="251">
        <f>Table51013454[[#This Row],[إجمالي المستبعد]]-Table51013454[[#This Row],[مجمع إهلاك المستبعد 
بتاريخ الأستبعاد]]</f>
        <v>0</v>
      </c>
      <c r="AK87" s="250"/>
      <c r="AL87" s="249">
        <f>IF(OR(Table51013454[[#This Row],[تاريخ الشراء-الاستلام]]="",Table51013454[[#This Row],[الإجمالي]]="",Table51013454[[#This Row],[العمر الافتراضي]]=""),"",IF(((AE87+AG87)-Table51013454[[#This Row],[مجمع إهلاك المستبعد 
بتاريخ الأستبعاد]])&lt;=0,0,((AE87+AG87)-Table51013454[[#This Row],[مجمع إهلاك المستبعد 
بتاريخ الأستبعاد]])))</f>
        <v>202856.13698630134</v>
      </c>
      <c r="AM8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الشراء-الاستلام]]&gt;DATE(2017,12,31),0,AA87-AL87)))</f>
        <v>42968.863013698661</v>
      </c>
    </row>
    <row r="88" spans="1:39" s="260" customFormat="1" ht="57.75" hidden="1" customHeight="1">
      <c r="A88" s="239">
        <f>IF(B88="","",SUBTOTAL(3,$B$6:B88))</f>
        <v>3</v>
      </c>
      <c r="B88" s="230" t="s">
        <v>124</v>
      </c>
      <c r="C88" s="238" t="s">
        <v>91</v>
      </c>
      <c r="D88" s="238"/>
      <c r="E88" s="230" t="s">
        <v>31</v>
      </c>
      <c r="F88" s="230" t="s">
        <v>52</v>
      </c>
      <c r="G88" s="285" t="s">
        <v>441</v>
      </c>
      <c r="H88" s="231" t="s">
        <v>72</v>
      </c>
      <c r="I88" s="231"/>
      <c r="J88" s="237" t="s">
        <v>145</v>
      </c>
      <c r="K88" s="236">
        <v>41265</v>
      </c>
      <c r="L88" s="235"/>
      <c r="M88" s="283"/>
      <c r="N88" s="224">
        <v>1</v>
      </c>
      <c r="O88" s="223"/>
      <c r="P88" s="258">
        <v>93000</v>
      </c>
      <c r="Q88" s="257">
        <f>P88*N88</f>
        <v>93000</v>
      </c>
      <c r="R88" s="220"/>
      <c r="S88" s="240"/>
      <c r="T88" s="256"/>
      <c r="U88" s="256"/>
      <c r="V88" s="256"/>
      <c r="W88" s="256">
        <f>Table51013454[[#This Row],[العدد]]*Table51013454[[#This Row],[السعر الافرادي]]</f>
        <v>0</v>
      </c>
      <c r="X8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8" s="254">
        <f>Table51013454[[#This Row],[الكمية]]-Table51013454[[#This Row],[العدد]]</f>
        <v>1</v>
      </c>
      <c r="Z88" s="253">
        <f>Table51013454[[#This Row],[سعر/الحبة]]</f>
        <v>93000</v>
      </c>
      <c r="AA88" s="253">
        <f>Table51013454[[#This Row],[الإجمالي]]-Table51013454[[#This Row],[إجمالي المستبعد]]</f>
        <v>93000</v>
      </c>
      <c r="AB88" s="232">
        <v>0.15</v>
      </c>
      <c r="AC88" s="231"/>
      <c r="AD88" s="230" t="s">
        <v>55</v>
      </c>
      <c r="AE88" s="249">
        <v>56143.972602739726</v>
      </c>
      <c r="AF8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الشراء-الاستلام]]&lt;DATE(2017,1,1),Q88-AE88,0))</f>
        <v>36856.027397260274</v>
      </c>
      <c r="AG8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8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8" s="251">
        <f>Table51013454[[#This Row],[اهلاك المستبعد
في 2017]]+Table51013454[[#This Row],[مجمع إهلاك المستبعد 
01-01-2017]]</f>
        <v>0</v>
      </c>
      <c r="AJ88" s="251">
        <f>Table51013454[[#This Row],[إجمالي المستبعد]]-Table51013454[[#This Row],[مجمع إهلاك المستبعد 
بتاريخ الأستبعاد]]</f>
        <v>0</v>
      </c>
      <c r="AK88" s="250"/>
      <c r="AL88" s="249">
        <f>IF(OR(Table51013454[[#This Row],[تاريخ الشراء-الاستلام]]="",Table51013454[[#This Row],[الإجمالي]]="",Table51013454[[#This Row],[العمر الافتراضي]]=""),"",IF(((AE88+AG88)-Table51013454[[#This Row],[مجمع إهلاك المستبعد 
بتاريخ الأستبعاد]])&lt;=0,0,((AE88+AG88)-Table51013454[[#This Row],[مجمع إهلاك المستبعد 
بتاريخ الأستبعاد]])))</f>
        <v>70093.972602739726</v>
      </c>
      <c r="AM8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الشراء-الاستلام]]&gt;DATE(2017,12,31),0,AA88-AL88)))</f>
        <v>22906.027397260274</v>
      </c>
    </row>
    <row r="89" spans="1:39" s="260" customFormat="1" ht="57.75" hidden="1" customHeight="1">
      <c r="A89" s="239">
        <f>IF(B89="","",SUBTOTAL(3,$B$6:B89))</f>
        <v>3</v>
      </c>
      <c r="B89" s="230" t="s">
        <v>73</v>
      </c>
      <c r="C89" s="238" t="s">
        <v>91</v>
      </c>
      <c r="D89" s="238"/>
      <c r="E89" s="230" t="s">
        <v>31</v>
      </c>
      <c r="F89" s="230" t="s">
        <v>52</v>
      </c>
      <c r="G89" s="230" t="s">
        <v>436</v>
      </c>
      <c r="H89" s="231" t="s">
        <v>72</v>
      </c>
      <c r="I89" s="231"/>
      <c r="J89" s="237" t="s">
        <v>146</v>
      </c>
      <c r="K89" s="236">
        <v>41091</v>
      </c>
      <c r="L89" s="235"/>
      <c r="M89" s="283"/>
      <c r="N89" s="224">
        <v>1</v>
      </c>
      <c r="O89" s="223"/>
      <c r="P89" s="258">
        <v>245825</v>
      </c>
      <c r="Q89" s="257">
        <f>P89*N89</f>
        <v>245825</v>
      </c>
      <c r="R89" s="220"/>
      <c r="S89" s="240"/>
      <c r="T89" s="256"/>
      <c r="U89" s="256"/>
      <c r="V89" s="256"/>
      <c r="W89" s="256">
        <f>Table51013454[[#This Row],[العدد]]*Table51013454[[#This Row],[السعر الافرادي]]</f>
        <v>0</v>
      </c>
      <c r="X8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89" s="254">
        <f>Table51013454[[#This Row],[الكمية]]-Table51013454[[#This Row],[العدد]]</f>
        <v>1</v>
      </c>
      <c r="Z89" s="253">
        <f>Table51013454[[#This Row],[سعر/الحبة]]</f>
        <v>245825</v>
      </c>
      <c r="AA89" s="253">
        <f>Table51013454[[#This Row],[الإجمالي]]-Table51013454[[#This Row],[إجمالي المستبعد]]</f>
        <v>245825</v>
      </c>
      <c r="AB89" s="232">
        <v>0.15</v>
      </c>
      <c r="AC89" s="231"/>
      <c r="AD89" s="230" t="s">
        <v>55</v>
      </c>
      <c r="AE89" s="249">
        <v>165982.38698630134</v>
      </c>
      <c r="AF8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الشراء-الاستلام]]&lt;DATE(2017,1,1),Q89-AE89,0))</f>
        <v>79842.613013698661</v>
      </c>
      <c r="AG8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8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89" s="251">
        <f>Table51013454[[#This Row],[اهلاك المستبعد
في 2017]]+Table51013454[[#This Row],[مجمع إهلاك المستبعد 
01-01-2017]]</f>
        <v>0</v>
      </c>
      <c r="AJ89" s="251">
        <f>Table51013454[[#This Row],[إجمالي المستبعد]]-Table51013454[[#This Row],[مجمع إهلاك المستبعد 
بتاريخ الأستبعاد]]</f>
        <v>0</v>
      </c>
      <c r="AK89" s="250"/>
      <c r="AL89" s="249">
        <f>IF(OR(Table51013454[[#This Row],[تاريخ الشراء-الاستلام]]="",Table51013454[[#This Row],[الإجمالي]]="",Table51013454[[#This Row],[العمر الافتراضي]]=""),"",IF(((AE89+AG89)-Table51013454[[#This Row],[مجمع إهلاك المستبعد 
بتاريخ الأستبعاد]])&lt;=0,0,((AE89+AG89)-Table51013454[[#This Row],[مجمع إهلاك المستبعد 
بتاريخ الأستبعاد]])))</f>
        <v>202856.13698630134</v>
      </c>
      <c r="AM8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الشراء-الاستلام]]&gt;DATE(2017,12,31),0,AA89-AL89)))</f>
        <v>42968.863013698661</v>
      </c>
    </row>
    <row r="90" spans="1:39" s="260" customFormat="1" ht="57.75" hidden="1" customHeight="1">
      <c r="A90" s="239">
        <f>IF(B90="","",SUBTOTAL(3,$B$6:B90))</f>
        <v>3</v>
      </c>
      <c r="B90" s="230" t="s">
        <v>124</v>
      </c>
      <c r="C90" s="238" t="s">
        <v>91</v>
      </c>
      <c r="D90" s="238"/>
      <c r="E90" s="230" t="s">
        <v>31</v>
      </c>
      <c r="F90" s="230" t="s">
        <v>52</v>
      </c>
      <c r="G90" s="230" t="s">
        <v>436</v>
      </c>
      <c r="H90" s="231" t="s">
        <v>72</v>
      </c>
      <c r="I90" s="231"/>
      <c r="J90" s="237" t="s">
        <v>146</v>
      </c>
      <c r="K90" s="236">
        <v>41265</v>
      </c>
      <c r="L90" s="235"/>
      <c r="M90" s="283"/>
      <c r="N90" s="224">
        <v>1</v>
      </c>
      <c r="O90" s="223"/>
      <c r="P90" s="258">
        <v>93000</v>
      </c>
      <c r="Q90" s="257">
        <f>P90*N90</f>
        <v>93000</v>
      </c>
      <c r="R90" s="220"/>
      <c r="S90" s="240"/>
      <c r="T90" s="256"/>
      <c r="U90" s="256"/>
      <c r="V90" s="256"/>
      <c r="W90" s="256">
        <f>Table51013454[[#This Row],[العدد]]*Table51013454[[#This Row],[السعر الافرادي]]</f>
        <v>0</v>
      </c>
      <c r="X9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0" s="254">
        <f>Table51013454[[#This Row],[الكمية]]-Table51013454[[#This Row],[العدد]]</f>
        <v>1</v>
      </c>
      <c r="Z90" s="253">
        <f>Table51013454[[#This Row],[سعر/الحبة]]</f>
        <v>93000</v>
      </c>
      <c r="AA90" s="253">
        <f>Table51013454[[#This Row],[الإجمالي]]-Table51013454[[#This Row],[إجمالي المستبعد]]</f>
        <v>93000</v>
      </c>
      <c r="AB90" s="232">
        <v>0.15</v>
      </c>
      <c r="AC90" s="231"/>
      <c r="AD90" s="230" t="s">
        <v>55</v>
      </c>
      <c r="AE90" s="249">
        <v>56143.972602739726</v>
      </c>
      <c r="AF9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الشراء-الاستلام]]&lt;DATE(2017,1,1),Q90-AE90,0))</f>
        <v>36856.027397260274</v>
      </c>
      <c r="AG9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9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0" s="251">
        <f>Table51013454[[#This Row],[اهلاك المستبعد
في 2017]]+Table51013454[[#This Row],[مجمع إهلاك المستبعد 
01-01-2017]]</f>
        <v>0</v>
      </c>
      <c r="AJ90" s="251">
        <f>Table51013454[[#This Row],[إجمالي المستبعد]]-Table51013454[[#This Row],[مجمع إهلاك المستبعد 
بتاريخ الأستبعاد]]</f>
        <v>0</v>
      </c>
      <c r="AK90" s="250"/>
      <c r="AL90" s="249">
        <f>IF(OR(Table51013454[[#This Row],[تاريخ الشراء-الاستلام]]="",Table51013454[[#This Row],[الإجمالي]]="",Table51013454[[#This Row],[العمر الافتراضي]]=""),"",IF(((AE90+AG90)-Table51013454[[#This Row],[مجمع إهلاك المستبعد 
بتاريخ الأستبعاد]])&lt;=0,0,((AE90+AG90)-Table51013454[[#This Row],[مجمع إهلاك المستبعد 
بتاريخ الأستبعاد]])))</f>
        <v>70093.972602739726</v>
      </c>
      <c r="AM9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الشراء-الاستلام]]&gt;DATE(2017,12,31),0,AA90-AL90)))</f>
        <v>22906.027397260274</v>
      </c>
    </row>
    <row r="91" spans="1:39" s="260" customFormat="1" ht="57.75" hidden="1" customHeight="1">
      <c r="A91" s="239">
        <f>IF(B91="","",SUBTOTAL(3,$B$6:B91))</f>
        <v>3</v>
      </c>
      <c r="B91" s="230" t="s">
        <v>73</v>
      </c>
      <c r="C91" s="238" t="s">
        <v>91</v>
      </c>
      <c r="D91" s="238"/>
      <c r="E91" s="230" t="s">
        <v>31</v>
      </c>
      <c r="F91" s="230" t="s">
        <v>52</v>
      </c>
      <c r="G91" s="285" t="s">
        <v>441</v>
      </c>
      <c r="H91" s="231" t="s">
        <v>72</v>
      </c>
      <c r="I91" s="231"/>
      <c r="J91" s="237" t="s">
        <v>147</v>
      </c>
      <c r="K91" s="236">
        <v>41260</v>
      </c>
      <c r="L91" s="235"/>
      <c r="M91" s="283"/>
      <c r="N91" s="224">
        <v>1</v>
      </c>
      <c r="O91" s="223"/>
      <c r="P91" s="258">
        <v>319410</v>
      </c>
      <c r="Q91" s="257">
        <f>P91*N91</f>
        <v>319410</v>
      </c>
      <c r="R91" s="220"/>
      <c r="S91" s="240"/>
      <c r="T91" s="256"/>
      <c r="U91" s="256"/>
      <c r="V91" s="256"/>
      <c r="W91" s="256">
        <f>Table51013454[[#This Row],[العدد]]*Table51013454[[#This Row],[السعر الافرادي]]</f>
        <v>0</v>
      </c>
      <c r="X9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1" s="254">
        <f>Table51013454[[#This Row],[الكمية]]-Table51013454[[#This Row],[العدد]]</f>
        <v>1</v>
      </c>
      <c r="Z91" s="253">
        <f>Table51013454[[#This Row],[سعر/الحبة]]</f>
        <v>319410</v>
      </c>
      <c r="AA91" s="253">
        <f>Table51013454[[#This Row],[الإجمالي]]-Table51013454[[#This Row],[إجمالي المستبعد]]</f>
        <v>319410</v>
      </c>
      <c r="AB91" s="232">
        <v>0.15</v>
      </c>
      <c r="AC91" s="231"/>
      <c r="AD91" s="230" t="s">
        <v>55</v>
      </c>
      <c r="AE91" s="249">
        <v>193483.701369863</v>
      </c>
      <c r="AF9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الشراء-الاستلام]]&lt;DATE(2017,1,1),Q91-AE91,0))</f>
        <v>125926.298630137</v>
      </c>
      <c r="AG9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47911.5</v>
      </c>
      <c r="AH9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1" s="251">
        <f>Table51013454[[#This Row],[اهلاك المستبعد
في 2017]]+Table51013454[[#This Row],[مجمع إهلاك المستبعد 
01-01-2017]]</f>
        <v>0</v>
      </c>
      <c r="AJ91" s="251">
        <f>Table51013454[[#This Row],[إجمالي المستبعد]]-Table51013454[[#This Row],[مجمع إهلاك المستبعد 
بتاريخ الأستبعاد]]</f>
        <v>0</v>
      </c>
      <c r="AK91" s="250"/>
      <c r="AL91" s="249">
        <f>IF(OR(Table51013454[[#This Row],[تاريخ الشراء-الاستلام]]="",Table51013454[[#This Row],[الإجمالي]]="",Table51013454[[#This Row],[العمر الافتراضي]]=""),"",IF(((AE91+AG91)-Table51013454[[#This Row],[مجمع إهلاك المستبعد 
بتاريخ الأستبعاد]])&lt;=0,0,((AE91+AG91)-Table51013454[[#This Row],[مجمع إهلاك المستبعد 
بتاريخ الأستبعاد]])))</f>
        <v>241395.201369863</v>
      </c>
      <c r="AM9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الشراء-الاستلام]]&gt;DATE(2017,12,31),0,AA91-AL91)))</f>
        <v>78014.798630136997</v>
      </c>
    </row>
    <row r="92" spans="1:39" s="260" customFormat="1" ht="57.75" hidden="1" customHeight="1">
      <c r="A92" s="239">
        <f>IF(B92="","",SUBTOTAL(3,$B$6:B92))</f>
        <v>3</v>
      </c>
      <c r="B92" s="230" t="s">
        <v>124</v>
      </c>
      <c r="C92" s="238" t="s">
        <v>91</v>
      </c>
      <c r="D92" s="238"/>
      <c r="E92" s="230" t="s">
        <v>31</v>
      </c>
      <c r="F92" s="230" t="s">
        <v>52</v>
      </c>
      <c r="G92" s="285" t="s">
        <v>441</v>
      </c>
      <c r="H92" s="231" t="s">
        <v>72</v>
      </c>
      <c r="I92" s="231"/>
      <c r="J92" s="237" t="s">
        <v>147</v>
      </c>
      <c r="K92" s="236">
        <v>41265</v>
      </c>
      <c r="L92" s="235"/>
      <c r="M92" s="283"/>
      <c r="N92" s="224">
        <v>1</v>
      </c>
      <c r="O92" s="223"/>
      <c r="P92" s="258">
        <v>93000</v>
      </c>
      <c r="Q92" s="257">
        <f>P92*N92</f>
        <v>93000</v>
      </c>
      <c r="R92" s="220"/>
      <c r="S92" s="240"/>
      <c r="T92" s="256"/>
      <c r="U92" s="256"/>
      <c r="V92" s="256"/>
      <c r="W92" s="256">
        <f>Table51013454[[#This Row],[العدد]]*Table51013454[[#This Row],[السعر الافرادي]]</f>
        <v>0</v>
      </c>
      <c r="X9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2" s="254">
        <f>Table51013454[[#This Row],[الكمية]]-Table51013454[[#This Row],[العدد]]</f>
        <v>1</v>
      </c>
      <c r="Z92" s="253">
        <f>Table51013454[[#This Row],[سعر/الحبة]]</f>
        <v>93000</v>
      </c>
      <c r="AA92" s="253">
        <f>Table51013454[[#This Row],[الإجمالي]]-Table51013454[[#This Row],[إجمالي المستبعد]]</f>
        <v>93000</v>
      </c>
      <c r="AB92" s="232">
        <v>0.15</v>
      </c>
      <c r="AC92" s="231"/>
      <c r="AD92" s="230" t="s">
        <v>55</v>
      </c>
      <c r="AE92" s="249">
        <v>56143.972602739726</v>
      </c>
      <c r="AF9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الشراء-الاستلام]]&lt;DATE(2017,1,1),Q92-AE92,0))</f>
        <v>36856.027397260274</v>
      </c>
      <c r="AG9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9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2" s="251">
        <f>Table51013454[[#This Row],[اهلاك المستبعد
في 2017]]+Table51013454[[#This Row],[مجمع إهلاك المستبعد 
01-01-2017]]</f>
        <v>0</v>
      </c>
      <c r="AJ92" s="251">
        <f>Table51013454[[#This Row],[إجمالي المستبعد]]-Table51013454[[#This Row],[مجمع إهلاك المستبعد 
بتاريخ الأستبعاد]]</f>
        <v>0</v>
      </c>
      <c r="AK92" s="250"/>
      <c r="AL92" s="249">
        <f>IF(OR(Table51013454[[#This Row],[تاريخ الشراء-الاستلام]]="",Table51013454[[#This Row],[الإجمالي]]="",Table51013454[[#This Row],[العمر الافتراضي]]=""),"",IF(((AE92+AG92)-Table51013454[[#This Row],[مجمع إهلاك المستبعد 
بتاريخ الأستبعاد]])&lt;=0,0,((AE92+AG92)-Table51013454[[#This Row],[مجمع إهلاك المستبعد 
بتاريخ الأستبعاد]])))</f>
        <v>70093.972602739726</v>
      </c>
      <c r="AM9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الشراء-الاستلام]]&gt;DATE(2017,12,31),0,AA92-AL92)))</f>
        <v>22906.027397260274</v>
      </c>
    </row>
    <row r="93" spans="1:39" s="260" customFormat="1" ht="57.75" hidden="1" customHeight="1">
      <c r="A93" s="239">
        <f>IF(B93="","",SUBTOTAL(3,$B$6:B93))</f>
        <v>3</v>
      </c>
      <c r="B93" s="230" t="s">
        <v>148</v>
      </c>
      <c r="C93" s="238" t="s">
        <v>91</v>
      </c>
      <c r="D93" s="238"/>
      <c r="E93" s="230" t="s">
        <v>31</v>
      </c>
      <c r="F93" s="230" t="s">
        <v>52</v>
      </c>
      <c r="G93" s="230"/>
      <c r="H93" s="231" t="s">
        <v>72</v>
      </c>
      <c r="I93" s="231"/>
      <c r="J93" s="237" t="s">
        <v>149</v>
      </c>
      <c r="K93" s="236">
        <v>42370</v>
      </c>
      <c r="L93" s="235"/>
      <c r="M93" s="283"/>
      <c r="N93" s="224">
        <v>1</v>
      </c>
      <c r="O93" s="223"/>
      <c r="P93" s="258">
        <v>189471</v>
      </c>
      <c r="Q93" s="257">
        <f>P93*N93</f>
        <v>189471</v>
      </c>
      <c r="R93" s="220"/>
      <c r="S93" s="240"/>
      <c r="T93" s="256"/>
      <c r="U93" s="256"/>
      <c r="V93" s="256"/>
      <c r="W93" s="256">
        <f>Table51013454[[#This Row],[العدد]]*Table51013454[[#This Row],[السعر الافرادي]]</f>
        <v>0</v>
      </c>
      <c r="X9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3" s="254">
        <f>Table51013454[[#This Row],[الكمية]]-Table51013454[[#This Row],[العدد]]</f>
        <v>1</v>
      </c>
      <c r="Z93" s="253">
        <f>Table51013454[[#This Row],[سعر/الحبة]]</f>
        <v>189471</v>
      </c>
      <c r="AA93" s="253">
        <f>Table51013454[[#This Row],[الإجمالي]]-Table51013454[[#This Row],[إجمالي المستبعد]]</f>
        <v>189471</v>
      </c>
      <c r="AB93" s="232">
        <v>0.15</v>
      </c>
      <c r="AC93" s="231"/>
      <c r="AD93" s="230" t="s">
        <v>55</v>
      </c>
      <c r="AE93" s="249">
        <v>28420.649999999998</v>
      </c>
      <c r="AF9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الشراء-الاستلام]]&lt;DATE(2017,1,1),Q93-AE93,0))</f>
        <v>161050.35</v>
      </c>
      <c r="AG9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28420.649999999998</v>
      </c>
      <c r="AH9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3" s="251">
        <f>Table51013454[[#This Row],[اهلاك المستبعد
في 2017]]+Table51013454[[#This Row],[مجمع إهلاك المستبعد 
01-01-2017]]</f>
        <v>0</v>
      </c>
      <c r="AJ93" s="251">
        <f>Table51013454[[#This Row],[إجمالي المستبعد]]-Table51013454[[#This Row],[مجمع إهلاك المستبعد 
بتاريخ الأستبعاد]]</f>
        <v>0</v>
      </c>
      <c r="AK93" s="250"/>
      <c r="AL93" s="249">
        <f>IF(OR(Table51013454[[#This Row],[تاريخ الشراء-الاستلام]]="",Table51013454[[#This Row],[الإجمالي]]="",Table51013454[[#This Row],[العمر الافتراضي]]=""),"",IF(((AE93+AG93)-Table51013454[[#This Row],[مجمع إهلاك المستبعد 
بتاريخ الأستبعاد]])&lt;=0,0,((AE93+AG93)-Table51013454[[#This Row],[مجمع إهلاك المستبعد 
بتاريخ الأستبعاد]])))</f>
        <v>56841.299999999996</v>
      </c>
      <c r="AM9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الشراء-الاستلام]]&gt;DATE(2017,12,31),0,AA93-AL93)))</f>
        <v>132629.70000000001</v>
      </c>
    </row>
    <row r="94" spans="1:39" s="260" customFormat="1" ht="57.75" hidden="1" customHeight="1">
      <c r="A94" s="239">
        <f>IF(B94="","",SUBTOTAL(3,$B$6:B94))</f>
        <v>3</v>
      </c>
      <c r="B94" s="230" t="s">
        <v>148</v>
      </c>
      <c r="C94" s="238" t="s">
        <v>91</v>
      </c>
      <c r="D94" s="238"/>
      <c r="E94" s="230" t="s">
        <v>31</v>
      </c>
      <c r="F94" s="230" t="s">
        <v>52</v>
      </c>
      <c r="G94" s="230"/>
      <c r="H94" s="231" t="s">
        <v>72</v>
      </c>
      <c r="I94" s="231"/>
      <c r="J94" s="237" t="s">
        <v>150</v>
      </c>
      <c r="K94" s="236">
        <v>42370</v>
      </c>
      <c r="L94" s="235"/>
      <c r="M94" s="283"/>
      <c r="N94" s="224">
        <v>1</v>
      </c>
      <c r="O94" s="223"/>
      <c r="P94" s="258">
        <v>189470</v>
      </c>
      <c r="Q94" s="257">
        <f>P94*N94</f>
        <v>189470</v>
      </c>
      <c r="R94" s="220"/>
      <c r="S94" s="240"/>
      <c r="T94" s="256"/>
      <c r="U94" s="256"/>
      <c r="V94" s="256"/>
      <c r="W94" s="256">
        <f>Table51013454[[#This Row],[العدد]]*Table51013454[[#This Row],[السعر الافرادي]]</f>
        <v>0</v>
      </c>
      <c r="X9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4" s="254">
        <f>Table51013454[[#This Row],[الكمية]]-Table51013454[[#This Row],[العدد]]</f>
        <v>1</v>
      </c>
      <c r="Z94" s="253">
        <f>Table51013454[[#This Row],[سعر/الحبة]]</f>
        <v>189470</v>
      </c>
      <c r="AA94" s="253">
        <f>Table51013454[[#This Row],[الإجمالي]]-Table51013454[[#This Row],[إجمالي المستبعد]]</f>
        <v>189470</v>
      </c>
      <c r="AB94" s="232">
        <v>0.15</v>
      </c>
      <c r="AC94" s="231"/>
      <c r="AD94" s="230" t="s">
        <v>55</v>
      </c>
      <c r="AE94" s="249">
        <v>28420.5</v>
      </c>
      <c r="AF9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الشراء-الاستلام]]&lt;DATE(2017,1,1),Q94-AE94,0))</f>
        <v>161049.5</v>
      </c>
      <c r="AG9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28420.5</v>
      </c>
      <c r="AH9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4" s="251">
        <f>Table51013454[[#This Row],[اهلاك المستبعد
في 2017]]+Table51013454[[#This Row],[مجمع إهلاك المستبعد 
01-01-2017]]</f>
        <v>0</v>
      </c>
      <c r="AJ94" s="251">
        <f>Table51013454[[#This Row],[إجمالي المستبعد]]-Table51013454[[#This Row],[مجمع إهلاك المستبعد 
بتاريخ الأستبعاد]]</f>
        <v>0</v>
      </c>
      <c r="AK94" s="250"/>
      <c r="AL94" s="249">
        <f>IF(OR(Table51013454[[#This Row],[تاريخ الشراء-الاستلام]]="",Table51013454[[#This Row],[الإجمالي]]="",Table51013454[[#This Row],[العمر الافتراضي]]=""),"",IF(((AE94+AG94)-Table51013454[[#This Row],[مجمع إهلاك المستبعد 
بتاريخ الأستبعاد]])&lt;=0,0,((AE94+AG94)-Table51013454[[#This Row],[مجمع إهلاك المستبعد 
بتاريخ الأستبعاد]])))</f>
        <v>56841</v>
      </c>
      <c r="AM9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الشراء-الاستلام]]&gt;DATE(2017,12,31),0,AA94-AL94)))</f>
        <v>132629</v>
      </c>
    </row>
    <row r="95" spans="1:39" s="260" customFormat="1" ht="57.75" hidden="1" customHeight="1">
      <c r="A95" s="239">
        <f>IF(B95="","",SUBTOTAL(3,$B$6:B95))</f>
        <v>3</v>
      </c>
      <c r="B95" s="230" t="s">
        <v>191</v>
      </c>
      <c r="C95" s="238" t="s">
        <v>91</v>
      </c>
      <c r="D95" s="238"/>
      <c r="E95" s="230" t="s">
        <v>31</v>
      </c>
      <c r="F95" s="230"/>
      <c r="G95" s="230"/>
      <c r="H95" s="231" t="s">
        <v>72</v>
      </c>
      <c r="I95" s="231" t="s">
        <v>166</v>
      </c>
      <c r="J95" s="237" t="s">
        <v>638</v>
      </c>
      <c r="K95" s="236">
        <v>41273</v>
      </c>
      <c r="L95" s="235"/>
      <c r="M95" s="283"/>
      <c r="N95" s="224">
        <v>1</v>
      </c>
      <c r="O95" s="223"/>
      <c r="P95" s="258">
        <v>50000</v>
      </c>
      <c r="Q95" s="257">
        <f>P95*N95</f>
        <v>50000</v>
      </c>
      <c r="R95" s="220"/>
      <c r="S95" s="240"/>
      <c r="T95" s="256"/>
      <c r="U95" s="256"/>
      <c r="V95" s="256"/>
      <c r="W95" s="256">
        <f>Table51013454[[#This Row],[العدد]]*Table51013454[[#This Row],[السعر الافرادي]]</f>
        <v>0</v>
      </c>
      <c r="X9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5" s="254">
        <f>Table51013454[[#This Row],[الكمية]]-Table51013454[[#This Row],[العدد]]</f>
        <v>1</v>
      </c>
      <c r="Z95" s="253">
        <f>Table51013454[[#This Row],[سعر/الحبة]]</f>
        <v>50000</v>
      </c>
      <c r="AA95" s="253">
        <f>Table51013454[[#This Row],[الإجمالي]]-Table51013454[[#This Row],[إجمالي المستبعد]]</f>
        <v>50000</v>
      </c>
      <c r="AB95" s="232">
        <v>0.15</v>
      </c>
      <c r="AC95" s="231"/>
      <c r="AD95" s="230" t="s">
        <v>55</v>
      </c>
      <c r="AE95" s="249">
        <v>50000</v>
      </c>
      <c r="AF9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الشراء-الاستلام]]&lt;DATE(2017,1,1),Q95-AE95,0))</f>
        <v>0</v>
      </c>
      <c r="AG9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9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5" s="251">
        <f>Table51013454[[#This Row],[اهلاك المستبعد
في 2017]]+Table51013454[[#This Row],[مجمع إهلاك المستبعد 
01-01-2017]]</f>
        <v>0</v>
      </c>
      <c r="AJ95" s="251">
        <f>Table51013454[[#This Row],[إجمالي المستبعد]]-Table51013454[[#This Row],[مجمع إهلاك المستبعد 
بتاريخ الأستبعاد]]</f>
        <v>0</v>
      </c>
      <c r="AK95" s="250"/>
      <c r="AL95" s="249">
        <f>IF(OR(Table51013454[[#This Row],[تاريخ الشراء-الاستلام]]="",Table51013454[[#This Row],[الإجمالي]]="",Table51013454[[#This Row],[العمر الافتراضي]]=""),"",IF(((AE95+AG95)-Table51013454[[#This Row],[مجمع إهلاك المستبعد 
بتاريخ الأستبعاد]])&lt;=0,0,((AE95+AG95)-Table51013454[[#This Row],[مجمع إهلاك المستبعد 
بتاريخ الأستبعاد]])))</f>
        <v>50000</v>
      </c>
      <c r="AM9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الشراء-الاستلام]]&gt;DATE(2017,12,31),0,AA95-AL95)))</f>
        <v>0</v>
      </c>
    </row>
    <row r="96" spans="1:39" s="260" customFormat="1" ht="57.75" hidden="1" customHeight="1">
      <c r="A96" s="239">
        <f>IF(B96="","",SUBTOTAL(3,$B$6:B96))</f>
        <v>3</v>
      </c>
      <c r="B96" s="230" t="s">
        <v>151</v>
      </c>
      <c r="C96" s="238" t="s">
        <v>12</v>
      </c>
      <c r="D96" s="238"/>
      <c r="E96" s="230" t="s">
        <v>71</v>
      </c>
      <c r="F96" s="230" t="s">
        <v>437</v>
      </c>
      <c r="G96" s="230" t="s">
        <v>437</v>
      </c>
      <c r="H96" s="231" t="s">
        <v>65</v>
      </c>
      <c r="I96" s="230" t="s">
        <v>442</v>
      </c>
      <c r="J96" s="237" t="s">
        <v>152</v>
      </c>
      <c r="K96" s="236">
        <v>42309</v>
      </c>
      <c r="L96" s="235"/>
      <c r="M96" s="283"/>
      <c r="N96" s="224">
        <v>1</v>
      </c>
      <c r="O96" s="223"/>
      <c r="P96" s="258">
        <v>160000</v>
      </c>
      <c r="Q96" s="257">
        <f>P96*N96</f>
        <v>160000</v>
      </c>
      <c r="R96" s="220"/>
      <c r="S96" s="240"/>
      <c r="T96" s="256"/>
      <c r="U96" s="256"/>
      <c r="V96" s="256"/>
      <c r="W96" s="256">
        <f>Table51013454[[#This Row],[العدد]]*Table51013454[[#This Row],[السعر الافرادي]]</f>
        <v>0</v>
      </c>
      <c r="X9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6" s="254">
        <f>Table51013454[[#This Row],[الكمية]]-Table51013454[[#This Row],[العدد]]</f>
        <v>1</v>
      </c>
      <c r="Z96" s="253">
        <f>Table51013454[[#This Row],[سعر/الحبة]]</f>
        <v>160000</v>
      </c>
      <c r="AA96" s="253">
        <f>Table51013454[[#This Row],[الإجمالي]]-Table51013454[[#This Row],[إجمالي المستبعد]]</f>
        <v>160000</v>
      </c>
      <c r="AB96" s="269">
        <v>0.25</v>
      </c>
      <c r="AC96" s="231"/>
      <c r="AD96" s="230" t="s">
        <v>55</v>
      </c>
      <c r="AE96" s="249">
        <v>45260</v>
      </c>
      <c r="AF9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الشراء-الاستلام]]&lt;DATE(2017,1,1),Q96-AE96,0))</f>
        <v>114740</v>
      </c>
      <c r="AG9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40000</v>
      </c>
      <c r="AH9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6" s="251">
        <f>Table51013454[[#This Row],[اهلاك المستبعد
في 2017]]+Table51013454[[#This Row],[مجمع إهلاك المستبعد 
01-01-2017]]</f>
        <v>0</v>
      </c>
      <c r="AJ96" s="251">
        <f>Table51013454[[#This Row],[إجمالي المستبعد]]-Table51013454[[#This Row],[مجمع إهلاك المستبعد 
بتاريخ الأستبعاد]]</f>
        <v>0</v>
      </c>
      <c r="AK96" s="250"/>
      <c r="AL96" s="249">
        <f>IF(OR(Table51013454[[#This Row],[تاريخ الشراء-الاستلام]]="",Table51013454[[#This Row],[الإجمالي]]="",Table51013454[[#This Row],[العمر الافتراضي]]=""),"",IF(((AE96+AG96)-Table51013454[[#This Row],[مجمع إهلاك المستبعد 
بتاريخ الأستبعاد]])&lt;=0,0,((AE96+AG96)-Table51013454[[#This Row],[مجمع إهلاك المستبعد 
بتاريخ الأستبعاد]])))</f>
        <v>85260</v>
      </c>
      <c r="AM9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الشراء-الاستلام]]&gt;DATE(2017,12,31),0,AA96-AL96)))</f>
        <v>74740</v>
      </c>
    </row>
    <row r="97" spans="1:39" s="260" customFormat="1" ht="57.75" hidden="1" customHeight="1">
      <c r="A97" s="239">
        <f>IF(B97="","",SUBTOTAL(3,$B$6:B97))</f>
        <v>3</v>
      </c>
      <c r="B97" s="230" t="s">
        <v>153</v>
      </c>
      <c r="C97" s="238" t="s">
        <v>91</v>
      </c>
      <c r="D97" s="238"/>
      <c r="E97" s="230" t="s">
        <v>71</v>
      </c>
      <c r="F97" s="230" t="s">
        <v>52</v>
      </c>
      <c r="G97" s="230" t="s">
        <v>437</v>
      </c>
      <c r="H97" s="231" t="s">
        <v>53</v>
      </c>
      <c r="I97" s="231"/>
      <c r="J97" s="237" t="s">
        <v>154</v>
      </c>
      <c r="K97" s="236">
        <v>40544</v>
      </c>
      <c r="L97" s="235"/>
      <c r="M97" s="283"/>
      <c r="N97" s="224">
        <v>1</v>
      </c>
      <c r="O97" s="223"/>
      <c r="P97" s="258">
        <f>20500+10000</f>
        <v>30500</v>
      </c>
      <c r="Q97" s="257">
        <f>P97*N97</f>
        <v>30500</v>
      </c>
      <c r="R97" s="220"/>
      <c r="S97" s="240"/>
      <c r="T97" s="256"/>
      <c r="U97" s="256"/>
      <c r="V97" s="256"/>
      <c r="W97" s="256">
        <f>Table51013454[[#This Row],[العدد]]*Table51013454[[#This Row],[السعر الافرادي]]</f>
        <v>0</v>
      </c>
      <c r="X9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7" s="254">
        <f>Table51013454[[#This Row],[الكمية]]-Table51013454[[#This Row],[العدد]]</f>
        <v>1</v>
      </c>
      <c r="Z97" s="253">
        <f>Table51013454[[#This Row],[سعر/الحبة]]</f>
        <v>30500</v>
      </c>
      <c r="AA97" s="253">
        <f>Table51013454[[#This Row],[الإجمالي]]-Table51013454[[#This Row],[إجمالي المستبعد]]</f>
        <v>30500</v>
      </c>
      <c r="AB97" s="232">
        <v>0.25</v>
      </c>
      <c r="AC97" s="231"/>
      <c r="AD97" s="230" t="s">
        <v>55</v>
      </c>
      <c r="AE97" s="249">
        <v>30500</v>
      </c>
      <c r="AF9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الشراء-الاستلام]]&lt;DATE(2017,1,1),Q97-AE97,0))</f>
        <v>0</v>
      </c>
      <c r="AG9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9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7" s="251">
        <f>Table51013454[[#This Row],[اهلاك المستبعد
في 2017]]+Table51013454[[#This Row],[مجمع إهلاك المستبعد 
01-01-2017]]</f>
        <v>0</v>
      </c>
      <c r="AJ97" s="251">
        <f>Table51013454[[#This Row],[إجمالي المستبعد]]-Table51013454[[#This Row],[مجمع إهلاك المستبعد 
بتاريخ الأستبعاد]]</f>
        <v>0</v>
      </c>
      <c r="AK97" s="250"/>
      <c r="AL97" s="249">
        <f>IF(OR(Table51013454[[#This Row],[تاريخ الشراء-الاستلام]]="",Table51013454[[#This Row],[الإجمالي]]="",Table51013454[[#This Row],[العمر الافتراضي]]=""),"",IF(((AE97+AG97)-Table51013454[[#This Row],[مجمع إهلاك المستبعد 
بتاريخ الأستبعاد]])&lt;=0,0,((AE97+AG97)-Table51013454[[#This Row],[مجمع إهلاك المستبعد 
بتاريخ الأستبعاد]])))</f>
        <v>30500</v>
      </c>
      <c r="AM9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الشراء-الاستلام]]&gt;DATE(2017,12,31),0,AA97-AL97)))</f>
        <v>0</v>
      </c>
    </row>
    <row r="98" spans="1:39" s="260" customFormat="1" ht="57.75" hidden="1" customHeight="1">
      <c r="A98" s="239">
        <f>IF(B98="","",SUBTOTAL(3,$B$6:B98))</f>
        <v>3</v>
      </c>
      <c r="B98" s="230" t="s">
        <v>110</v>
      </c>
      <c r="C98" s="238" t="s">
        <v>12</v>
      </c>
      <c r="D98" s="238"/>
      <c r="E98" s="230" t="s">
        <v>31</v>
      </c>
      <c r="F98" s="230" t="s">
        <v>52</v>
      </c>
      <c r="G98" s="230" t="s">
        <v>439</v>
      </c>
      <c r="H98" s="231" t="s">
        <v>72</v>
      </c>
      <c r="I98" s="230"/>
      <c r="J98" s="237" t="s">
        <v>167</v>
      </c>
      <c r="K98" s="236">
        <v>42159.78</v>
      </c>
      <c r="L98" s="235"/>
      <c r="M98" s="283"/>
      <c r="N98" s="224">
        <v>1</v>
      </c>
      <c r="O98" s="223"/>
      <c r="P98" s="258">
        <v>285000</v>
      </c>
      <c r="Q98" s="257">
        <f>P98*N98</f>
        <v>285000</v>
      </c>
      <c r="R98" s="220"/>
      <c r="S98" s="240"/>
      <c r="T98" s="256"/>
      <c r="U98" s="256"/>
      <c r="V98" s="256"/>
      <c r="W98" s="256">
        <f>Table51013454[[#This Row],[العدد]]*Table51013454[[#This Row],[السعر الافرادي]]</f>
        <v>0</v>
      </c>
      <c r="X9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8" s="254">
        <f>Table51013454[[#This Row],[الكمية]]-Table51013454[[#This Row],[العدد]]</f>
        <v>1</v>
      </c>
      <c r="Z98" s="253">
        <f>Table51013454[[#This Row],[سعر/الحبة]]</f>
        <v>285000</v>
      </c>
      <c r="AA98" s="253">
        <f>Table51013454[[#This Row],[الإجمالي]]-Table51013454[[#This Row],[إجمالي المستبعد]]</f>
        <v>285000</v>
      </c>
      <c r="AB98" s="232">
        <v>0.25</v>
      </c>
      <c r="AC98" s="231"/>
      <c r="AD98" s="230" t="s">
        <v>55</v>
      </c>
      <c r="AE98" s="249">
        <v>95754.53424657548</v>
      </c>
      <c r="AF9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الشراء-الاستلام]]&lt;DATE(2017,1,1),Q98-AE98,0))</f>
        <v>189245.46575342451</v>
      </c>
      <c r="AG9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9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8" s="251">
        <f>Table51013454[[#This Row],[اهلاك المستبعد
في 2017]]+Table51013454[[#This Row],[مجمع إهلاك المستبعد 
01-01-2017]]</f>
        <v>0</v>
      </c>
      <c r="AJ98" s="251">
        <f>Table51013454[[#This Row],[إجمالي المستبعد]]-Table51013454[[#This Row],[مجمع إهلاك المستبعد 
بتاريخ الأستبعاد]]</f>
        <v>0</v>
      </c>
      <c r="AK98" s="250"/>
      <c r="AL98" s="249">
        <f>IF(OR(Table51013454[[#This Row],[تاريخ الشراء-الاستلام]]="",Table51013454[[#This Row],[الإجمالي]]="",Table51013454[[#This Row],[العمر الافتراضي]]=""),"",IF(((AE98+AG98)-Table51013454[[#This Row],[مجمع إهلاك المستبعد 
بتاريخ الأستبعاد]])&lt;=0,0,((AE98+AG98)-Table51013454[[#This Row],[مجمع إهلاك المستبعد 
بتاريخ الأستبعاد]])))</f>
        <v>167004.53424657549</v>
      </c>
      <c r="AM9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الشراء-الاستلام]]&gt;DATE(2017,12,31),0,AA98-AL98)))</f>
        <v>117995.46575342451</v>
      </c>
    </row>
    <row r="99" spans="1:39" s="260" customFormat="1" ht="57.75" hidden="1" customHeight="1">
      <c r="A99" s="239">
        <f>IF(B99="","",SUBTOTAL(3,$B$6:B99))</f>
        <v>3</v>
      </c>
      <c r="B99" s="230" t="s">
        <v>110</v>
      </c>
      <c r="C99" s="238" t="s">
        <v>12</v>
      </c>
      <c r="D99" s="238"/>
      <c r="E99" s="230" t="s">
        <v>31</v>
      </c>
      <c r="F99" s="230" t="s">
        <v>52</v>
      </c>
      <c r="G99" s="230" t="s">
        <v>439</v>
      </c>
      <c r="H99" s="231" t="s">
        <v>72</v>
      </c>
      <c r="I99" s="230"/>
      <c r="J99" s="237" t="s">
        <v>168</v>
      </c>
      <c r="K99" s="236">
        <v>42159</v>
      </c>
      <c r="L99" s="235"/>
      <c r="M99" s="283"/>
      <c r="N99" s="224">
        <v>1</v>
      </c>
      <c r="O99" s="223"/>
      <c r="P99" s="258">
        <v>285000</v>
      </c>
      <c r="Q99" s="257">
        <f>P99*N99</f>
        <v>285000</v>
      </c>
      <c r="R99" s="220"/>
      <c r="S99" s="240"/>
      <c r="T99" s="256"/>
      <c r="U99" s="256"/>
      <c r="V99" s="256"/>
      <c r="W99" s="256">
        <f>Table51013454[[#This Row],[العدد]]*Table51013454[[#This Row],[السعر الافرادي]]</f>
        <v>0</v>
      </c>
      <c r="X9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99" s="254">
        <f>Table51013454[[#This Row],[الكمية]]-Table51013454[[#This Row],[العدد]]</f>
        <v>1</v>
      </c>
      <c r="Z99" s="253">
        <f>Table51013454[[#This Row],[سعر/الحبة]]</f>
        <v>285000</v>
      </c>
      <c r="AA99" s="253">
        <f>Table51013454[[#This Row],[الإجمالي]]-Table51013454[[#This Row],[إجمالي المستبعد]]</f>
        <v>285000</v>
      </c>
      <c r="AB99" s="232">
        <v>0.25</v>
      </c>
      <c r="AC99" s="231"/>
      <c r="AD99" s="230" t="s">
        <v>55</v>
      </c>
      <c r="AE99" s="249">
        <v>95845.890410958906</v>
      </c>
      <c r="AF9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الشراء-الاستلام]]&lt;DATE(2017,1,1),Q99-AE99,0))</f>
        <v>189154.10958904109</v>
      </c>
      <c r="AG9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9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99" s="251">
        <f>Table51013454[[#This Row],[اهلاك المستبعد
في 2017]]+Table51013454[[#This Row],[مجمع إهلاك المستبعد 
01-01-2017]]</f>
        <v>0</v>
      </c>
      <c r="AJ99" s="251">
        <f>Table51013454[[#This Row],[إجمالي المستبعد]]-Table51013454[[#This Row],[مجمع إهلاك المستبعد 
بتاريخ الأستبعاد]]</f>
        <v>0</v>
      </c>
      <c r="AK99" s="250"/>
      <c r="AL99" s="249">
        <f>IF(OR(Table51013454[[#This Row],[تاريخ الشراء-الاستلام]]="",Table51013454[[#This Row],[الإجمالي]]="",Table51013454[[#This Row],[العمر الافتراضي]]=""),"",IF(((AE99+AG99)-Table51013454[[#This Row],[مجمع إهلاك المستبعد 
بتاريخ الأستبعاد]])&lt;=0,0,((AE99+AG99)-Table51013454[[#This Row],[مجمع إهلاك المستبعد 
بتاريخ الأستبعاد]])))</f>
        <v>167095.89041095891</v>
      </c>
      <c r="AM9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الشراء-الاستلام]]&gt;DATE(2017,12,31),0,AA99-AL99)))</f>
        <v>117904.10958904109</v>
      </c>
    </row>
    <row r="100" spans="1:39" s="260" customFormat="1" ht="57.75" hidden="1" customHeight="1">
      <c r="A100" s="239">
        <f>IF(B100="","",SUBTOTAL(3,$B$6:B100))</f>
        <v>3</v>
      </c>
      <c r="B100" s="230" t="s">
        <v>110</v>
      </c>
      <c r="C100" s="238" t="s">
        <v>12</v>
      </c>
      <c r="D100" s="238"/>
      <c r="E100" s="230" t="s">
        <v>31</v>
      </c>
      <c r="F100" s="230" t="s">
        <v>52</v>
      </c>
      <c r="G100" s="230" t="s">
        <v>439</v>
      </c>
      <c r="H100" s="231" t="s">
        <v>72</v>
      </c>
      <c r="I100" s="230"/>
      <c r="J100" s="237" t="s">
        <v>169</v>
      </c>
      <c r="K100" s="236">
        <v>42158</v>
      </c>
      <c r="L100" s="235"/>
      <c r="M100" s="283"/>
      <c r="N100" s="224">
        <v>1</v>
      </c>
      <c r="O100" s="223"/>
      <c r="P100" s="258">
        <v>285000</v>
      </c>
      <c r="Q100" s="257">
        <f>P100*N100</f>
        <v>285000</v>
      </c>
      <c r="R100" s="220"/>
      <c r="S100" s="240"/>
      <c r="T100" s="256"/>
      <c r="U100" s="256"/>
      <c r="V100" s="256"/>
      <c r="W100" s="256">
        <f>Table51013454[[#This Row],[العدد]]*Table51013454[[#This Row],[السعر الافرادي]]</f>
        <v>0</v>
      </c>
      <c r="X10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0" s="254">
        <f>Table51013454[[#This Row],[الكمية]]-Table51013454[[#This Row],[العدد]]</f>
        <v>1</v>
      </c>
      <c r="Z100" s="253">
        <f>Table51013454[[#This Row],[سعر/الحبة]]</f>
        <v>285000</v>
      </c>
      <c r="AA100" s="253">
        <f>Table51013454[[#This Row],[الإجمالي]]-Table51013454[[#This Row],[إجمالي المستبعد]]</f>
        <v>285000</v>
      </c>
      <c r="AB100" s="232">
        <v>0.25</v>
      </c>
      <c r="AC100" s="231"/>
      <c r="AD100" s="230" t="s">
        <v>55</v>
      </c>
      <c r="AE100" s="249">
        <v>95963.013698630137</v>
      </c>
      <c r="AF10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الشراء-الاستلام]]&lt;DATE(2017,1,1),Q100-AE100,0))</f>
        <v>189036.98630136985</v>
      </c>
      <c r="AG10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10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0" s="251">
        <f>Table51013454[[#This Row],[اهلاك المستبعد
في 2017]]+Table51013454[[#This Row],[مجمع إهلاك المستبعد 
01-01-2017]]</f>
        <v>0</v>
      </c>
      <c r="AJ100" s="251">
        <f>Table51013454[[#This Row],[إجمالي المستبعد]]-Table51013454[[#This Row],[مجمع إهلاك المستبعد 
بتاريخ الأستبعاد]]</f>
        <v>0</v>
      </c>
      <c r="AK100" s="250"/>
      <c r="AL100" s="249">
        <f>IF(OR(Table51013454[[#This Row],[تاريخ الشراء-الاستلام]]="",Table51013454[[#This Row],[الإجمالي]]="",Table51013454[[#This Row],[العمر الافتراضي]]=""),"",IF(((AE100+AG100)-Table51013454[[#This Row],[مجمع إهلاك المستبعد 
بتاريخ الأستبعاد]])&lt;=0,0,((AE100+AG100)-Table51013454[[#This Row],[مجمع إهلاك المستبعد 
بتاريخ الأستبعاد]])))</f>
        <v>167213.01369863015</v>
      </c>
      <c r="AM10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الشراء-الاستلام]]&gt;DATE(2017,12,31),0,AA100-AL100)))</f>
        <v>117786.98630136985</v>
      </c>
    </row>
    <row r="101" spans="1:39" s="260" customFormat="1" ht="57.75" hidden="1" customHeight="1">
      <c r="A101" s="239">
        <f>IF(B101="","",SUBTOTAL(3,$B$6:B101))</f>
        <v>3</v>
      </c>
      <c r="B101" s="230" t="s">
        <v>110</v>
      </c>
      <c r="C101" s="238" t="s">
        <v>12</v>
      </c>
      <c r="D101" s="238"/>
      <c r="E101" s="230" t="s">
        <v>31</v>
      </c>
      <c r="F101" s="230" t="s">
        <v>81</v>
      </c>
      <c r="G101" s="230"/>
      <c r="H101" s="231" t="s">
        <v>72</v>
      </c>
      <c r="I101" s="230"/>
      <c r="J101" s="237" t="s">
        <v>170</v>
      </c>
      <c r="K101" s="236">
        <v>42157</v>
      </c>
      <c r="L101" s="235"/>
      <c r="M101" s="283"/>
      <c r="N101" s="224">
        <v>1</v>
      </c>
      <c r="O101" s="223"/>
      <c r="P101" s="258">
        <v>285000</v>
      </c>
      <c r="Q101" s="257">
        <f>P101*N101</f>
        <v>285000</v>
      </c>
      <c r="R101" s="220"/>
      <c r="S101" s="240"/>
      <c r="T101" s="256"/>
      <c r="U101" s="256"/>
      <c r="V101" s="256"/>
      <c r="W101" s="256">
        <f>Table51013454[[#This Row],[العدد]]*Table51013454[[#This Row],[السعر الافرادي]]</f>
        <v>0</v>
      </c>
      <c r="X10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1" s="254">
        <f>Table51013454[[#This Row],[الكمية]]-Table51013454[[#This Row],[العدد]]</f>
        <v>1</v>
      </c>
      <c r="Z101" s="253">
        <f>Table51013454[[#This Row],[سعر/الحبة]]</f>
        <v>285000</v>
      </c>
      <c r="AA101" s="253">
        <f>Table51013454[[#This Row],[الإجمالي]]-Table51013454[[#This Row],[إجمالي المستبعد]]</f>
        <v>285000</v>
      </c>
      <c r="AB101" s="232">
        <v>0.25</v>
      </c>
      <c r="AC101" s="231"/>
      <c r="AD101" s="230" t="s">
        <v>55</v>
      </c>
      <c r="AE101" s="249">
        <v>96080.136986301368</v>
      </c>
      <c r="AF10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الشراء-الاستلام]]&lt;DATE(2017,1,1),Q101-AE101,0))</f>
        <v>188919.86301369863</v>
      </c>
      <c r="AG10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71250</v>
      </c>
      <c r="AH10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1" s="251">
        <f>Table51013454[[#This Row],[اهلاك المستبعد
في 2017]]+Table51013454[[#This Row],[مجمع إهلاك المستبعد 
01-01-2017]]</f>
        <v>0</v>
      </c>
      <c r="AJ101" s="251">
        <f>Table51013454[[#This Row],[إجمالي المستبعد]]-Table51013454[[#This Row],[مجمع إهلاك المستبعد 
بتاريخ الأستبعاد]]</f>
        <v>0</v>
      </c>
      <c r="AK101" s="250"/>
      <c r="AL101" s="249">
        <f>IF(OR(Table51013454[[#This Row],[تاريخ الشراء-الاستلام]]="",Table51013454[[#This Row],[الإجمالي]]="",Table51013454[[#This Row],[العمر الافتراضي]]=""),"",IF(((AE101+AG101)-Table51013454[[#This Row],[مجمع إهلاك المستبعد 
بتاريخ الأستبعاد]])&lt;=0,0,((AE101+AG101)-Table51013454[[#This Row],[مجمع إهلاك المستبعد 
بتاريخ الأستبعاد]])))</f>
        <v>167330.13698630137</v>
      </c>
      <c r="AM10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الشراء-الاستلام]]&gt;DATE(2017,12,31),0,AA101-AL101)))</f>
        <v>117669.86301369863</v>
      </c>
    </row>
    <row r="102" spans="1:39" s="260" customFormat="1" ht="57.75" hidden="1" customHeight="1">
      <c r="A102" s="239">
        <f>IF(B102="","",SUBTOTAL(3,$B$6:B102))</f>
        <v>3</v>
      </c>
      <c r="B102" s="230" t="s">
        <v>443</v>
      </c>
      <c r="C102" s="238" t="s">
        <v>444</v>
      </c>
      <c r="D102" s="238"/>
      <c r="E102" s="230" t="s">
        <v>71</v>
      </c>
      <c r="F102" s="230" t="s">
        <v>437</v>
      </c>
      <c r="G102" s="230" t="s">
        <v>439</v>
      </c>
      <c r="H102" s="231" t="s">
        <v>72</v>
      </c>
      <c r="I102" s="230"/>
      <c r="J102" s="237" t="s">
        <v>172</v>
      </c>
      <c r="K102" s="236">
        <v>40544</v>
      </c>
      <c r="L102" s="235"/>
      <c r="M102" s="283"/>
      <c r="N102" s="224">
        <v>1</v>
      </c>
      <c r="O102" s="223"/>
      <c r="P102" s="258">
        <f>50000+10500</f>
        <v>60500</v>
      </c>
      <c r="Q102" s="257">
        <f>P102*N102</f>
        <v>60500</v>
      </c>
      <c r="R102" s="220"/>
      <c r="S102" s="240"/>
      <c r="T102" s="256"/>
      <c r="U102" s="256"/>
      <c r="V102" s="256"/>
      <c r="W102" s="256">
        <f>Table51013454[[#This Row],[العدد]]*Table51013454[[#This Row],[السعر الافرادي]]</f>
        <v>0</v>
      </c>
      <c r="X10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2" s="254">
        <f>Table51013454[[#This Row],[الكمية]]-Table51013454[[#This Row],[العدد]]</f>
        <v>1</v>
      </c>
      <c r="Z102" s="253">
        <f>Table51013454[[#This Row],[سعر/الحبة]]</f>
        <v>60500</v>
      </c>
      <c r="AA102" s="253">
        <f>Table51013454[[#This Row],[الإجمالي]]-Table51013454[[#This Row],[إجمالي المستبعد]]</f>
        <v>60500</v>
      </c>
      <c r="AB102" s="269">
        <v>0.25</v>
      </c>
      <c r="AC102" s="231"/>
      <c r="AD102" s="230" t="s">
        <v>55</v>
      </c>
      <c r="AE102" s="249">
        <v>60500</v>
      </c>
      <c r="AF10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الشراء-الاستلام]]&lt;DATE(2017,1,1),Q102-AE102,0))</f>
        <v>0</v>
      </c>
      <c r="AG10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0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2" s="251">
        <f>Table51013454[[#This Row],[اهلاك المستبعد
في 2017]]+Table51013454[[#This Row],[مجمع إهلاك المستبعد 
01-01-2017]]</f>
        <v>0</v>
      </c>
      <c r="AJ102" s="251">
        <f>Table51013454[[#This Row],[إجمالي المستبعد]]-Table51013454[[#This Row],[مجمع إهلاك المستبعد 
بتاريخ الأستبعاد]]</f>
        <v>0</v>
      </c>
      <c r="AK102" s="250"/>
      <c r="AL102" s="249">
        <f>IF(OR(Table51013454[[#This Row],[تاريخ الشراء-الاستلام]]="",Table51013454[[#This Row],[الإجمالي]]="",Table51013454[[#This Row],[العمر الافتراضي]]=""),"",IF(((AE102+AG102)-Table51013454[[#This Row],[مجمع إهلاك المستبعد 
بتاريخ الأستبعاد]])&lt;=0,0,((AE102+AG102)-Table51013454[[#This Row],[مجمع إهلاك المستبعد 
بتاريخ الأستبعاد]])))</f>
        <v>60500</v>
      </c>
      <c r="AM10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الشراء-الاستلام]]&gt;DATE(2017,12,31),0,AA102-AL102)))</f>
        <v>0</v>
      </c>
    </row>
    <row r="103" spans="1:39" s="260" customFormat="1" ht="57.75" hidden="1" customHeight="1">
      <c r="A103" s="239">
        <f>IF(B103="","",SUBTOTAL(3,$B$6:B103))</f>
        <v>3</v>
      </c>
      <c r="B103" s="230" t="s">
        <v>171</v>
      </c>
      <c r="C103" s="238" t="s">
        <v>91</v>
      </c>
      <c r="D103" s="238"/>
      <c r="E103" s="230" t="s">
        <v>71</v>
      </c>
      <c r="F103" s="230" t="s">
        <v>52</v>
      </c>
      <c r="G103" s="230" t="s">
        <v>439</v>
      </c>
      <c r="H103" s="231" t="s">
        <v>72</v>
      </c>
      <c r="I103" s="231"/>
      <c r="J103" s="237" t="s">
        <v>173</v>
      </c>
      <c r="K103" s="236">
        <v>42156</v>
      </c>
      <c r="L103" s="235"/>
      <c r="M103" s="283"/>
      <c r="N103" s="224">
        <v>1</v>
      </c>
      <c r="O103" s="223"/>
      <c r="P103" s="258">
        <v>50000</v>
      </c>
      <c r="Q103" s="257">
        <f>P103*N103</f>
        <v>50000</v>
      </c>
      <c r="R103" s="220"/>
      <c r="S103" s="240"/>
      <c r="T103" s="256"/>
      <c r="U103" s="256"/>
      <c r="V103" s="256"/>
      <c r="W103" s="256">
        <f>Table51013454[[#This Row],[العدد]]*Table51013454[[#This Row],[السعر الافرادي]]</f>
        <v>0</v>
      </c>
      <c r="X10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3" s="254">
        <f>Table51013454[[#This Row],[الكمية]]-Table51013454[[#This Row],[العدد]]</f>
        <v>1</v>
      </c>
      <c r="Z103" s="253">
        <f>Table51013454[[#This Row],[سعر/الحبة]]</f>
        <v>50000</v>
      </c>
      <c r="AA103" s="253">
        <f>Table51013454[[#This Row],[الإجمالي]]-Table51013454[[#This Row],[إجمالي المستبعد]]</f>
        <v>50000</v>
      </c>
      <c r="AB103" s="232">
        <v>0.15</v>
      </c>
      <c r="AC103" s="231"/>
      <c r="AD103" s="230" t="s">
        <v>55</v>
      </c>
      <c r="AE103" s="249">
        <v>11876.712328767124</v>
      </c>
      <c r="AF10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الشراء-الاستلام]]&lt;DATE(2017,1,1),Q103-AE103,0))</f>
        <v>38123.287671232873</v>
      </c>
      <c r="AG10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7500</v>
      </c>
      <c r="AH10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3" s="251">
        <f>Table51013454[[#This Row],[اهلاك المستبعد
في 2017]]+Table51013454[[#This Row],[مجمع إهلاك المستبعد 
01-01-2017]]</f>
        <v>0</v>
      </c>
      <c r="AJ103" s="251">
        <f>Table51013454[[#This Row],[إجمالي المستبعد]]-Table51013454[[#This Row],[مجمع إهلاك المستبعد 
بتاريخ الأستبعاد]]</f>
        <v>0</v>
      </c>
      <c r="AK103" s="250"/>
      <c r="AL103" s="249">
        <f>IF(OR(Table51013454[[#This Row],[تاريخ الشراء-الاستلام]]="",Table51013454[[#This Row],[الإجمالي]]="",Table51013454[[#This Row],[العمر الافتراضي]]=""),"",IF(((AE103+AG103)-Table51013454[[#This Row],[مجمع إهلاك المستبعد 
بتاريخ الأستبعاد]])&lt;=0,0,((AE103+AG103)-Table51013454[[#This Row],[مجمع إهلاك المستبعد 
بتاريخ الأستبعاد]])))</f>
        <v>19376.712328767124</v>
      </c>
      <c r="AM10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الشراء-الاستلام]]&gt;DATE(2017,12,31),0,AA103-AL103)))</f>
        <v>30623.287671232876</v>
      </c>
    </row>
    <row r="104" spans="1:39" s="260" customFormat="1" ht="57.75" hidden="1" customHeight="1">
      <c r="A104" s="239">
        <f>IF(B104="","",SUBTOTAL(3,$B$6:B104))</f>
        <v>3</v>
      </c>
      <c r="B104" s="230" t="s">
        <v>174</v>
      </c>
      <c r="C104" s="238" t="s">
        <v>12</v>
      </c>
      <c r="D104" s="238"/>
      <c r="E104" s="230" t="s">
        <v>31</v>
      </c>
      <c r="F104" s="230" t="s">
        <v>52</v>
      </c>
      <c r="G104" s="230" t="s">
        <v>436</v>
      </c>
      <c r="H104" s="231" t="s">
        <v>72</v>
      </c>
      <c r="I104" s="230"/>
      <c r="J104" s="237" t="s">
        <v>104</v>
      </c>
      <c r="K104" s="236">
        <v>42429</v>
      </c>
      <c r="L104" s="235"/>
      <c r="M104" s="283"/>
      <c r="N104" s="224">
        <v>1</v>
      </c>
      <c r="O104" s="223"/>
      <c r="P104" s="258">
        <v>10350</v>
      </c>
      <c r="Q104" s="257">
        <f>P104*N104</f>
        <v>10350</v>
      </c>
      <c r="R104" s="220"/>
      <c r="S104" s="240"/>
      <c r="T104" s="256"/>
      <c r="U104" s="256"/>
      <c r="V104" s="256"/>
      <c r="W104" s="256">
        <f>Table51013454[[#This Row],[العدد]]*Table51013454[[#This Row],[السعر الافرادي]]</f>
        <v>0</v>
      </c>
      <c r="X10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4" s="254">
        <f>Table51013454[[#This Row],[الكمية]]-Table51013454[[#This Row],[العدد]]</f>
        <v>1</v>
      </c>
      <c r="Z104" s="253">
        <f>Table51013454[[#This Row],[سعر/الحبة]]</f>
        <v>10350</v>
      </c>
      <c r="AA104" s="253">
        <f>Table51013454[[#This Row],[الإجمالي]]-Table51013454[[#This Row],[إجمالي المستبعد]]</f>
        <v>10350</v>
      </c>
      <c r="AB104" s="232">
        <v>0.25</v>
      </c>
      <c r="AC104" s="231"/>
      <c r="AD104" s="230" t="s">
        <v>55</v>
      </c>
      <c r="AE104" s="249">
        <v>2169.2465753424658</v>
      </c>
      <c r="AF10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الشراء-الاستلام]]&lt;DATE(2017,1,1),Q104-AE104,0))</f>
        <v>8180.7534246575342</v>
      </c>
      <c r="AG10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2587.5</v>
      </c>
      <c r="AH10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4" s="251">
        <f>Table51013454[[#This Row],[اهلاك المستبعد
في 2017]]+Table51013454[[#This Row],[مجمع إهلاك المستبعد 
01-01-2017]]</f>
        <v>0</v>
      </c>
      <c r="AJ104" s="251">
        <f>Table51013454[[#This Row],[إجمالي المستبعد]]-Table51013454[[#This Row],[مجمع إهلاك المستبعد 
بتاريخ الأستبعاد]]</f>
        <v>0</v>
      </c>
      <c r="AK104" s="250"/>
      <c r="AL104" s="249">
        <f>IF(OR(Table51013454[[#This Row],[تاريخ الشراء-الاستلام]]="",Table51013454[[#This Row],[الإجمالي]]="",Table51013454[[#This Row],[العمر الافتراضي]]=""),"",IF(((AE104+AG104)-Table51013454[[#This Row],[مجمع إهلاك المستبعد 
بتاريخ الأستبعاد]])&lt;=0,0,((AE104+AG104)-Table51013454[[#This Row],[مجمع إهلاك المستبعد 
بتاريخ الأستبعاد]])))</f>
        <v>4756.7465753424658</v>
      </c>
      <c r="AM10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الشراء-الاستلام]]&gt;DATE(2017,12,31),0,AA104-AL104)))</f>
        <v>5593.2534246575342</v>
      </c>
    </row>
    <row r="105" spans="1:39" s="260" customFormat="1" ht="57.75" hidden="1" customHeight="1">
      <c r="A105" s="239">
        <f>IF(B105="","",SUBTOTAL(3,$B$6:B105))</f>
        <v>3</v>
      </c>
      <c r="B105" s="230" t="s">
        <v>175</v>
      </c>
      <c r="C105" s="238" t="s">
        <v>12</v>
      </c>
      <c r="D105" s="238"/>
      <c r="E105" s="230" t="s">
        <v>31</v>
      </c>
      <c r="F105" s="230" t="s">
        <v>52</v>
      </c>
      <c r="G105" s="230" t="s">
        <v>439</v>
      </c>
      <c r="H105" s="231" t="s">
        <v>72</v>
      </c>
      <c r="I105" s="230"/>
      <c r="J105" s="236">
        <v>3454</v>
      </c>
      <c r="K105" s="236">
        <v>42705</v>
      </c>
      <c r="L105" s="235"/>
      <c r="M105" s="283"/>
      <c r="N105" s="224">
        <v>1</v>
      </c>
      <c r="O105" s="223"/>
      <c r="P105" s="258">
        <v>6578</v>
      </c>
      <c r="Q105" s="257">
        <f>P105*N105</f>
        <v>6578</v>
      </c>
      <c r="R105" s="220"/>
      <c r="S105" s="240"/>
      <c r="T105" s="256"/>
      <c r="U105" s="256"/>
      <c r="V105" s="256"/>
      <c r="W105" s="256">
        <f>Table51013454[[#This Row],[العدد]]*Table51013454[[#This Row],[السعر الافرادي]]</f>
        <v>0</v>
      </c>
      <c r="X10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5" s="254">
        <f>Table51013454[[#This Row],[الكمية]]-Table51013454[[#This Row],[العدد]]</f>
        <v>1</v>
      </c>
      <c r="Z105" s="253">
        <f>Table51013454[[#This Row],[سعر/الحبة]]</f>
        <v>6578</v>
      </c>
      <c r="AA105" s="253">
        <f>Table51013454[[#This Row],[الإجمالي]]-Table51013454[[#This Row],[إجمالي المستبعد]]</f>
        <v>6578</v>
      </c>
      <c r="AB105" s="232">
        <v>0.25</v>
      </c>
      <c r="AC105" s="231"/>
      <c r="AD105" s="230" t="s">
        <v>55</v>
      </c>
      <c r="AE105" s="249">
        <v>135.16438356164383</v>
      </c>
      <c r="AF10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الشراء-الاستلام]]&lt;DATE(2017,1,1),Q105-AE105,0))</f>
        <v>6442.8356164383558</v>
      </c>
      <c r="AG10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1644.5</v>
      </c>
      <c r="AH10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5" s="251">
        <f>Table51013454[[#This Row],[اهلاك المستبعد
في 2017]]+Table51013454[[#This Row],[مجمع إهلاك المستبعد 
01-01-2017]]</f>
        <v>0</v>
      </c>
      <c r="AJ105" s="251">
        <f>Table51013454[[#This Row],[إجمالي المستبعد]]-Table51013454[[#This Row],[مجمع إهلاك المستبعد 
بتاريخ الأستبعاد]]</f>
        <v>0</v>
      </c>
      <c r="AK105" s="250"/>
      <c r="AL105" s="249">
        <f>IF(OR(Table51013454[[#This Row],[تاريخ الشراء-الاستلام]]="",Table51013454[[#This Row],[الإجمالي]]="",Table51013454[[#This Row],[العمر الافتراضي]]=""),"",IF(((AE105+AG105)-Table51013454[[#This Row],[مجمع إهلاك المستبعد 
بتاريخ الأستبعاد]])&lt;=0,0,((AE105+AG105)-Table51013454[[#This Row],[مجمع إهلاك المستبعد 
بتاريخ الأستبعاد]])))</f>
        <v>1779.6643835616437</v>
      </c>
      <c r="AM10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الشراء-الاستلام]]&gt;DATE(2017,12,31),0,AA105-AL105)))</f>
        <v>4798.3356164383567</v>
      </c>
    </row>
    <row r="106" spans="1:39" s="260" customFormat="1" ht="57.75" hidden="1" customHeight="1">
      <c r="A106" s="239">
        <f>IF(B106="","",SUBTOTAL(3,$B$6:B106))</f>
        <v>3</v>
      </c>
      <c r="B106" s="230" t="s">
        <v>175</v>
      </c>
      <c r="C106" s="238" t="s">
        <v>12</v>
      </c>
      <c r="D106" s="238"/>
      <c r="E106" s="230" t="s">
        <v>31</v>
      </c>
      <c r="F106" s="230" t="s">
        <v>52</v>
      </c>
      <c r="G106" s="230" t="s">
        <v>439</v>
      </c>
      <c r="H106" s="231" t="s">
        <v>72</v>
      </c>
      <c r="I106" s="230"/>
      <c r="J106" s="237" t="s">
        <v>176</v>
      </c>
      <c r="K106" s="236">
        <v>42648</v>
      </c>
      <c r="L106" s="235" t="s">
        <v>58</v>
      </c>
      <c r="M106" s="283"/>
      <c r="N106" s="224">
        <v>2</v>
      </c>
      <c r="O106" s="223">
        <v>10286</v>
      </c>
      <c r="P106" s="258">
        <v>7000</v>
      </c>
      <c r="Q106" s="257">
        <f>P106*N106</f>
        <v>14000</v>
      </c>
      <c r="R106" s="220"/>
      <c r="S106" s="240"/>
      <c r="T106" s="256"/>
      <c r="U106" s="256"/>
      <c r="V106" s="256"/>
      <c r="W106" s="256">
        <f>Table51013454[[#This Row],[العدد]]*Table51013454[[#This Row],[السعر الافرادي]]</f>
        <v>0</v>
      </c>
      <c r="X10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6" s="254">
        <f>Table51013454[[#This Row],[الكمية]]-Table51013454[[#This Row],[العدد]]</f>
        <v>2</v>
      </c>
      <c r="Z106" s="253">
        <f>Table51013454[[#This Row],[سعر/الحبة]]</f>
        <v>7000</v>
      </c>
      <c r="AA106" s="253">
        <f>Table51013454[[#This Row],[الإجمالي]]-Table51013454[[#This Row],[إجمالي المستبعد]]</f>
        <v>14000</v>
      </c>
      <c r="AB106" s="232">
        <v>0.25</v>
      </c>
      <c r="AC106" s="231"/>
      <c r="AD106" s="230" t="s">
        <v>55</v>
      </c>
      <c r="AE106" s="249">
        <v>834.24657534246569</v>
      </c>
      <c r="AF10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الشراء-الاستلام]]&lt;DATE(2017,1,1),Q106-AE106,0))</f>
        <v>13165.753424657534</v>
      </c>
      <c r="AG10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3500</v>
      </c>
      <c r="AH10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6" s="251">
        <f>Table51013454[[#This Row],[اهلاك المستبعد
في 2017]]+Table51013454[[#This Row],[مجمع إهلاك المستبعد 
01-01-2017]]</f>
        <v>0</v>
      </c>
      <c r="AJ106" s="251">
        <f>Table51013454[[#This Row],[إجمالي المستبعد]]-Table51013454[[#This Row],[مجمع إهلاك المستبعد 
بتاريخ الأستبعاد]]</f>
        <v>0</v>
      </c>
      <c r="AK106" s="250"/>
      <c r="AL106" s="249">
        <f>IF(OR(Table51013454[[#This Row],[تاريخ الشراء-الاستلام]]="",Table51013454[[#This Row],[الإجمالي]]="",Table51013454[[#This Row],[العمر الافتراضي]]=""),"",IF(((AE106+AG106)-Table51013454[[#This Row],[مجمع إهلاك المستبعد 
بتاريخ الأستبعاد]])&lt;=0,0,((AE106+AG106)-Table51013454[[#This Row],[مجمع إهلاك المستبعد 
بتاريخ الأستبعاد]])))</f>
        <v>4334.2465753424658</v>
      </c>
      <c r="AM10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الشراء-الاستلام]]&gt;DATE(2017,12,31),0,AA106-AL106)))</f>
        <v>9665.7534246575342</v>
      </c>
    </row>
    <row r="107" spans="1:39" s="260" customFormat="1" ht="57.75" hidden="1" customHeight="1">
      <c r="A107" s="239">
        <f>IF(B107="","",SUBTOTAL(3,$B$6:B107))</f>
        <v>3</v>
      </c>
      <c r="B107" s="230" t="s">
        <v>177</v>
      </c>
      <c r="C107" s="238" t="s">
        <v>91</v>
      </c>
      <c r="D107" s="238"/>
      <c r="E107" s="230" t="s">
        <v>31</v>
      </c>
      <c r="F107" s="230" t="s">
        <v>52</v>
      </c>
      <c r="G107" s="230" t="s">
        <v>436</v>
      </c>
      <c r="H107" s="231" t="s">
        <v>72</v>
      </c>
      <c r="I107" s="231"/>
      <c r="J107" s="237" t="s">
        <v>178</v>
      </c>
      <c r="K107" s="236">
        <v>41260</v>
      </c>
      <c r="L107" s="235"/>
      <c r="M107" s="283"/>
      <c r="N107" s="224">
        <v>1</v>
      </c>
      <c r="O107" s="223"/>
      <c r="P107" s="258">
        <v>166400</v>
      </c>
      <c r="Q107" s="257">
        <f>P107*N107</f>
        <v>166400</v>
      </c>
      <c r="R107" s="220"/>
      <c r="S107" s="240"/>
      <c r="T107" s="256"/>
      <c r="U107" s="256"/>
      <c r="V107" s="256"/>
      <c r="W107" s="256">
        <f>Table51013454[[#This Row],[العدد]]*Table51013454[[#This Row],[السعر الافرادي]]</f>
        <v>0</v>
      </c>
      <c r="X10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7" s="254">
        <f>Table51013454[[#This Row],[الكمية]]-Table51013454[[#This Row],[العدد]]</f>
        <v>1</v>
      </c>
      <c r="Z107" s="253">
        <f>Table51013454[[#This Row],[سعر/الحبة]]</f>
        <v>166400</v>
      </c>
      <c r="AA107" s="253">
        <f>Table51013454[[#This Row],[الإجمالي]]-Table51013454[[#This Row],[إجمالي المستبعد]]</f>
        <v>166400</v>
      </c>
      <c r="AB107" s="232">
        <v>0.15</v>
      </c>
      <c r="AC107" s="231"/>
      <c r="AD107" s="230" t="s">
        <v>55</v>
      </c>
      <c r="AE107" s="249">
        <v>100797.36986301369</v>
      </c>
      <c r="AF10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الشراء-الاستلام]]&lt;DATE(2017,1,1),Q107-AE107,0))</f>
        <v>65602.630136986307</v>
      </c>
      <c r="AG10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24960</v>
      </c>
      <c r="AH10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7" s="251">
        <f>Table51013454[[#This Row],[اهلاك المستبعد
في 2017]]+Table51013454[[#This Row],[مجمع إهلاك المستبعد 
01-01-2017]]</f>
        <v>0</v>
      </c>
      <c r="AJ107" s="251">
        <f>Table51013454[[#This Row],[إجمالي المستبعد]]-Table51013454[[#This Row],[مجمع إهلاك المستبعد 
بتاريخ الأستبعاد]]</f>
        <v>0</v>
      </c>
      <c r="AK107" s="250"/>
      <c r="AL107" s="249">
        <f>IF(OR(Table51013454[[#This Row],[تاريخ الشراء-الاستلام]]="",Table51013454[[#This Row],[الإجمالي]]="",Table51013454[[#This Row],[العمر الافتراضي]]=""),"",IF(((AE107+AG107)-Table51013454[[#This Row],[مجمع إهلاك المستبعد 
بتاريخ الأستبعاد]])&lt;=0,0,((AE107+AG107)-Table51013454[[#This Row],[مجمع إهلاك المستبعد 
بتاريخ الأستبعاد]])))</f>
        <v>125757.36986301369</v>
      </c>
      <c r="AM10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الشراء-الاستلام]]&gt;DATE(2017,12,31),0,AA107-AL107)))</f>
        <v>40642.630136986307</v>
      </c>
    </row>
    <row r="108" spans="1:39" s="260" customFormat="1" ht="57.75" hidden="1" customHeight="1">
      <c r="A108" s="239">
        <f>IF(B108="","",SUBTOTAL(3,$B$6:B108))</f>
        <v>3</v>
      </c>
      <c r="B108" s="230" t="s">
        <v>177</v>
      </c>
      <c r="C108" s="238" t="s">
        <v>91</v>
      </c>
      <c r="D108" s="238"/>
      <c r="E108" s="230" t="s">
        <v>31</v>
      </c>
      <c r="F108" s="230" t="s">
        <v>52</v>
      </c>
      <c r="G108" s="230" t="s">
        <v>436</v>
      </c>
      <c r="H108" s="231" t="s">
        <v>72</v>
      </c>
      <c r="I108" s="231"/>
      <c r="J108" s="237" t="s">
        <v>178</v>
      </c>
      <c r="K108" s="236">
        <v>41412</v>
      </c>
      <c r="L108" s="235"/>
      <c r="M108" s="283"/>
      <c r="N108" s="224">
        <v>1</v>
      </c>
      <c r="O108" s="223"/>
      <c r="P108" s="258">
        <v>87000</v>
      </c>
      <c r="Q108" s="257">
        <f>P108*N108</f>
        <v>87000</v>
      </c>
      <c r="R108" s="220"/>
      <c r="S108" s="240"/>
      <c r="T108" s="256"/>
      <c r="U108" s="256"/>
      <c r="V108" s="256"/>
      <c r="W108" s="256">
        <f>Table51013454[[#This Row],[العدد]]*Table51013454[[#This Row],[السعر الافرادي]]</f>
        <v>0</v>
      </c>
      <c r="X10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8" s="254">
        <f>Table51013454[[#This Row],[الكمية]]-Table51013454[[#This Row],[العدد]]</f>
        <v>1</v>
      </c>
      <c r="Z108" s="253">
        <f>Table51013454[[#This Row],[سعر/الحبة]]</f>
        <v>87000</v>
      </c>
      <c r="AA108" s="253">
        <f>Table51013454[[#This Row],[الإجمالي]]-Table51013454[[#This Row],[إجمالي المستبعد]]</f>
        <v>87000</v>
      </c>
      <c r="AB108" s="232">
        <v>0.15</v>
      </c>
      <c r="AC108" s="231"/>
      <c r="AD108" s="230" t="s">
        <v>55</v>
      </c>
      <c r="AE108" s="249">
        <v>47266.027397260274</v>
      </c>
      <c r="AF10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الشراء-الاستلام]]&lt;DATE(2017,1,1),Q108-AE108,0))</f>
        <v>39733.972602739726</v>
      </c>
      <c r="AG10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13050</v>
      </c>
      <c r="AH10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8" s="251">
        <f>Table51013454[[#This Row],[اهلاك المستبعد
في 2017]]+Table51013454[[#This Row],[مجمع إهلاك المستبعد 
01-01-2017]]</f>
        <v>0</v>
      </c>
      <c r="AJ108" s="251">
        <f>Table51013454[[#This Row],[إجمالي المستبعد]]-Table51013454[[#This Row],[مجمع إهلاك المستبعد 
بتاريخ الأستبعاد]]</f>
        <v>0</v>
      </c>
      <c r="AK108" s="250"/>
      <c r="AL108" s="249">
        <f>IF(OR(Table51013454[[#This Row],[تاريخ الشراء-الاستلام]]="",Table51013454[[#This Row],[الإجمالي]]="",Table51013454[[#This Row],[العمر الافتراضي]]=""),"",IF(((AE108+AG108)-Table51013454[[#This Row],[مجمع إهلاك المستبعد 
بتاريخ الأستبعاد]])&lt;=0,0,((AE108+AG108)-Table51013454[[#This Row],[مجمع إهلاك المستبعد 
بتاريخ الأستبعاد]])))</f>
        <v>60316.027397260274</v>
      </c>
      <c r="AM10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الشراء-الاستلام]]&gt;DATE(2017,12,31),0,AA108-AL108)))</f>
        <v>26683.972602739726</v>
      </c>
    </row>
    <row r="109" spans="1:39" s="260" customFormat="1" ht="57.75" hidden="1" customHeight="1">
      <c r="A109" s="239">
        <f>IF(B109="","",SUBTOTAL(3,$B$6:B109))</f>
        <v>3</v>
      </c>
      <c r="B109" s="230" t="s">
        <v>110</v>
      </c>
      <c r="C109" s="238" t="s">
        <v>91</v>
      </c>
      <c r="D109" s="238"/>
      <c r="E109" s="230" t="s">
        <v>31</v>
      </c>
      <c r="F109" s="230" t="s">
        <v>52</v>
      </c>
      <c r="G109" s="230" t="s">
        <v>436</v>
      </c>
      <c r="H109" s="231" t="s">
        <v>72</v>
      </c>
      <c r="I109" s="231"/>
      <c r="J109" s="237" t="s">
        <v>179</v>
      </c>
      <c r="K109" s="236">
        <v>41260</v>
      </c>
      <c r="L109" s="235"/>
      <c r="M109" s="283"/>
      <c r="N109" s="224">
        <v>1</v>
      </c>
      <c r="O109" s="223"/>
      <c r="P109" s="258">
        <v>166400</v>
      </c>
      <c r="Q109" s="257">
        <f>P109*N109</f>
        <v>166400</v>
      </c>
      <c r="R109" s="220"/>
      <c r="S109" s="240"/>
      <c r="T109" s="256"/>
      <c r="U109" s="256"/>
      <c r="V109" s="256"/>
      <c r="W109" s="256">
        <f>Table51013454[[#This Row],[العدد]]*Table51013454[[#This Row],[السعر الافرادي]]</f>
        <v>0</v>
      </c>
      <c r="X10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09" s="254">
        <f>Table51013454[[#This Row],[الكمية]]-Table51013454[[#This Row],[العدد]]</f>
        <v>1</v>
      </c>
      <c r="Z109" s="253">
        <f>Table51013454[[#This Row],[سعر/الحبة]]</f>
        <v>166400</v>
      </c>
      <c r="AA109" s="253">
        <f>Table51013454[[#This Row],[الإجمالي]]-Table51013454[[#This Row],[إجمالي المستبعد]]</f>
        <v>166400</v>
      </c>
      <c r="AB109" s="232">
        <v>0.15</v>
      </c>
      <c r="AC109" s="231"/>
      <c r="AD109" s="230" t="s">
        <v>55</v>
      </c>
      <c r="AE109" s="249">
        <v>100797.36986301369</v>
      </c>
      <c r="AF10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الشراء-الاستلام]]&lt;DATE(2017,1,1),Q109-AE109,0))</f>
        <v>65602.630136986307</v>
      </c>
      <c r="AG10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24960</v>
      </c>
      <c r="AH10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09" s="251">
        <f>Table51013454[[#This Row],[اهلاك المستبعد
في 2017]]+Table51013454[[#This Row],[مجمع إهلاك المستبعد 
01-01-2017]]</f>
        <v>0</v>
      </c>
      <c r="AJ109" s="251">
        <f>Table51013454[[#This Row],[إجمالي المستبعد]]-Table51013454[[#This Row],[مجمع إهلاك المستبعد 
بتاريخ الأستبعاد]]</f>
        <v>0</v>
      </c>
      <c r="AK109" s="250"/>
      <c r="AL109" s="249">
        <f>IF(OR(Table51013454[[#This Row],[تاريخ الشراء-الاستلام]]="",Table51013454[[#This Row],[الإجمالي]]="",Table51013454[[#This Row],[العمر الافتراضي]]=""),"",IF(((AE109+AG109)-Table51013454[[#This Row],[مجمع إهلاك المستبعد 
بتاريخ الأستبعاد]])&lt;=0,0,((AE109+AG109)-Table51013454[[#This Row],[مجمع إهلاك المستبعد 
بتاريخ الأستبعاد]])))</f>
        <v>125757.36986301369</v>
      </c>
      <c r="AM10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الشراء-الاستلام]]&gt;DATE(2017,12,31),0,AA109-AL109)))</f>
        <v>40642.630136986307</v>
      </c>
    </row>
    <row r="110" spans="1:39" s="260" customFormat="1" ht="57.75" hidden="1" customHeight="1">
      <c r="A110" s="239">
        <f>IF(B110="","",SUBTOTAL(3,$B$6:B110))</f>
        <v>3</v>
      </c>
      <c r="B110" s="230" t="s">
        <v>110</v>
      </c>
      <c r="C110" s="238" t="s">
        <v>91</v>
      </c>
      <c r="D110" s="238"/>
      <c r="E110" s="230" t="s">
        <v>31</v>
      </c>
      <c r="F110" s="230" t="s">
        <v>52</v>
      </c>
      <c r="G110" s="230" t="s">
        <v>436</v>
      </c>
      <c r="H110" s="231" t="s">
        <v>72</v>
      </c>
      <c r="I110" s="231"/>
      <c r="J110" s="237" t="s">
        <v>179</v>
      </c>
      <c r="K110" s="236">
        <v>41412</v>
      </c>
      <c r="L110" s="235"/>
      <c r="M110" s="283"/>
      <c r="N110" s="224">
        <v>1</v>
      </c>
      <c r="O110" s="223"/>
      <c r="P110" s="258">
        <v>55000</v>
      </c>
      <c r="Q110" s="257">
        <f>P110*N110</f>
        <v>55000</v>
      </c>
      <c r="R110" s="220"/>
      <c r="S110" s="240"/>
      <c r="T110" s="256"/>
      <c r="U110" s="256"/>
      <c r="V110" s="256"/>
      <c r="W110" s="256">
        <f>Table51013454[[#This Row],[العدد]]*Table51013454[[#This Row],[السعر الافرادي]]</f>
        <v>0</v>
      </c>
      <c r="X11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0" s="254">
        <f>Table51013454[[#This Row],[الكمية]]-Table51013454[[#This Row],[العدد]]</f>
        <v>1</v>
      </c>
      <c r="Z110" s="253">
        <f>Table51013454[[#This Row],[سعر/الحبة]]</f>
        <v>55000</v>
      </c>
      <c r="AA110" s="253">
        <f>Table51013454[[#This Row],[الإجمالي]]-Table51013454[[#This Row],[إجمالي المستبعد]]</f>
        <v>55000</v>
      </c>
      <c r="AB110" s="232">
        <v>0.15</v>
      </c>
      <c r="AC110" s="231"/>
      <c r="AD110" s="230" t="s">
        <v>55</v>
      </c>
      <c r="AE110" s="249">
        <v>29880.821917808218</v>
      </c>
      <c r="AF11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الشراء-الاستلام]]&lt;DATE(2017,1,1),Q110-AE110,0))</f>
        <v>25119.178082191782</v>
      </c>
      <c r="AG11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8250</v>
      </c>
      <c r="AH11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0" s="251">
        <f>Table51013454[[#This Row],[اهلاك المستبعد
في 2017]]+Table51013454[[#This Row],[مجمع إهلاك المستبعد 
01-01-2017]]</f>
        <v>0</v>
      </c>
      <c r="AJ110" s="251">
        <f>Table51013454[[#This Row],[إجمالي المستبعد]]-Table51013454[[#This Row],[مجمع إهلاك المستبعد 
بتاريخ الأستبعاد]]</f>
        <v>0</v>
      </c>
      <c r="AK110" s="250"/>
      <c r="AL110" s="249">
        <f>IF(OR(Table51013454[[#This Row],[تاريخ الشراء-الاستلام]]="",Table51013454[[#This Row],[الإجمالي]]="",Table51013454[[#This Row],[العمر الافتراضي]]=""),"",IF(((AE110+AG110)-Table51013454[[#This Row],[مجمع إهلاك المستبعد 
بتاريخ الأستبعاد]])&lt;=0,0,((AE110+AG110)-Table51013454[[#This Row],[مجمع إهلاك المستبعد 
بتاريخ الأستبعاد]])))</f>
        <v>38130.821917808222</v>
      </c>
      <c r="AM11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الشراء-الاستلام]]&gt;DATE(2017,12,31),0,AA110-AL110)))</f>
        <v>16869.178082191778</v>
      </c>
    </row>
    <row r="111" spans="1:39" s="260" customFormat="1" ht="57.75" hidden="1" customHeight="1">
      <c r="A111" s="239">
        <f>IF(B111="","",SUBTOTAL(3,$B$6:B111))</f>
        <v>3</v>
      </c>
      <c r="B111" s="230" t="s">
        <v>180</v>
      </c>
      <c r="C111" s="238" t="s">
        <v>12</v>
      </c>
      <c r="D111" s="238"/>
      <c r="E111" s="230" t="s">
        <v>31</v>
      </c>
      <c r="F111" s="230" t="s">
        <v>52</v>
      </c>
      <c r="G111" s="230" t="s">
        <v>436</v>
      </c>
      <c r="H111" s="231" t="s">
        <v>72</v>
      </c>
      <c r="I111" s="230"/>
      <c r="J111" s="236"/>
      <c r="K111" s="236">
        <v>42714</v>
      </c>
      <c r="L111" s="235"/>
      <c r="M111" s="283"/>
      <c r="N111" s="224">
        <v>1</v>
      </c>
      <c r="O111" s="223">
        <v>10269</v>
      </c>
      <c r="P111" s="258">
        <v>9500</v>
      </c>
      <c r="Q111" s="257">
        <f>P111*N111</f>
        <v>9500</v>
      </c>
      <c r="R111" s="220"/>
      <c r="S111" s="240"/>
      <c r="T111" s="256"/>
      <c r="U111" s="256"/>
      <c r="V111" s="256"/>
      <c r="W111" s="256">
        <f>Table51013454[[#This Row],[العدد]]*Table51013454[[#This Row],[السعر الافرادي]]</f>
        <v>0</v>
      </c>
      <c r="X11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1" s="254">
        <f>Table51013454[[#This Row],[الكمية]]-Table51013454[[#This Row],[العدد]]</f>
        <v>1</v>
      </c>
      <c r="Z111" s="253">
        <f>Table51013454[[#This Row],[سعر/الحبة]]</f>
        <v>9500</v>
      </c>
      <c r="AA111" s="253">
        <f>Table51013454[[#This Row],[الإجمالي]]-Table51013454[[#This Row],[إجمالي المستبعد]]</f>
        <v>9500</v>
      </c>
      <c r="AB111" s="232">
        <v>0.25</v>
      </c>
      <c r="AC111" s="231"/>
      <c r="AD111" s="230" t="s">
        <v>55</v>
      </c>
      <c r="AE111" s="249">
        <v>136.64383561643837</v>
      </c>
      <c r="AF11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الشراء-الاستلام]]&lt;DATE(2017,1,1),Q111-AE111,0))</f>
        <v>9363.3561643835619</v>
      </c>
      <c r="AG11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2375</v>
      </c>
      <c r="AH11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1" s="251">
        <f>Table51013454[[#This Row],[اهلاك المستبعد
في 2017]]+Table51013454[[#This Row],[مجمع إهلاك المستبعد 
01-01-2017]]</f>
        <v>0</v>
      </c>
      <c r="AJ111" s="251">
        <f>Table51013454[[#This Row],[إجمالي المستبعد]]-Table51013454[[#This Row],[مجمع إهلاك المستبعد 
بتاريخ الأستبعاد]]</f>
        <v>0</v>
      </c>
      <c r="AK111" s="250"/>
      <c r="AL111" s="249">
        <f>IF(OR(Table51013454[[#This Row],[تاريخ الشراء-الاستلام]]="",Table51013454[[#This Row],[الإجمالي]]="",Table51013454[[#This Row],[العمر الافتراضي]]=""),"",IF(((AE111+AG111)-Table51013454[[#This Row],[مجمع إهلاك المستبعد 
بتاريخ الأستبعاد]])&lt;=0,0,((AE111+AG111)-Table51013454[[#This Row],[مجمع إهلاك المستبعد 
بتاريخ الأستبعاد]])))</f>
        <v>2511.6438356164385</v>
      </c>
      <c r="AM11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الشراء-الاستلام]]&gt;DATE(2017,12,31),0,AA111-AL111)))</f>
        <v>6988.3561643835619</v>
      </c>
    </row>
    <row r="112" spans="1:39" s="260" customFormat="1" ht="57.75" hidden="1" customHeight="1">
      <c r="A112" s="239">
        <f>IF(B112="","",SUBTOTAL(3,$B$6:B112))</f>
        <v>3</v>
      </c>
      <c r="B112" s="230" t="s">
        <v>181</v>
      </c>
      <c r="C112" s="238" t="s">
        <v>12</v>
      </c>
      <c r="D112" s="238"/>
      <c r="E112" s="230" t="s">
        <v>31</v>
      </c>
      <c r="F112" s="230" t="s">
        <v>52</v>
      </c>
      <c r="G112" s="230" t="s">
        <v>436</v>
      </c>
      <c r="H112" s="231" t="s">
        <v>72</v>
      </c>
      <c r="I112" s="230"/>
      <c r="J112" s="236"/>
      <c r="K112" s="236">
        <v>42716</v>
      </c>
      <c r="L112" s="235" t="s">
        <v>58</v>
      </c>
      <c r="M112" s="283"/>
      <c r="N112" s="224">
        <v>6</v>
      </c>
      <c r="O112" s="223">
        <v>10249</v>
      </c>
      <c r="P112" s="258">
        <v>90000</v>
      </c>
      <c r="Q112" s="257">
        <f>P112*N112</f>
        <v>540000</v>
      </c>
      <c r="R112" s="220"/>
      <c r="S112" s="240"/>
      <c r="T112" s="256"/>
      <c r="U112" s="256"/>
      <c r="V112" s="256"/>
      <c r="W112" s="256">
        <f>Table51013454[[#This Row],[العدد]]*Table51013454[[#This Row],[السعر الافرادي]]</f>
        <v>0</v>
      </c>
      <c r="X11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2" s="254">
        <f>Table51013454[[#This Row],[الكمية]]-Table51013454[[#This Row],[العدد]]</f>
        <v>6</v>
      </c>
      <c r="Z112" s="253">
        <f>Table51013454[[#This Row],[سعر/الحبة]]</f>
        <v>90000</v>
      </c>
      <c r="AA112" s="253">
        <f>Table51013454[[#This Row],[الإجمالي]]-Table51013454[[#This Row],[إجمالي المستبعد]]</f>
        <v>540000</v>
      </c>
      <c r="AB112" s="232">
        <v>0.25</v>
      </c>
      <c r="AC112" s="231"/>
      <c r="AD112" s="230" t="s">
        <v>55</v>
      </c>
      <c r="AE112" s="249">
        <v>7027.3972602739732</v>
      </c>
      <c r="AF11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الشراء-الاستلام]]&lt;DATE(2017,1,1),Q112-AE112,0))</f>
        <v>532972.60273972608</v>
      </c>
      <c r="AG11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135000</v>
      </c>
      <c r="AH11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2" s="251">
        <f>Table51013454[[#This Row],[اهلاك المستبعد
في 2017]]+Table51013454[[#This Row],[مجمع إهلاك المستبعد 
01-01-2017]]</f>
        <v>0</v>
      </c>
      <c r="AJ112" s="251">
        <f>Table51013454[[#This Row],[إجمالي المستبعد]]-Table51013454[[#This Row],[مجمع إهلاك المستبعد 
بتاريخ الأستبعاد]]</f>
        <v>0</v>
      </c>
      <c r="AK112" s="250"/>
      <c r="AL112" s="249">
        <f>IF(OR(Table51013454[[#This Row],[تاريخ الشراء-الاستلام]]="",Table51013454[[#This Row],[الإجمالي]]="",Table51013454[[#This Row],[العمر الافتراضي]]=""),"",IF(((AE112+AG112)-Table51013454[[#This Row],[مجمع إهلاك المستبعد 
بتاريخ الأستبعاد]])&lt;=0,0,((AE112+AG112)-Table51013454[[#This Row],[مجمع إهلاك المستبعد 
بتاريخ الأستبعاد]])))</f>
        <v>142027.39726027398</v>
      </c>
      <c r="AM11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الشراء-الاستلام]]&gt;DATE(2017,12,31),0,AA112-AL112)))</f>
        <v>397972.60273972602</v>
      </c>
    </row>
    <row r="113" spans="1:39" s="260" customFormat="1" ht="57.75" hidden="1" customHeight="1">
      <c r="A113" s="239">
        <f>IF(B113="","",SUBTOTAL(3,$B$6:B113))</f>
        <v>3</v>
      </c>
      <c r="B113" s="230" t="s">
        <v>181</v>
      </c>
      <c r="C113" s="238" t="s">
        <v>12</v>
      </c>
      <c r="D113" s="238"/>
      <c r="E113" s="230" t="s">
        <v>31</v>
      </c>
      <c r="F113" s="230" t="s">
        <v>165</v>
      </c>
      <c r="G113" s="230"/>
      <c r="H113" s="231" t="s">
        <v>72</v>
      </c>
      <c r="I113" s="230"/>
      <c r="J113" s="237" t="s">
        <v>182</v>
      </c>
      <c r="K113" s="236">
        <v>39448</v>
      </c>
      <c r="L113" s="235" t="s">
        <v>91</v>
      </c>
      <c r="M113" s="283"/>
      <c r="N113" s="224">
        <v>1</v>
      </c>
      <c r="O113" s="223"/>
      <c r="P113" s="258">
        <v>285000</v>
      </c>
      <c r="Q113" s="257">
        <f>P113*N113</f>
        <v>285000</v>
      </c>
      <c r="R113" s="220"/>
      <c r="S113" s="240"/>
      <c r="T113" s="256"/>
      <c r="U113" s="256"/>
      <c r="V113" s="256"/>
      <c r="W113" s="256">
        <f>Table51013454[[#This Row],[العدد]]*Table51013454[[#This Row],[السعر الافرادي]]</f>
        <v>0</v>
      </c>
      <c r="X11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3" s="254">
        <f>Table51013454[[#This Row],[الكمية]]-Table51013454[[#This Row],[العدد]]</f>
        <v>1</v>
      </c>
      <c r="Z113" s="253">
        <f>Table51013454[[#This Row],[سعر/الحبة]]</f>
        <v>285000</v>
      </c>
      <c r="AA113" s="253">
        <f>Table51013454[[#This Row],[الإجمالي]]-Table51013454[[#This Row],[إجمالي المستبعد]]</f>
        <v>285000</v>
      </c>
      <c r="AB113" s="232">
        <v>0.25</v>
      </c>
      <c r="AC113" s="231"/>
      <c r="AD113" s="230" t="s">
        <v>55</v>
      </c>
      <c r="AE113" s="249">
        <v>285000</v>
      </c>
      <c r="AF11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الشراء-الاستلام]]&lt;DATE(2017,1,1),Q113-AE113,0))</f>
        <v>0</v>
      </c>
      <c r="AG11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3" s="251">
        <f>Table51013454[[#This Row],[اهلاك المستبعد
في 2017]]+Table51013454[[#This Row],[مجمع إهلاك المستبعد 
01-01-2017]]</f>
        <v>0</v>
      </c>
      <c r="AJ113" s="251">
        <f>Table51013454[[#This Row],[إجمالي المستبعد]]-Table51013454[[#This Row],[مجمع إهلاك المستبعد 
بتاريخ الأستبعاد]]</f>
        <v>0</v>
      </c>
      <c r="AK113" s="250"/>
      <c r="AL113" s="249">
        <f>IF(OR(Table51013454[[#This Row],[تاريخ الشراء-الاستلام]]="",Table51013454[[#This Row],[الإجمالي]]="",Table51013454[[#This Row],[العمر الافتراضي]]=""),"",IF(((AE113+AG113)-Table51013454[[#This Row],[مجمع إهلاك المستبعد 
بتاريخ الأستبعاد]])&lt;=0,0,((AE113+AG113)-Table51013454[[#This Row],[مجمع إهلاك المستبعد 
بتاريخ الأستبعاد]])))</f>
        <v>285000</v>
      </c>
      <c r="AM11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الشراء-الاستلام]]&gt;DATE(2017,12,31),0,AA113-AL113)))</f>
        <v>0</v>
      </c>
    </row>
    <row r="114" spans="1:39" s="260" customFormat="1" ht="57.75" hidden="1" customHeight="1">
      <c r="A114" s="239">
        <f>IF(B114="","",SUBTOTAL(3,$B$6:B114))</f>
        <v>3</v>
      </c>
      <c r="B114" s="230" t="s">
        <v>181</v>
      </c>
      <c r="C114" s="238" t="s">
        <v>12</v>
      </c>
      <c r="D114" s="238"/>
      <c r="E114" s="230" t="s">
        <v>31</v>
      </c>
      <c r="F114" s="230" t="s">
        <v>165</v>
      </c>
      <c r="G114" s="230"/>
      <c r="H114" s="231" t="s">
        <v>72</v>
      </c>
      <c r="I114" s="230"/>
      <c r="J114" s="237" t="s">
        <v>183</v>
      </c>
      <c r="K114" s="236">
        <v>39814</v>
      </c>
      <c r="L114" s="235" t="s">
        <v>91</v>
      </c>
      <c r="M114" s="283"/>
      <c r="N114" s="224">
        <v>1</v>
      </c>
      <c r="O114" s="223"/>
      <c r="P114" s="258">
        <v>132494.99999899999</v>
      </c>
      <c r="Q114" s="257">
        <f>P114*N114</f>
        <v>132494.99999899999</v>
      </c>
      <c r="R114" s="220"/>
      <c r="S114" s="240"/>
      <c r="T114" s="256"/>
      <c r="U114" s="256"/>
      <c r="V114" s="256"/>
      <c r="W114" s="256">
        <f>Table51013454[[#This Row],[العدد]]*Table51013454[[#This Row],[السعر الافرادي]]</f>
        <v>0</v>
      </c>
      <c r="X11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4" s="254">
        <f>Table51013454[[#This Row],[الكمية]]-Table51013454[[#This Row],[العدد]]</f>
        <v>1</v>
      </c>
      <c r="Z114" s="253">
        <f>Table51013454[[#This Row],[سعر/الحبة]]</f>
        <v>132494.99999899999</v>
      </c>
      <c r="AA114" s="253">
        <f>Table51013454[[#This Row],[الإجمالي]]-Table51013454[[#This Row],[إجمالي المستبعد]]</f>
        <v>132494.99999899999</v>
      </c>
      <c r="AB114" s="232">
        <v>0.25</v>
      </c>
      <c r="AC114" s="231"/>
      <c r="AD114" s="230" t="s">
        <v>55</v>
      </c>
      <c r="AE114" s="249">
        <v>132494.99999899999</v>
      </c>
      <c r="AF11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الشراء-الاستلام]]&lt;DATE(2017,1,1),Q114-AE114,0))</f>
        <v>0</v>
      </c>
      <c r="AG11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4" s="251">
        <f>Table51013454[[#This Row],[اهلاك المستبعد
في 2017]]+Table51013454[[#This Row],[مجمع إهلاك المستبعد 
01-01-2017]]</f>
        <v>0</v>
      </c>
      <c r="AJ114" s="251">
        <f>Table51013454[[#This Row],[إجمالي المستبعد]]-Table51013454[[#This Row],[مجمع إهلاك المستبعد 
بتاريخ الأستبعاد]]</f>
        <v>0</v>
      </c>
      <c r="AK114" s="250"/>
      <c r="AL114" s="249">
        <f>IF(OR(Table51013454[[#This Row],[تاريخ الشراء-الاستلام]]="",Table51013454[[#This Row],[الإجمالي]]="",Table51013454[[#This Row],[العمر الافتراضي]]=""),"",IF(((AE114+AG114)-Table51013454[[#This Row],[مجمع إهلاك المستبعد 
بتاريخ الأستبعاد]])&lt;=0,0,((AE114+AG114)-Table51013454[[#This Row],[مجمع إهلاك المستبعد 
بتاريخ الأستبعاد]])))</f>
        <v>132494.99999899999</v>
      </c>
      <c r="AM11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الشراء-الاستلام]]&gt;DATE(2017,12,31),0,AA114-AL114)))</f>
        <v>0</v>
      </c>
    </row>
    <row r="115" spans="1:39" s="260" customFormat="1" ht="57.75" hidden="1" customHeight="1">
      <c r="A115" s="239">
        <f>IF(B115="","",SUBTOTAL(3,$B$6:B115))</f>
        <v>3</v>
      </c>
      <c r="B115" s="230" t="s">
        <v>184</v>
      </c>
      <c r="C115" s="238" t="s">
        <v>12</v>
      </c>
      <c r="D115" s="238"/>
      <c r="E115" s="230" t="s">
        <v>31</v>
      </c>
      <c r="F115" s="230" t="s">
        <v>165</v>
      </c>
      <c r="G115" s="230"/>
      <c r="H115" s="231" t="s">
        <v>72</v>
      </c>
      <c r="I115" s="230"/>
      <c r="J115" s="237" t="s">
        <v>185</v>
      </c>
      <c r="K115" s="236">
        <v>39692</v>
      </c>
      <c r="L115" s="235" t="s">
        <v>91</v>
      </c>
      <c r="M115" s="283"/>
      <c r="N115" s="224">
        <v>1</v>
      </c>
      <c r="O115" s="223"/>
      <c r="P115" s="258">
        <v>132493.99999899999</v>
      </c>
      <c r="Q115" s="257">
        <f>P115*N115</f>
        <v>132493.99999899999</v>
      </c>
      <c r="R115" s="220"/>
      <c r="S115" s="240"/>
      <c r="T115" s="256"/>
      <c r="U115" s="256"/>
      <c r="V115" s="256"/>
      <c r="W115" s="256">
        <f>Table51013454[[#This Row],[العدد]]*Table51013454[[#This Row],[السعر الافرادي]]</f>
        <v>0</v>
      </c>
      <c r="X11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5" s="254">
        <f>Table51013454[[#This Row],[الكمية]]-Table51013454[[#This Row],[العدد]]</f>
        <v>1</v>
      </c>
      <c r="Z115" s="253">
        <f>Table51013454[[#This Row],[سعر/الحبة]]</f>
        <v>132493.99999899999</v>
      </c>
      <c r="AA115" s="253">
        <f>Table51013454[[#This Row],[الإجمالي]]-Table51013454[[#This Row],[إجمالي المستبعد]]</f>
        <v>132493.99999899999</v>
      </c>
      <c r="AB115" s="232">
        <v>0.25</v>
      </c>
      <c r="AC115" s="231"/>
      <c r="AD115" s="230" t="s">
        <v>55</v>
      </c>
      <c r="AE115" s="249">
        <v>132493.99999899999</v>
      </c>
      <c r="AF11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الشراء-الاستلام]]&lt;DATE(2017,1,1),Q115-AE115,0))</f>
        <v>0</v>
      </c>
      <c r="AG11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5" s="251">
        <f>Table51013454[[#This Row],[اهلاك المستبعد
في 2017]]+Table51013454[[#This Row],[مجمع إهلاك المستبعد 
01-01-2017]]</f>
        <v>0</v>
      </c>
      <c r="AJ115" s="251">
        <f>Table51013454[[#This Row],[إجمالي المستبعد]]-Table51013454[[#This Row],[مجمع إهلاك المستبعد 
بتاريخ الأستبعاد]]</f>
        <v>0</v>
      </c>
      <c r="AK115" s="250"/>
      <c r="AL115" s="249">
        <f>IF(OR(Table51013454[[#This Row],[تاريخ الشراء-الاستلام]]="",Table51013454[[#This Row],[الإجمالي]]="",Table51013454[[#This Row],[العمر الافتراضي]]=""),"",IF(((AE115+AG115)-Table51013454[[#This Row],[مجمع إهلاك المستبعد 
بتاريخ الأستبعاد]])&lt;=0,0,((AE115+AG115)-Table51013454[[#This Row],[مجمع إهلاك المستبعد 
بتاريخ الأستبعاد]])))</f>
        <v>132493.99999899999</v>
      </c>
      <c r="AM11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الشراء-الاستلام]]&gt;DATE(2017,12,31),0,AA115-AL115)))</f>
        <v>0</v>
      </c>
    </row>
    <row r="116" spans="1:39" s="260" customFormat="1" ht="57.75" hidden="1" customHeight="1">
      <c r="A116" s="239">
        <f>IF(B116="","",SUBTOTAL(3,$B$6:B116))</f>
        <v>3</v>
      </c>
      <c r="B116" s="230" t="s">
        <v>110</v>
      </c>
      <c r="C116" s="238" t="s">
        <v>12</v>
      </c>
      <c r="D116" s="238"/>
      <c r="E116" s="230" t="s">
        <v>31</v>
      </c>
      <c r="F116" s="230" t="s">
        <v>165</v>
      </c>
      <c r="G116" s="230"/>
      <c r="H116" s="231" t="s">
        <v>72</v>
      </c>
      <c r="I116" s="230"/>
      <c r="J116" s="237" t="s">
        <v>186</v>
      </c>
      <c r="K116" s="236">
        <v>39692</v>
      </c>
      <c r="L116" s="235" t="s">
        <v>91</v>
      </c>
      <c r="M116" s="283"/>
      <c r="N116" s="224">
        <v>1</v>
      </c>
      <c r="O116" s="223"/>
      <c r="P116" s="258">
        <v>132493.99999899999</v>
      </c>
      <c r="Q116" s="257">
        <f>P116*N116</f>
        <v>132493.99999899999</v>
      </c>
      <c r="R116" s="220"/>
      <c r="S116" s="240"/>
      <c r="T116" s="256"/>
      <c r="U116" s="256"/>
      <c r="V116" s="256"/>
      <c r="W116" s="256">
        <f>Table51013454[[#This Row],[العدد]]*Table51013454[[#This Row],[السعر الافرادي]]</f>
        <v>0</v>
      </c>
      <c r="X11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6" s="254">
        <f>Table51013454[[#This Row],[الكمية]]-Table51013454[[#This Row],[العدد]]</f>
        <v>1</v>
      </c>
      <c r="Z116" s="253">
        <f>Table51013454[[#This Row],[سعر/الحبة]]</f>
        <v>132493.99999899999</v>
      </c>
      <c r="AA116" s="253">
        <f>Table51013454[[#This Row],[الإجمالي]]-Table51013454[[#This Row],[إجمالي المستبعد]]</f>
        <v>132493.99999899999</v>
      </c>
      <c r="AB116" s="232">
        <v>0.25</v>
      </c>
      <c r="AC116" s="231"/>
      <c r="AD116" s="230" t="s">
        <v>55</v>
      </c>
      <c r="AE116" s="249">
        <v>132493.99999899999</v>
      </c>
      <c r="AF11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الشراء-الاستلام]]&lt;DATE(2017,1,1),Q116-AE116,0))</f>
        <v>0</v>
      </c>
      <c r="AG11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6" s="251">
        <f>Table51013454[[#This Row],[اهلاك المستبعد
في 2017]]+Table51013454[[#This Row],[مجمع إهلاك المستبعد 
01-01-2017]]</f>
        <v>0</v>
      </c>
      <c r="AJ116" s="251">
        <f>Table51013454[[#This Row],[إجمالي المستبعد]]-Table51013454[[#This Row],[مجمع إهلاك المستبعد 
بتاريخ الأستبعاد]]</f>
        <v>0</v>
      </c>
      <c r="AK116" s="250"/>
      <c r="AL116" s="249">
        <f>IF(OR(Table51013454[[#This Row],[تاريخ الشراء-الاستلام]]="",Table51013454[[#This Row],[الإجمالي]]="",Table51013454[[#This Row],[العمر الافتراضي]]=""),"",IF(((AE116+AG116)-Table51013454[[#This Row],[مجمع إهلاك المستبعد 
بتاريخ الأستبعاد]])&lt;=0,0,((AE116+AG116)-Table51013454[[#This Row],[مجمع إهلاك المستبعد 
بتاريخ الأستبعاد]])))</f>
        <v>132493.99999899999</v>
      </c>
      <c r="AM11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الشراء-الاستلام]]&gt;DATE(2017,12,31),0,AA116-AL116)))</f>
        <v>0</v>
      </c>
    </row>
    <row r="117" spans="1:39" s="260" customFormat="1" ht="57.75" hidden="1" customHeight="1">
      <c r="A117" s="239">
        <f>IF(B117="","",SUBTOTAL(3,$B$6:B117))</f>
        <v>3</v>
      </c>
      <c r="B117" s="230" t="s">
        <v>187</v>
      </c>
      <c r="C117" s="238" t="s">
        <v>91</v>
      </c>
      <c r="D117" s="238"/>
      <c r="E117" s="230" t="s">
        <v>31</v>
      </c>
      <c r="F117" s="230" t="s">
        <v>165</v>
      </c>
      <c r="G117" s="230"/>
      <c r="H117" s="231" t="s">
        <v>72</v>
      </c>
      <c r="I117" s="231"/>
      <c r="J117" s="237" t="s">
        <v>188</v>
      </c>
      <c r="K117" s="236">
        <v>40269</v>
      </c>
      <c r="L117" s="235"/>
      <c r="M117" s="283"/>
      <c r="N117" s="224">
        <v>1</v>
      </c>
      <c r="O117" s="223"/>
      <c r="P117" s="258">
        <v>61225</v>
      </c>
      <c r="Q117" s="257">
        <f>P117*N117</f>
        <v>61225</v>
      </c>
      <c r="R117" s="220"/>
      <c r="S117" s="240"/>
      <c r="T117" s="256"/>
      <c r="U117" s="256"/>
      <c r="V117" s="256"/>
      <c r="W117" s="256">
        <f>Table51013454[[#This Row],[العدد]]*Table51013454[[#This Row],[السعر الافرادي]]</f>
        <v>0</v>
      </c>
      <c r="X11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7" s="254">
        <f>Table51013454[[#This Row],[الكمية]]-Table51013454[[#This Row],[العدد]]</f>
        <v>1</v>
      </c>
      <c r="Z117" s="253">
        <f>Table51013454[[#This Row],[سعر/الحبة]]</f>
        <v>61225</v>
      </c>
      <c r="AA117" s="253">
        <f>Table51013454[[#This Row],[الإجمالي]]-Table51013454[[#This Row],[إجمالي المستبعد]]</f>
        <v>61225</v>
      </c>
      <c r="AB117" s="232">
        <v>0.2</v>
      </c>
      <c r="AC117" s="231"/>
      <c r="AD117" s="230" t="s">
        <v>55</v>
      </c>
      <c r="AE117" s="249">
        <v>61225</v>
      </c>
      <c r="AF11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الشراء-الاستلام]]&lt;DATE(2017,1,1),Q117-AE117,0))</f>
        <v>0</v>
      </c>
      <c r="AG11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7" s="251">
        <f>Table51013454[[#This Row],[اهلاك المستبعد
في 2017]]+Table51013454[[#This Row],[مجمع إهلاك المستبعد 
01-01-2017]]</f>
        <v>0</v>
      </c>
      <c r="AJ117" s="251">
        <f>Table51013454[[#This Row],[إجمالي المستبعد]]-Table51013454[[#This Row],[مجمع إهلاك المستبعد 
بتاريخ الأستبعاد]]</f>
        <v>0</v>
      </c>
      <c r="AK117" s="250"/>
      <c r="AL117" s="249">
        <f>IF(OR(Table51013454[[#This Row],[تاريخ الشراء-الاستلام]]="",Table51013454[[#This Row],[الإجمالي]]="",Table51013454[[#This Row],[العمر الافتراضي]]=""),"",IF(((AE117+AG117)-Table51013454[[#This Row],[مجمع إهلاك المستبعد 
بتاريخ الأستبعاد]])&lt;=0,0,((AE117+AG117)-Table51013454[[#This Row],[مجمع إهلاك المستبعد 
بتاريخ الأستبعاد]])))</f>
        <v>61225</v>
      </c>
      <c r="AM11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الشراء-الاستلام]]&gt;DATE(2017,12,31),0,AA117-AL117)))</f>
        <v>0</v>
      </c>
    </row>
    <row r="118" spans="1:39" s="260" customFormat="1" ht="57.75" hidden="1" customHeight="1">
      <c r="A118" s="239">
        <f>IF(B118="","",SUBTOTAL(3,$B$6:B118))</f>
        <v>3</v>
      </c>
      <c r="B118" s="230" t="s">
        <v>181</v>
      </c>
      <c r="C118" s="238" t="s">
        <v>12</v>
      </c>
      <c r="D118" s="238"/>
      <c r="E118" s="230" t="s">
        <v>31</v>
      </c>
      <c r="F118" s="230" t="s">
        <v>122</v>
      </c>
      <c r="G118" s="230"/>
      <c r="H118" s="231" t="s">
        <v>72</v>
      </c>
      <c r="I118" s="230"/>
      <c r="J118" s="237" t="s">
        <v>189</v>
      </c>
      <c r="K118" s="236">
        <v>39692</v>
      </c>
      <c r="L118" s="235"/>
      <c r="M118" s="283"/>
      <c r="N118" s="224">
        <v>1</v>
      </c>
      <c r="O118" s="223"/>
      <c r="P118" s="258">
        <v>132493.99999899999</v>
      </c>
      <c r="Q118" s="257">
        <f>P118*N118</f>
        <v>132493.99999899999</v>
      </c>
      <c r="R118" s="220"/>
      <c r="S118" s="240"/>
      <c r="T118" s="256"/>
      <c r="U118" s="256"/>
      <c r="V118" s="256"/>
      <c r="W118" s="256">
        <f>Table51013454[[#This Row],[العدد]]*Table51013454[[#This Row],[السعر الافرادي]]</f>
        <v>0</v>
      </c>
      <c r="X11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8" s="254">
        <f>Table51013454[[#This Row],[الكمية]]-Table51013454[[#This Row],[العدد]]</f>
        <v>1</v>
      </c>
      <c r="Z118" s="253">
        <f>Table51013454[[#This Row],[سعر/الحبة]]</f>
        <v>132493.99999899999</v>
      </c>
      <c r="AA118" s="253">
        <f>Table51013454[[#This Row],[الإجمالي]]-Table51013454[[#This Row],[إجمالي المستبعد]]</f>
        <v>132493.99999899999</v>
      </c>
      <c r="AB118" s="232">
        <v>0.25</v>
      </c>
      <c r="AC118" s="231"/>
      <c r="AD118" s="230" t="s">
        <v>55</v>
      </c>
      <c r="AE118" s="249">
        <v>132493.99999899999</v>
      </c>
      <c r="AF11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الشراء-الاستلام]]&lt;DATE(2017,1,1),Q118-AE118,0))</f>
        <v>0</v>
      </c>
      <c r="AG11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8" s="251">
        <f>Table51013454[[#This Row],[اهلاك المستبعد
في 2017]]+Table51013454[[#This Row],[مجمع إهلاك المستبعد 
01-01-2017]]</f>
        <v>0</v>
      </c>
      <c r="AJ118" s="251">
        <f>Table51013454[[#This Row],[إجمالي المستبعد]]-Table51013454[[#This Row],[مجمع إهلاك المستبعد 
بتاريخ الأستبعاد]]</f>
        <v>0</v>
      </c>
      <c r="AK118" s="250"/>
      <c r="AL118" s="249">
        <f>IF(OR(Table51013454[[#This Row],[تاريخ الشراء-الاستلام]]="",Table51013454[[#This Row],[الإجمالي]]="",Table51013454[[#This Row],[العمر الافتراضي]]=""),"",IF(((AE118+AG118)-Table51013454[[#This Row],[مجمع إهلاك المستبعد 
بتاريخ الأستبعاد]])&lt;=0,0,((AE118+AG118)-Table51013454[[#This Row],[مجمع إهلاك المستبعد 
بتاريخ الأستبعاد]])))</f>
        <v>132493.99999899999</v>
      </c>
      <c r="AM11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الشراء-الاستلام]]&gt;DATE(2017,12,31),0,AA118-AL118)))</f>
        <v>0</v>
      </c>
    </row>
    <row r="119" spans="1:39" s="260" customFormat="1" ht="57.75" hidden="1" customHeight="1">
      <c r="A119" s="239">
        <f>IF(B119="","",SUBTOTAL(3,$B$6:B119))</f>
        <v>3</v>
      </c>
      <c r="B119" s="230" t="s">
        <v>181</v>
      </c>
      <c r="C119" s="238" t="s">
        <v>12</v>
      </c>
      <c r="D119" s="238"/>
      <c r="E119" s="230" t="s">
        <v>31</v>
      </c>
      <c r="F119" s="230" t="s">
        <v>122</v>
      </c>
      <c r="G119" s="230"/>
      <c r="H119" s="231" t="s">
        <v>72</v>
      </c>
      <c r="I119" s="230"/>
      <c r="J119" s="237" t="s">
        <v>190</v>
      </c>
      <c r="K119" s="236">
        <v>39692</v>
      </c>
      <c r="L119" s="235"/>
      <c r="M119" s="283"/>
      <c r="N119" s="224">
        <v>1</v>
      </c>
      <c r="O119" s="223"/>
      <c r="P119" s="258">
        <v>132493.99999899999</v>
      </c>
      <c r="Q119" s="257">
        <f>P119*N119</f>
        <v>132493.99999899999</v>
      </c>
      <c r="R119" s="220"/>
      <c r="S119" s="240"/>
      <c r="T119" s="256"/>
      <c r="U119" s="256"/>
      <c r="V119" s="256"/>
      <c r="W119" s="256">
        <f>Table51013454[[#This Row],[العدد]]*Table51013454[[#This Row],[السعر الافرادي]]</f>
        <v>0</v>
      </c>
      <c r="X11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19" s="254">
        <f>Table51013454[[#This Row],[الكمية]]-Table51013454[[#This Row],[العدد]]</f>
        <v>1</v>
      </c>
      <c r="Z119" s="253">
        <f>Table51013454[[#This Row],[سعر/الحبة]]</f>
        <v>132493.99999899999</v>
      </c>
      <c r="AA119" s="253">
        <f>Table51013454[[#This Row],[الإجمالي]]-Table51013454[[#This Row],[إجمالي المستبعد]]</f>
        <v>132493.99999899999</v>
      </c>
      <c r="AB119" s="232">
        <v>0.25</v>
      </c>
      <c r="AC119" s="231"/>
      <c r="AD119" s="230" t="s">
        <v>55</v>
      </c>
      <c r="AE119" s="249">
        <v>132493.99999899999</v>
      </c>
      <c r="AF11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الشراء-الاستلام]]&lt;DATE(2017,1,1),Q119-AE119,0))</f>
        <v>0</v>
      </c>
      <c r="AG11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1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19" s="251">
        <f>Table51013454[[#This Row],[اهلاك المستبعد
في 2017]]+Table51013454[[#This Row],[مجمع إهلاك المستبعد 
01-01-2017]]</f>
        <v>0</v>
      </c>
      <c r="AJ119" s="251">
        <f>Table51013454[[#This Row],[إجمالي المستبعد]]-Table51013454[[#This Row],[مجمع إهلاك المستبعد 
بتاريخ الأستبعاد]]</f>
        <v>0</v>
      </c>
      <c r="AK119" s="250"/>
      <c r="AL119" s="249">
        <f>IF(OR(Table51013454[[#This Row],[تاريخ الشراء-الاستلام]]="",Table51013454[[#This Row],[الإجمالي]]="",Table51013454[[#This Row],[العمر الافتراضي]]=""),"",IF(((AE119+AG119)-Table51013454[[#This Row],[مجمع إهلاك المستبعد 
بتاريخ الأستبعاد]])&lt;=0,0,((AE119+AG119)-Table51013454[[#This Row],[مجمع إهلاك المستبعد 
بتاريخ الأستبعاد]])))</f>
        <v>132493.99999899999</v>
      </c>
      <c r="AM11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الشراء-الاستلام]]&gt;DATE(2017,12,31),0,AA119-AL119)))</f>
        <v>0</v>
      </c>
    </row>
    <row r="120" spans="1:39" s="260" customFormat="1" ht="57.75" hidden="1" customHeight="1">
      <c r="A120" s="239">
        <f>IF(B120="","",SUBTOTAL(3,$B$6:B120))</f>
        <v>3</v>
      </c>
      <c r="B120" s="230" t="s">
        <v>191</v>
      </c>
      <c r="C120" s="238" t="s">
        <v>91</v>
      </c>
      <c r="D120" s="238"/>
      <c r="E120" s="230" t="s">
        <v>31</v>
      </c>
      <c r="F120" s="230" t="s">
        <v>122</v>
      </c>
      <c r="G120" s="230"/>
      <c r="H120" s="231" t="s">
        <v>72</v>
      </c>
      <c r="I120" s="231"/>
      <c r="J120" s="237" t="s">
        <v>192</v>
      </c>
      <c r="K120" s="236">
        <v>41274</v>
      </c>
      <c r="L120" s="235"/>
      <c r="M120" s="283"/>
      <c r="N120" s="224">
        <v>1</v>
      </c>
      <c r="O120" s="223"/>
      <c r="P120" s="258">
        <v>63600</v>
      </c>
      <c r="Q120" s="257">
        <f>P120*N120</f>
        <v>63600</v>
      </c>
      <c r="R120" s="220"/>
      <c r="S120" s="240"/>
      <c r="T120" s="256"/>
      <c r="U120" s="256"/>
      <c r="V120" s="256"/>
      <c r="W120" s="256">
        <f>Table51013454[[#This Row],[العدد]]*Table51013454[[#This Row],[السعر الافرادي]]</f>
        <v>0</v>
      </c>
      <c r="X12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0" s="254">
        <f>Table51013454[[#This Row],[الكمية]]-Table51013454[[#This Row],[العدد]]</f>
        <v>1</v>
      </c>
      <c r="Z120" s="253">
        <f>Table51013454[[#This Row],[سعر/الحبة]]</f>
        <v>63600</v>
      </c>
      <c r="AA120" s="253">
        <f>Table51013454[[#This Row],[الإجمالي]]-Table51013454[[#This Row],[إجمالي المستبعد]]</f>
        <v>63600</v>
      </c>
      <c r="AB120" s="232">
        <v>0.15</v>
      </c>
      <c r="AC120" s="231"/>
      <c r="AD120" s="230" t="s">
        <v>55</v>
      </c>
      <c r="AE120" s="249">
        <v>38160</v>
      </c>
      <c r="AF12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الشراء-الاستلام]]&lt;DATE(2017,1,1),Q120-AE120,0))</f>
        <v>25440</v>
      </c>
      <c r="AG12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9540</v>
      </c>
      <c r="AH12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0" s="251">
        <f>Table51013454[[#This Row],[اهلاك المستبعد
في 2017]]+Table51013454[[#This Row],[مجمع إهلاك المستبعد 
01-01-2017]]</f>
        <v>0</v>
      </c>
      <c r="AJ120" s="251">
        <f>Table51013454[[#This Row],[إجمالي المستبعد]]-Table51013454[[#This Row],[مجمع إهلاك المستبعد 
بتاريخ الأستبعاد]]</f>
        <v>0</v>
      </c>
      <c r="AK120" s="250"/>
      <c r="AL120" s="249">
        <f>IF(OR(Table51013454[[#This Row],[تاريخ الشراء-الاستلام]]="",Table51013454[[#This Row],[الإجمالي]]="",Table51013454[[#This Row],[العمر الافتراضي]]=""),"",IF(((AE120+AG120)-Table51013454[[#This Row],[مجمع إهلاك المستبعد 
بتاريخ الأستبعاد]])&lt;=0,0,((AE120+AG120)-Table51013454[[#This Row],[مجمع إهلاك المستبعد 
بتاريخ الأستبعاد]])))</f>
        <v>47700</v>
      </c>
      <c r="AM12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الشراء-الاستلام]]&gt;DATE(2017,12,31),0,AA120-AL120)))</f>
        <v>15900</v>
      </c>
    </row>
    <row r="121" spans="1:39" s="260" customFormat="1" ht="57.75" hidden="1" customHeight="1">
      <c r="A121" s="239">
        <f>IF(B121="","",SUBTOTAL(3,$B$6:B121))</f>
        <v>3</v>
      </c>
      <c r="B121" s="230" t="s">
        <v>181</v>
      </c>
      <c r="C121" s="238" t="s">
        <v>91</v>
      </c>
      <c r="D121" s="238"/>
      <c r="E121" s="230" t="s">
        <v>31</v>
      </c>
      <c r="F121" s="230" t="s">
        <v>122</v>
      </c>
      <c r="G121" s="230"/>
      <c r="H121" s="231" t="s">
        <v>72</v>
      </c>
      <c r="I121" s="231"/>
      <c r="J121" s="237" t="s">
        <v>193</v>
      </c>
      <c r="K121" s="236">
        <v>41091</v>
      </c>
      <c r="L121" s="235"/>
      <c r="M121" s="283"/>
      <c r="N121" s="224">
        <v>1</v>
      </c>
      <c r="O121" s="223"/>
      <c r="P121" s="258">
        <v>245825</v>
      </c>
      <c r="Q121" s="257">
        <f>P121*N121</f>
        <v>245825</v>
      </c>
      <c r="R121" s="220"/>
      <c r="S121" s="240"/>
      <c r="T121" s="256"/>
      <c r="U121" s="256"/>
      <c r="V121" s="256"/>
      <c r="W121" s="256">
        <f>Table51013454[[#This Row],[العدد]]*Table51013454[[#This Row],[السعر الافرادي]]</f>
        <v>0</v>
      </c>
      <c r="X12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1" s="254">
        <f>Table51013454[[#This Row],[الكمية]]-Table51013454[[#This Row],[العدد]]</f>
        <v>1</v>
      </c>
      <c r="Z121" s="253">
        <f>Table51013454[[#This Row],[سعر/الحبة]]</f>
        <v>245825</v>
      </c>
      <c r="AA121" s="253">
        <f>Table51013454[[#This Row],[الإجمالي]]-Table51013454[[#This Row],[إجمالي المستبعد]]</f>
        <v>245825</v>
      </c>
      <c r="AB121" s="232">
        <v>0.15</v>
      </c>
      <c r="AC121" s="231"/>
      <c r="AD121" s="230" t="s">
        <v>55</v>
      </c>
      <c r="AE121" s="249">
        <v>165982.38698630134</v>
      </c>
      <c r="AF12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الشراء-الاستلام]]&lt;DATE(2017,1,1),Q121-AE121,0))</f>
        <v>79842.613013698661</v>
      </c>
      <c r="AG12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36873.75</v>
      </c>
      <c r="AH12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1" s="251">
        <f>Table51013454[[#This Row],[اهلاك المستبعد
في 2017]]+Table51013454[[#This Row],[مجمع إهلاك المستبعد 
01-01-2017]]</f>
        <v>0</v>
      </c>
      <c r="AJ121" s="251">
        <f>Table51013454[[#This Row],[إجمالي المستبعد]]-Table51013454[[#This Row],[مجمع إهلاك المستبعد 
بتاريخ الأستبعاد]]</f>
        <v>0</v>
      </c>
      <c r="AK121" s="250"/>
      <c r="AL121" s="249">
        <f>IF(OR(Table51013454[[#This Row],[تاريخ الشراء-الاستلام]]="",Table51013454[[#This Row],[الإجمالي]]="",Table51013454[[#This Row],[العمر الافتراضي]]=""),"",IF(((AE121+AG121)-Table51013454[[#This Row],[مجمع إهلاك المستبعد 
بتاريخ الأستبعاد]])&lt;=0,0,((AE121+AG121)-Table51013454[[#This Row],[مجمع إهلاك المستبعد 
بتاريخ الأستبعاد]])))</f>
        <v>202856.13698630134</v>
      </c>
      <c r="AM12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الشراء-الاستلام]]&gt;DATE(2017,12,31),0,AA121-AL121)))</f>
        <v>42968.863013698661</v>
      </c>
    </row>
    <row r="122" spans="1:39" s="260" customFormat="1" ht="57.75" hidden="1" customHeight="1">
      <c r="A122" s="239">
        <f>IF(B122="","",SUBTOTAL(3,$B$6:B122))</f>
        <v>3</v>
      </c>
      <c r="B122" s="230" t="s">
        <v>181</v>
      </c>
      <c r="C122" s="238" t="s">
        <v>91</v>
      </c>
      <c r="D122" s="238"/>
      <c r="E122" s="230" t="s">
        <v>31</v>
      </c>
      <c r="F122" s="230" t="s">
        <v>122</v>
      </c>
      <c r="G122" s="230"/>
      <c r="H122" s="231" t="s">
        <v>72</v>
      </c>
      <c r="I122" s="231"/>
      <c r="J122" s="237" t="s">
        <v>193</v>
      </c>
      <c r="K122" s="236">
        <v>41091</v>
      </c>
      <c r="L122" s="235"/>
      <c r="M122" s="283"/>
      <c r="N122" s="224">
        <v>1</v>
      </c>
      <c r="O122" s="223"/>
      <c r="P122" s="258">
        <v>93000</v>
      </c>
      <c r="Q122" s="257">
        <f>P122*N122</f>
        <v>93000</v>
      </c>
      <c r="R122" s="220"/>
      <c r="S122" s="240"/>
      <c r="T122" s="256"/>
      <c r="U122" s="256"/>
      <c r="V122" s="256"/>
      <c r="W122" s="256">
        <f>Table51013454[[#This Row],[العدد]]*Table51013454[[#This Row],[السعر الافرادي]]</f>
        <v>0</v>
      </c>
      <c r="X12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2" s="254">
        <f>Table51013454[[#This Row],[الكمية]]-Table51013454[[#This Row],[العدد]]</f>
        <v>1</v>
      </c>
      <c r="Z122" s="253">
        <f>Table51013454[[#This Row],[سعر/الحبة]]</f>
        <v>93000</v>
      </c>
      <c r="AA122" s="253">
        <f>Table51013454[[#This Row],[الإجمالي]]-Table51013454[[#This Row],[إجمالي المستبعد]]</f>
        <v>93000</v>
      </c>
      <c r="AB122" s="232">
        <v>0.15</v>
      </c>
      <c r="AC122" s="231"/>
      <c r="AD122" s="230" t="s">
        <v>55</v>
      </c>
      <c r="AE122" s="249">
        <v>62794.109589041094</v>
      </c>
      <c r="AF12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الشراء-الاستلام]]&lt;DATE(2017,1,1),Q122-AE122,0))</f>
        <v>30205.890410958906</v>
      </c>
      <c r="AG12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13950</v>
      </c>
      <c r="AH12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2" s="251">
        <f>Table51013454[[#This Row],[اهلاك المستبعد
في 2017]]+Table51013454[[#This Row],[مجمع إهلاك المستبعد 
01-01-2017]]</f>
        <v>0</v>
      </c>
      <c r="AJ122" s="251">
        <f>Table51013454[[#This Row],[إجمالي المستبعد]]-Table51013454[[#This Row],[مجمع إهلاك المستبعد 
بتاريخ الأستبعاد]]</f>
        <v>0</v>
      </c>
      <c r="AK122" s="250"/>
      <c r="AL122" s="249">
        <f>IF(OR(Table51013454[[#This Row],[تاريخ الشراء-الاستلام]]="",Table51013454[[#This Row],[الإجمالي]]="",Table51013454[[#This Row],[العمر الافتراضي]]=""),"",IF(((AE122+AG122)-Table51013454[[#This Row],[مجمع إهلاك المستبعد 
بتاريخ الأستبعاد]])&lt;=0,0,((AE122+AG122)-Table51013454[[#This Row],[مجمع إهلاك المستبعد 
بتاريخ الأستبعاد]])))</f>
        <v>76744.109589041094</v>
      </c>
      <c r="AM12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الشراء-الاستلام]]&gt;DATE(2017,12,31),0,AA122-AL122)))</f>
        <v>16255.890410958906</v>
      </c>
    </row>
    <row r="123" spans="1:39" s="260" customFormat="1" ht="57.75" hidden="1" customHeight="1">
      <c r="A123" s="239">
        <f>IF(B123="","",SUBTOTAL(3,$B$6:B123))</f>
        <v>3</v>
      </c>
      <c r="B123" s="230" t="s">
        <v>194</v>
      </c>
      <c r="C123" s="238" t="s">
        <v>12</v>
      </c>
      <c r="D123" s="238"/>
      <c r="E123" s="230" t="s">
        <v>51</v>
      </c>
      <c r="F123" s="230" t="s">
        <v>81</v>
      </c>
      <c r="G123" s="230"/>
      <c r="H123" s="231" t="s">
        <v>72</v>
      </c>
      <c r="I123" s="230" t="s">
        <v>195</v>
      </c>
      <c r="J123" s="236"/>
      <c r="K123" s="236">
        <v>42487</v>
      </c>
      <c r="L123" s="235" t="s">
        <v>196</v>
      </c>
      <c r="M123" s="283"/>
      <c r="N123" s="224">
        <v>1</v>
      </c>
      <c r="O123" s="223">
        <v>8296</v>
      </c>
      <c r="P123" s="258">
        <v>2243</v>
      </c>
      <c r="Q123" s="257">
        <f>P123*N123</f>
        <v>2243</v>
      </c>
      <c r="R123" s="220"/>
      <c r="S123" s="240"/>
      <c r="T123" s="256"/>
      <c r="U123" s="256"/>
      <c r="V123" s="256"/>
      <c r="W123" s="256">
        <f>Table51013454[[#This Row],[العدد]]*Table51013454[[#This Row],[السعر الافرادي]]</f>
        <v>0</v>
      </c>
      <c r="X12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3" s="254">
        <f>Table51013454[[#This Row],[الكمية]]-Table51013454[[#This Row],[العدد]]</f>
        <v>1</v>
      </c>
      <c r="Z123" s="253">
        <f>Table51013454[[#This Row],[سعر/الحبة]]</f>
        <v>2243</v>
      </c>
      <c r="AA123" s="253">
        <f>Table51013454[[#This Row],[الإجمالي]]-Table51013454[[#This Row],[إجمالي المستبعد]]</f>
        <v>2243</v>
      </c>
      <c r="AB123" s="269">
        <v>0.15</v>
      </c>
      <c r="AC123" s="231"/>
      <c r="AD123" s="230" t="s">
        <v>55</v>
      </c>
      <c r="AE123" s="249">
        <v>228.60164383561641</v>
      </c>
      <c r="AF12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الشراء-الاستلام]]&lt;DATE(2017,1,1),Q123-AE123,0))</f>
        <v>2014.3983561643836</v>
      </c>
      <c r="AG12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336.45</v>
      </c>
      <c r="AH12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3" s="251">
        <f>Table51013454[[#This Row],[اهلاك المستبعد
في 2017]]+Table51013454[[#This Row],[مجمع إهلاك المستبعد 
01-01-2017]]</f>
        <v>0</v>
      </c>
      <c r="AJ123" s="251">
        <f>Table51013454[[#This Row],[إجمالي المستبعد]]-Table51013454[[#This Row],[مجمع إهلاك المستبعد 
بتاريخ الأستبعاد]]</f>
        <v>0</v>
      </c>
      <c r="AK123" s="250"/>
      <c r="AL123" s="249">
        <f>IF(OR(Table51013454[[#This Row],[تاريخ الشراء-الاستلام]]="",Table51013454[[#This Row],[الإجمالي]]="",Table51013454[[#This Row],[العمر الافتراضي]]=""),"",IF(((AE123+AG123)-Table51013454[[#This Row],[مجمع إهلاك المستبعد 
بتاريخ الأستبعاد]])&lt;=0,0,((AE123+AG123)-Table51013454[[#This Row],[مجمع إهلاك المستبعد 
بتاريخ الأستبعاد]])))</f>
        <v>565.05164383561646</v>
      </c>
      <c r="AM12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الشراء-الاستلام]]&gt;DATE(2017,12,31),0,AA123-AL123)))</f>
        <v>1677.9483561643835</v>
      </c>
    </row>
    <row r="124" spans="1:39" s="260" customFormat="1" ht="57.75" hidden="1" customHeight="1">
      <c r="A124" s="239">
        <f>IF(B124="","",SUBTOTAL(3,$B$6:B124))</f>
        <v>3</v>
      </c>
      <c r="B124" s="230" t="s">
        <v>197</v>
      </c>
      <c r="C124" s="238" t="s">
        <v>12</v>
      </c>
      <c r="D124" s="238"/>
      <c r="E124" s="230" t="s">
        <v>51</v>
      </c>
      <c r="F124" s="230" t="s">
        <v>482</v>
      </c>
      <c r="G124" s="230"/>
      <c r="H124" s="231" t="s">
        <v>72</v>
      </c>
      <c r="I124" s="230"/>
      <c r="J124" s="236"/>
      <c r="K124" s="236">
        <v>42675</v>
      </c>
      <c r="L124" s="235"/>
      <c r="M124" s="283"/>
      <c r="N124" s="224">
        <v>1</v>
      </c>
      <c r="O124" s="223"/>
      <c r="P124" s="258">
        <v>40</v>
      </c>
      <c r="Q124" s="257">
        <f>P124*N124</f>
        <v>40</v>
      </c>
      <c r="R124" s="220"/>
      <c r="S124" s="240"/>
      <c r="T124" s="256"/>
      <c r="U124" s="256"/>
      <c r="V124" s="256"/>
      <c r="W124" s="256">
        <f>Table51013454[[#This Row],[العدد]]*Table51013454[[#This Row],[السعر الافرادي]]</f>
        <v>0</v>
      </c>
      <c r="X12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4" s="254">
        <f>Table51013454[[#This Row],[الكمية]]-Table51013454[[#This Row],[العدد]]</f>
        <v>1</v>
      </c>
      <c r="Z124" s="253">
        <f>Table51013454[[#This Row],[سعر/الحبة]]</f>
        <v>40</v>
      </c>
      <c r="AA124" s="253">
        <f>Table51013454[[#This Row],[الإجمالي]]-Table51013454[[#This Row],[إجمالي المستبعد]]</f>
        <v>40</v>
      </c>
      <c r="AB124" s="269">
        <v>0.15</v>
      </c>
      <c r="AC124" s="231"/>
      <c r="AD124" s="230" t="s">
        <v>55</v>
      </c>
      <c r="AE124" s="249">
        <v>0.98630136986301364</v>
      </c>
      <c r="AF12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الشراء-الاستلام]]&lt;DATE(2017,1,1),Q124-AE124,0))</f>
        <v>39.013698630136986</v>
      </c>
      <c r="AG12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</v>
      </c>
      <c r="AH12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4" s="251">
        <f>Table51013454[[#This Row],[اهلاك المستبعد
في 2017]]+Table51013454[[#This Row],[مجمع إهلاك المستبعد 
01-01-2017]]</f>
        <v>0</v>
      </c>
      <c r="AJ124" s="251">
        <f>Table51013454[[#This Row],[إجمالي المستبعد]]-Table51013454[[#This Row],[مجمع إهلاك المستبعد 
بتاريخ الأستبعاد]]</f>
        <v>0</v>
      </c>
      <c r="AK124" s="250"/>
      <c r="AL124" s="249">
        <f>IF(OR(Table51013454[[#This Row],[تاريخ الشراء-الاستلام]]="",Table51013454[[#This Row],[الإجمالي]]="",Table51013454[[#This Row],[العمر الافتراضي]]=""),"",IF(((AE124+AG124)-Table51013454[[#This Row],[مجمع إهلاك المستبعد 
بتاريخ الأستبعاد]])&lt;=0,0,((AE124+AG124)-Table51013454[[#This Row],[مجمع إهلاك المستبعد 
بتاريخ الأستبعاد]])))</f>
        <v>6.9863013698630141</v>
      </c>
      <c r="AM12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الشراء-الاستلام]]&gt;DATE(2017,12,31),0,AA124-AL124)))</f>
        <v>33.013698630136986</v>
      </c>
    </row>
    <row r="125" spans="1:39" s="260" customFormat="1" ht="57.75" hidden="1" customHeight="1">
      <c r="A125" s="239">
        <f>IF(B125="","",SUBTOTAL(3,$B$6:B125))</f>
        <v>3</v>
      </c>
      <c r="B125" s="230" t="s">
        <v>198</v>
      </c>
      <c r="C125" s="238" t="s">
        <v>12</v>
      </c>
      <c r="D125" s="238"/>
      <c r="E125" s="230" t="s">
        <v>51</v>
      </c>
      <c r="F125" s="230" t="s">
        <v>482</v>
      </c>
      <c r="G125" s="230"/>
      <c r="H125" s="231" t="s">
        <v>72</v>
      </c>
      <c r="I125" s="230"/>
      <c r="J125" s="236"/>
      <c r="K125" s="236">
        <v>42583</v>
      </c>
      <c r="L125" s="235"/>
      <c r="M125" s="283"/>
      <c r="N125" s="224">
        <v>1</v>
      </c>
      <c r="O125" s="223"/>
      <c r="P125" s="258">
        <v>2950</v>
      </c>
      <c r="Q125" s="257">
        <f>P125*N125</f>
        <v>2950</v>
      </c>
      <c r="R125" s="220"/>
      <c r="S125" s="240"/>
      <c r="T125" s="256"/>
      <c r="U125" s="256"/>
      <c r="V125" s="256"/>
      <c r="W125" s="256">
        <f>Table51013454[[#This Row],[العدد]]*Table51013454[[#This Row],[السعر الافرادي]]</f>
        <v>0</v>
      </c>
      <c r="X12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5" s="254">
        <f>Table51013454[[#This Row],[الكمية]]-Table51013454[[#This Row],[العدد]]</f>
        <v>1</v>
      </c>
      <c r="Z125" s="253">
        <f>Table51013454[[#This Row],[سعر/الحبة]]</f>
        <v>2950</v>
      </c>
      <c r="AA125" s="253">
        <f>Table51013454[[#This Row],[الإجمالي]]-Table51013454[[#This Row],[إجمالي المستبعد]]</f>
        <v>2950</v>
      </c>
      <c r="AB125" s="269">
        <v>0.15</v>
      </c>
      <c r="AC125" s="231"/>
      <c r="AD125" s="230" t="s">
        <v>55</v>
      </c>
      <c r="AE125" s="249">
        <v>184.27397260273972</v>
      </c>
      <c r="AF12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الشراء-الاستلام]]&lt;DATE(2017,1,1),Q125-AE125,0))</f>
        <v>2765.7260273972602</v>
      </c>
      <c r="AG12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442.5</v>
      </c>
      <c r="AH12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5" s="251">
        <f>Table51013454[[#This Row],[اهلاك المستبعد
في 2017]]+Table51013454[[#This Row],[مجمع إهلاك المستبعد 
01-01-2017]]</f>
        <v>0</v>
      </c>
      <c r="AJ125" s="251">
        <f>Table51013454[[#This Row],[إجمالي المستبعد]]-Table51013454[[#This Row],[مجمع إهلاك المستبعد 
بتاريخ الأستبعاد]]</f>
        <v>0</v>
      </c>
      <c r="AK125" s="250"/>
      <c r="AL125" s="249">
        <f>IF(OR(Table51013454[[#This Row],[تاريخ الشراء-الاستلام]]="",Table51013454[[#This Row],[الإجمالي]]="",Table51013454[[#This Row],[العمر الافتراضي]]=""),"",IF(((AE125+AG125)-Table51013454[[#This Row],[مجمع إهلاك المستبعد 
بتاريخ الأستبعاد]])&lt;=0,0,((AE125+AG125)-Table51013454[[#This Row],[مجمع إهلاك المستبعد 
بتاريخ الأستبعاد]])))</f>
        <v>626.77397260273972</v>
      </c>
      <c r="AM12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الشراء-الاستلام]]&gt;DATE(2017,12,31),0,AA125-AL125)))</f>
        <v>2323.2260273972602</v>
      </c>
    </row>
    <row r="126" spans="1:39" s="260" customFormat="1" ht="57.75" hidden="1" customHeight="1">
      <c r="A126" s="239">
        <f>IF(B126="","",SUBTOTAL(3,$B$6:B126))</f>
        <v>3</v>
      </c>
      <c r="B126" s="230" t="s">
        <v>199</v>
      </c>
      <c r="C126" s="238" t="s">
        <v>12</v>
      </c>
      <c r="D126" s="238"/>
      <c r="E126" s="230" t="s">
        <v>51</v>
      </c>
      <c r="F126" s="230" t="s">
        <v>52</v>
      </c>
      <c r="G126" s="230" t="s">
        <v>72</v>
      </c>
      <c r="H126" s="231" t="s">
        <v>72</v>
      </c>
      <c r="I126" s="230"/>
      <c r="J126" s="236"/>
      <c r="K126" s="236">
        <v>42569</v>
      </c>
      <c r="L126" s="235" t="s">
        <v>200</v>
      </c>
      <c r="M126" s="283"/>
      <c r="N126" s="224">
        <v>1</v>
      </c>
      <c r="O126" s="223">
        <v>1603869</v>
      </c>
      <c r="P126" s="258">
        <v>4600</v>
      </c>
      <c r="Q126" s="257">
        <f>P126*N126</f>
        <v>4600</v>
      </c>
      <c r="R126" s="241" t="s">
        <v>487</v>
      </c>
      <c r="S126" s="240">
        <v>42862</v>
      </c>
      <c r="T126" s="256">
        <v>1</v>
      </c>
      <c r="U126" s="256" t="s">
        <v>486</v>
      </c>
      <c r="V126" s="256">
        <v>4600</v>
      </c>
      <c r="W126" s="256">
        <f>Table51013454[[#This Row],[العدد]]*Table51013454[[#This Row],[السعر الافرادي]]</f>
        <v>4600</v>
      </c>
      <c r="X12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238.1917808219178</v>
      </c>
      <c r="Y126" s="254">
        <f>Table51013454[[#This Row],[الكمية]]-Table51013454[[#This Row],[العدد]]</f>
        <v>0</v>
      </c>
      <c r="Z126" s="253">
        <f>Table51013454[[#This Row],[سعر/الحبة]]</f>
        <v>4600</v>
      </c>
      <c r="AA126" s="253">
        <f>Table51013454[[#This Row],[الإجمالي]]-Table51013454[[#This Row],[إجمالي المستبعد]]</f>
        <v>0</v>
      </c>
      <c r="AB126" s="269">
        <v>0.15</v>
      </c>
      <c r="AC126" s="231"/>
      <c r="AD126" s="230" t="s">
        <v>55</v>
      </c>
      <c r="AE126" s="249">
        <v>313.80821917808214</v>
      </c>
      <c r="AF12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الشراء-الاستلام]]&lt;DATE(2017,1,1),Q126-AE126,0))</f>
        <v>4286.1917808219177</v>
      </c>
      <c r="AG12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238.1917808219178</v>
      </c>
      <c r="AH12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315.69863013698631</v>
      </c>
      <c r="AI126" s="251">
        <f>Table51013454[[#This Row],[اهلاك المستبعد
في 2017]]+Table51013454[[#This Row],[مجمع إهلاك المستبعد 
01-01-2017]]</f>
        <v>553.89041095890411</v>
      </c>
      <c r="AJ126" s="251">
        <f>Table51013454[[#This Row],[إجمالي المستبعد]]-Table51013454[[#This Row],[مجمع إهلاك المستبعد 
بتاريخ الأستبعاد]]</f>
        <v>4046.1095890410961</v>
      </c>
      <c r="AK126" s="250"/>
      <c r="AL126" s="249">
        <f>IF(OR(Table51013454[[#This Row],[تاريخ الشراء-الاستلام]]="",Table51013454[[#This Row],[الإجمالي]]="",Table51013454[[#This Row],[العمر الافتراضي]]=""),"",IF(((AE126+AG126)-Table51013454[[#This Row],[مجمع إهلاك المستبعد 
بتاريخ الأستبعاد]])&lt;=0,0,((AE126+AG126)-Table51013454[[#This Row],[مجمع إهلاك المستبعد 
بتاريخ الأستبعاد]])))</f>
        <v>0</v>
      </c>
      <c r="AM12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الشراء-الاستلام]]&gt;DATE(2017,12,31),0,AA126-AL126)))</f>
        <v>0</v>
      </c>
    </row>
    <row r="127" spans="1:39" s="260" customFormat="1" ht="57.75" hidden="1" customHeight="1">
      <c r="A127" s="239">
        <f>IF(B127="","",SUBTOTAL(3,$B$6:B127))</f>
        <v>3</v>
      </c>
      <c r="B127" s="230" t="s">
        <v>201</v>
      </c>
      <c r="C127" s="238" t="s">
        <v>12</v>
      </c>
      <c r="D127" s="238"/>
      <c r="E127" s="230" t="s">
        <v>51</v>
      </c>
      <c r="F127" s="230" t="s">
        <v>52</v>
      </c>
      <c r="G127" s="230" t="s">
        <v>72</v>
      </c>
      <c r="H127" s="231" t="s">
        <v>72</v>
      </c>
      <c r="I127" s="230"/>
      <c r="J127" s="236"/>
      <c r="K127" s="236">
        <v>42593</v>
      </c>
      <c r="L127" s="235" t="s">
        <v>202</v>
      </c>
      <c r="M127" s="283"/>
      <c r="N127" s="224">
        <v>2</v>
      </c>
      <c r="O127" s="223">
        <v>1691</v>
      </c>
      <c r="P127" s="258">
        <v>600</v>
      </c>
      <c r="Q127" s="257">
        <f>P127*N127</f>
        <v>1200</v>
      </c>
      <c r="R127" s="241" t="s">
        <v>487</v>
      </c>
      <c r="S127" s="240">
        <v>42862</v>
      </c>
      <c r="T127" s="256">
        <v>2</v>
      </c>
      <c r="U127" s="256" t="s">
        <v>486</v>
      </c>
      <c r="V127" s="256">
        <v>600</v>
      </c>
      <c r="W127" s="256">
        <f>Table51013454[[#This Row],[العدد]]*Table51013454[[#This Row],[السعر الافرادي]]</f>
        <v>1200</v>
      </c>
      <c r="X12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62.136986301369859</v>
      </c>
      <c r="Y127" s="254">
        <f>Table51013454[[#This Row],[الكمية]]-Table51013454[[#This Row],[العدد]]</f>
        <v>0</v>
      </c>
      <c r="Z127" s="253">
        <f>Table51013454[[#This Row],[سعر/الحبة]]</f>
        <v>600</v>
      </c>
      <c r="AA127" s="253">
        <f>Table51013454[[#This Row],[الإجمالي]]-Table51013454[[#This Row],[إجمالي المستبعد]]</f>
        <v>0</v>
      </c>
      <c r="AB127" s="269">
        <v>0.15</v>
      </c>
      <c r="AC127" s="231"/>
      <c r="AD127" s="230" t="s">
        <v>55</v>
      </c>
      <c r="AE127" s="249">
        <v>70.027397260273972</v>
      </c>
      <c r="AF12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الشراء-الاستلام]]&lt;DATE(2017,1,1),Q127-AE127,0))</f>
        <v>1129.972602739726</v>
      </c>
      <c r="AG12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62.136986301369859</v>
      </c>
      <c r="AH12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70.520547945205479</v>
      </c>
      <c r="AI127" s="251">
        <f>Table51013454[[#This Row],[اهلاك المستبعد
في 2017]]+Table51013454[[#This Row],[مجمع إهلاك المستبعد 
01-01-2017]]</f>
        <v>132.65753424657532</v>
      </c>
      <c r="AJ127" s="251">
        <f>Table51013454[[#This Row],[إجمالي المستبعد]]-Table51013454[[#This Row],[مجمع إهلاك المستبعد 
بتاريخ الأستبعاد]]</f>
        <v>1067.3424657534247</v>
      </c>
      <c r="AK127" s="250"/>
      <c r="AL127" s="249">
        <f>IF(OR(Table51013454[[#This Row],[تاريخ الشراء-الاستلام]]="",Table51013454[[#This Row],[الإجمالي]]="",Table51013454[[#This Row],[العمر الافتراضي]]=""),"",IF(((AE127+AG127)-Table51013454[[#This Row],[مجمع إهلاك المستبعد 
بتاريخ الأستبعاد]])&lt;=0,0,((AE127+AG127)-Table51013454[[#This Row],[مجمع إهلاك المستبعد 
بتاريخ الأستبعاد]])))</f>
        <v>0</v>
      </c>
      <c r="AM12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الشراء-الاستلام]]&gt;DATE(2017,12,31),0,AA127-AL127)))</f>
        <v>0</v>
      </c>
    </row>
    <row r="128" spans="1:39" s="260" customFormat="1" ht="57.75" hidden="1" customHeight="1">
      <c r="A128" s="226">
        <f>IF(B128="","",SUBTOTAL(3,$B$6:B279))</f>
        <v>23</v>
      </c>
      <c r="B128" s="198" t="s">
        <v>203</v>
      </c>
      <c r="C128" s="238" t="s">
        <v>12</v>
      </c>
      <c r="D128" s="238"/>
      <c r="E128" s="230" t="s">
        <v>51</v>
      </c>
      <c r="F128" s="230" t="s">
        <v>52</v>
      </c>
      <c r="G128" s="230" t="s">
        <v>72</v>
      </c>
      <c r="H128" s="231" t="s">
        <v>72</v>
      </c>
      <c r="I128" s="198"/>
      <c r="J128" s="213"/>
      <c r="K128" s="213">
        <v>42724</v>
      </c>
      <c r="L128" s="212"/>
      <c r="M128" s="283"/>
      <c r="N128" s="224">
        <v>2</v>
      </c>
      <c r="O128" s="223"/>
      <c r="P128" s="258">
        <v>1750</v>
      </c>
      <c r="Q128" s="257">
        <f>P128*N128</f>
        <v>3500</v>
      </c>
      <c r="R128" s="220"/>
      <c r="S128" s="240"/>
      <c r="T128" s="256"/>
      <c r="U128" s="256"/>
      <c r="V128" s="256"/>
      <c r="W128" s="256">
        <f>Table51013454[[#This Row],[العدد]]*Table51013454[[#This Row],[السعر الافرادي]]</f>
        <v>0</v>
      </c>
      <c r="X12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28" s="267">
        <f>Table51013454[[#This Row],[الكمية]]-Table51013454[[#This Row],[العدد]]</f>
        <v>2</v>
      </c>
      <c r="Z128" s="266">
        <f>Table51013454[[#This Row],[سعر/الحبة]]</f>
        <v>1750</v>
      </c>
      <c r="AA128" s="266">
        <f>Table51013454[[#This Row],[الإجمالي]]-Table51013454[[#This Row],[إجمالي المستبعد]]</f>
        <v>3500</v>
      </c>
      <c r="AB128" s="269">
        <v>0.15</v>
      </c>
      <c r="AC128" s="199"/>
      <c r="AD128" s="230" t="s">
        <v>55</v>
      </c>
      <c r="AE128" s="249">
        <v>15.821917808219176</v>
      </c>
      <c r="AF128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الشراء-الاستلام]]&lt;DATE(2017,1,1),Q128-AE128,0))</f>
        <v>3484.178082191781</v>
      </c>
      <c r="AG12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</v>
      </c>
      <c r="AH128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28" s="264">
        <f>Table51013454[[#This Row],[اهلاك المستبعد
في 2017]]+Table51013454[[#This Row],[مجمع إهلاك المستبعد 
01-01-2017]]</f>
        <v>0</v>
      </c>
      <c r="AJ128" s="264">
        <f>Table51013454[[#This Row],[إجمالي المستبعد]]-Table51013454[[#This Row],[مجمع إهلاك المستبعد 
بتاريخ الأستبعاد]]</f>
        <v>0</v>
      </c>
      <c r="AK128" s="263"/>
      <c r="AL128" s="262">
        <f>IF(OR(Table51013454[[#This Row],[تاريخ الشراء-الاستلام]]="",Table51013454[[#This Row],[الإجمالي]]="",Table51013454[[#This Row],[العمر الافتراضي]]=""),"",IF(((AE128+AG128)-Table51013454[[#This Row],[مجمع إهلاك المستبعد 
بتاريخ الأستبعاد]])&lt;=0,0,((AE128+AG128)-Table51013454[[#This Row],[مجمع إهلاك المستبعد 
بتاريخ الأستبعاد]])))</f>
        <v>540.82191780821915</v>
      </c>
      <c r="AM128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الشراء-الاستلام]]&gt;DATE(2017,12,31),0,AA128-AL128)))</f>
        <v>2959.178082191781</v>
      </c>
    </row>
    <row r="129" spans="1:41" s="260" customFormat="1" ht="57.75" hidden="1" customHeight="1">
      <c r="A129" s="239">
        <f>IF(B129="","",SUBTOTAL(3,$B$6:B129))</f>
        <v>3</v>
      </c>
      <c r="B129" s="230" t="s">
        <v>204</v>
      </c>
      <c r="C129" s="238" t="s">
        <v>12</v>
      </c>
      <c r="D129" s="238"/>
      <c r="E129" s="230" t="s">
        <v>51</v>
      </c>
      <c r="F129" s="230" t="s">
        <v>52</v>
      </c>
      <c r="G129" s="230" t="s">
        <v>72</v>
      </c>
      <c r="H129" s="231" t="s">
        <v>72</v>
      </c>
      <c r="I129" s="230"/>
      <c r="J129" s="236"/>
      <c r="K129" s="213">
        <v>40725</v>
      </c>
      <c r="L129" s="235"/>
      <c r="M129" s="283"/>
      <c r="N129" s="224">
        <v>1</v>
      </c>
      <c r="O129" s="223"/>
      <c r="P129" s="258">
        <v>37500</v>
      </c>
      <c r="Q129" s="257">
        <f>P129*N129</f>
        <v>37500</v>
      </c>
      <c r="R129" s="241" t="s">
        <v>487</v>
      </c>
      <c r="S129" s="240">
        <v>42862</v>
      </c>
      <c r="T129" s="256">
        <v>1</v>
      </c>
      <c r="U129" s="256" t="s">
        <v>486</v>
      </c>
      <c r="V129" s="256">
        <v>37500</v>
      </c>
      <c r="W129" s="256">
        <f>Table51013454[[#This Row],[العدد]]*Table51013454[[#This Row],[السعر الافرادي]]</f>
        <v>37500</v>
      </c>
      <c r="X12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1941.7808219178082</v>
      </c>
      <c r="Y129" s="254">
        <f>Table51013454[[#This Row],[الكمية]]-Table51013454[[#This Row],[العدد]]</f>
        <v>0</v>
      </c>
      <c r="Z129" s="253">
        <f>Table51013454[[#This Row],[سعر/الحبة]]</f>
        <v>37500</v>
      </c>
      <c r="AA129" s="253">
        <f>Table51013454[[#This Row],[الإجمالي]]-Table51013454[[#This Row],[إجمالي المستبعد]]</f>
        <v>0</v>
      </c>
      <c r="AB129" s="269">
        <v>0.15</v>
      </c>
      <c r="AC129" s="231"/>
      <c r="AD129" s="230" t="s">
        <v>55</v>
      </c>
      <c r="AE129" s="249">
        <v>30960.616438356163</v>
      </c>
      <c r="AF12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الشراء-الاستلام]]&lt;DATE(2017,1,1),Q129-AE129,0))</f>
        <v>6539.3835616438373</v>
      </c>
      <c r="AG12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1941.7808219178082</v>
      </c>
      <c r="AH12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30991.438356164384</v>
      </c>
      <c r="AI129" s="251">
        <f>Table51013454[[#This Row],[اهلاك المستبعد
في 2017]]+Table51013454[[#This Row],[مجمع إهلاك المستبعد 
01-01-2017]]</f>
        <v>32933.219178082196</v>
      </c>
      <c r="AJ129" s="251">
        <f>Table51013454[[#This Row],[إجمالي المستبعد]]-Table51013454[[#This Row],[مجمع إهلاك المستبعد 
بتاريخ الأستبعاد]]</f>
        <v>4566.7808219178041</v>
      </c>
      <c r="AK129" s="250"/>
      <c r="AL129" s="249">
        <f>IF(OR(Table51013454[[#This Row],[تاريخ الشراء-الاستلام]]="",Table51013454[[#This Row],[الإجمالي]]="",Table51013454[[#This Row],[العمر الافتراضي]]=""),"",IF(((AE129+AG129)-Table51013454[[#This Row],[مجمع إهلاك المستبعد 
بتاريخ الأستبعاد]])&lt;=0,0,((AE129+AG129)-Table51013454[[#This Row],[مجمع إهلاك المستبعد 
بتاريخ الأستبعاد]])))</f>
        <v>0</v>
      </c>
      <c r="AM12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الشراء-الاستلام]]&gt;DATE(2017,12,31),0,AA129-AL129)))</f>
        <v>0</v>
      </c>
    </row>
    <row r="130" spans="1:41" s="260" customFormat="1" ht="57.75" hidden="1" customHeight="1">
      <c r="A130" s="239">
        <f>IF(B130="","",SUBTOTAL(3,$B$6:B130))</f>
        <v>3</v>
      </c>
      <c r="B130" s="230" t="s">
        <v>205</v>
      </c>
      <c r="C130" s="238" t="s">
        <v>12</v>
      </c>
      <c r="D130" s="238"/>
      <c r="E130" s="230" t="s">
        <v>51</v>
      </c>
      <c r="F130" s="230" t="s">
        <v>52</v>
      </c>
      <c r="G130" s="230" t="s">
        <v>72</v>
      </c>
      <c r="H130" s="231" t="s">
        <v>72</v>
      </c>
      <c r="I130" s="230"/>
      <c r="J130" s="236"/>
      <c r="K130" s="213">
        <v>40787</v>
      </c>
      <c r="L130" s="235"/>
      <c r="M130" s="283"/>
      <c r="N130" s="224">
        <v>1</v>
      </c>
      <c r="O130" s="223"/>
      <c r="P130" s="258">
        <v>5820</v>
      </c>
      <c r="Q130" s="257">
        <f>P130*N130</f>
        <v>5820</v>
      </c>
      <c r="R130" s="220"/>
      <c r="S130" s="240"/>
      <c r="T130" s="256"/>
      <c r="U130" s="256"/>
      <c r="V130" s="256"/>
      <c r="W130" s="256">
        <f>Table51013454[[#This Row],[العدد]]*Table51013454[[#This Row],[السعر الافرادي]]</f>
        <v>0</v>
      </c>
      <c r="X13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0" s="254">
        <f>Table51013454[[#This Row],[الكمية]]-Table51013454[[#This Row],[العدد]]</f>
        <v>1</v>
      </c>
      <c r="Z130" s="253">
        <f>Table51013454[[#This Row],[سعر/الحبة]]</f>
        <v>5820</v>
      </c>
      <c r="AA130" s="253">
        <f>Table51013454[[#This Row],[الإجمالي]]-Table51013454[[#This Row],[إجمالي المستبعد]]</f>
        <v>5820</v>
      </c>
      <c r="AB130" s="269">
        <v>0.15</v>
      </c>
      <c r="AC130" s="231"/>
      <c r="AD130" s="230" t="s">
        <v>55</v>
      </c>
      <c r="AE130" s="249">
        <v>4656.7972602739728</v>
      </c>
      <c r="AF130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الشراء-الاستلام]]&lt;DATE(2017,1,1),Q130-AE130,0))</f>
        <v>1163.2027397260272</v>
      </c>
      <c r="AG130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873</v>
      </c>
      <c r="AH130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0" s="251">
        <f>Table51013454[[#This Row],[اهلاك المستبعد
في 2017]]+Table51013454[[#This Row],[مجمع إهلاك المستبعد 
01-01-2017]]</f>
        <v>0</v>
      </c>
      <c r="AJ130" s="251">
        <f>Table51013454[[#This Row],[إجمالي المستبعد]]-Table51013454[[#This Row],[مجمع إهلاك المستبعد 
بتاريخ الأستبعاد]]</f>
        <v>0</v>
      </c>
      <c r="AK130" s="250"/>
      <c r="AL130" s="249">
        <f>IF(OR(Table51013454[[#This Row],[تاريخ الشراء-الاستلام]]="",Table51013454[[#This Row],[الإجمالي]]="",Table51013454[[#This Row],[العمر الافتراضي]]=""),"",IF(((AE130+AG130)-Table51013454[[#This Row],[مجمع إهلاك المستبعد 
بتاريخ الأستبعاد]])&lt;=0,0,((AE130+AG130)-Table51013454[[#This Row],[مجمع إهلاك المستبعد 
بتاريخ الأستبعاد]])))</f>
        <v>5529.7972602739728</v>
      </c>
      <c r="AM130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الشراء-الاستلام]]&gt;DATE(2017,12,31),0,AA130-AL130)))</f>
        <v>290.20273972602718</v>
      </c>
    </row>
    <row r="131" spans="1:41" s="260" customFormat="1" ht="57.75" hidden="1" customHeight="1">
      <c r="A131" s="239">
        <f>IF(B131="","",SUBTOTAL(3,$B$6:B131))</f>
        <v>3</v>
      </c>
      <c r="B131" s="230" t="s">
        <v>206</v>
      </c>
      <c r="C131" s="238" t="s">
        <v>12</v>
      </c>
      <c r="D131" s="238" t="s">
        <v>34</v>
      </c>
      <c r="E131" s="230" t="s">
        <v>51</v>
      </c>
      <c r="F131" s="230" t="s">
        <v>52</v>
      </c>
      <c r="G131" s="230" t="s">
        <v>72</v>
      </c>
      <c r="H131" s="231" t="s">
        <v>72</v>
      </c>
      <c r="I131" s="230"/>
      <c r="J131" s="236"/>
      <c r="K131" s="213">
        <v>40040</v>
      </c>
      <c r="L131" s="235"/>
      <c r="M131" s="283"/>
      <c r="N131" s="224">
        <v>4</v>
      </c>
      <c r="O131" s="223"/>
      <c r="P131" s="258">
        <v>20186.2</v>
      </c>
      <c r="Q131" s="257">
        <f>P131*N131</f>
        <v>80744.800000000003</v>
      </c>
      <c r="R131" s="241" t="s">
        <v>487</v>
      </c>
      <c r="S131" s="240">
        <v>42862</v>
      </c>
      <c r="T131" s="256">
        <v>4</v>
      </c>
      <c r="U131" s="256" t="s">
        <v>486</v>
      </c>
      <c r="V131" s="256">
        <v>20186.2</v>
      </c>
      <c r="W131" s="256">
        <f>Table51013454[[#This Row],[العدد]]*Table51013454[[#This Row],[السعر الافرادي]]</f>
        <v>80744.800000000003</v>
      </c>
      <c r="X13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1" s="254">
        <f>Table51013454[[#This Row],[الكمية]]-Table51013454[[#This Row],[العدد]]</f>
        <v>0</v>
      </c>
      <c r="Z131" s="253">
        <f>Table51013454[[#This Row],[سعر/الحبة]]</f>
        <v>20186.2</v>
      </c>
      <c r="AA131" s="253">
        <f>Table51013454[[#This Row],[الإجمالي]]-Table51013454[[#This Row],[إجمالي المستبعد]]</f>
        <v>0</v>
      </c>
      <c r="AB131" s="269">
        <v>0.15</v>
      </c>
      <c r="AC131" s="231"/>
      <c r="AD131" s="230" t="s">
        <v>55</v>
      </c>
      <c r="AE131" s="249">
        <v>80744.800000000003</v>
      </c>
      <c r="AF13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الشراء-الاستلام]]&lt;DATE(2017,1,1),Q131-AE131,0))</f>
        <v>0</v>
      </c>
      <c r="AG13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3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80744.800000000003</v>
      </c>
      <c r="AI131" s="251">
        <f>Table51013454[[#This Row],[اهلاك المستبعد
في 2017]]+Table51013454[[#This Row],[مجمع إهلاك المستبعد 
01-01-2017]]</f>
        <v>80744.800000000003</v>
      </c>
      <c r="AJ131" s="251">
        <f>Table51013454[[#This Row],[إجمالي المستبعد]]-Table51013454[[#This Row],[مجمع إهلاك المستبعد 
بتاريخ الأستبعاد]]</f>
        <v>0</v>
      </c>
      <c r="AK131" s="250"/>
      <c r="AL131" s="249">
        <f>IF(OR(Table51013454[[#This Row],[تاريخ الشراء-الاستلام]]="",Table51013454[[#This Row],[الإجمالي]]="",Table51013454[[#This Row],[العمر الافتراضي]]=""),"",IF(((AE131+AG131)-Table51013454[[#This Row],[مجمع إهلاك المستبعد 
بتاريخ الأستبعاد]])&lt;=0,0,((AE131+AG131)-Table51013454[[#This Row],[مجمع إهلاك المستبعد 
بتاريخ الأستبعاد]])))</f>
        <v>0</v>
      </c>
      <c r="AM13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الشراء-الاستلام]]&gt;DATE(2017,12,31),0,AA131-AL131)))</f>
        <v>0</v>
      </c>
    </row>
    <row r="132" spans="1:41" s="260" customFormat="1" ht="57.75" hidden="1" customHeight="1">
      <c r="A132" s="239">
        <f>IF(B132="","",SUBTOTAL(3,$B$6:B132))</f>
        <v>3</v>
      </c>
      <c r="B132" s="230" t="s">
        <v>207</v>
      </c>
      <c r="C132" s="238" t="s">
        <v>12</v>
      </c>
      <c r="D132" s="238"/>
      <c r="E132" s="230" t="s">
        <v>51</v>
      </c>
      <c r="F132" s="230" t="s">
        <v>52</v>
      </c>
      <c r="G132" s="230" t="s">
        <v>72</v>
      </c>
      <c r="H132" s="231" t="s">
        <v>72</v>
      </c>
      <c r="I132" s="230"/>
      <c r="J132" s="236"/>
      <c r="K132" s="213">
        <v>40787</v>
      </c>
      <c r="L132" s="235"/>
      <c r="M132" s="283"/>
      <c r="N132" s="224">
        <v>1</v>
      </c>
      <c r="O132" s="223"/>
      <c r="P132" s="258">
        <v>4000</v>
      </c>
      <c r="Q132" s="257">
        <f>P132*N132</f>
        <v>4000</v>
      </c>
      <c r="R132" s="220"/>
      <c r="S132" s="240"/>
      <c r="T132" s="256"/>
      <c r="U132" s="256"/>
      <c r="V132" s="256"/>
      <c r="W132" s="256">
        <f>Table51013454[[#This Row],[العدد]]*Table51013454[[#This Row],[السعر الافرادي]]</f>
        <v>0</v>
      </c>
      <c r="X13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2" s="254">
        <f>Table51013454[[#This Row],[الكمية]]-Table51013454[[#This Row],[العدد]]</f>
        <v>1</v>
      </c>
      <c r="Z132" s="253">
        <f>Table51013454[[#This Row],[سعر/الحبة]]</f>
        <v>4000</v>
      </c>
      <c r="AA132" s="253">
        <f>Table51013454[[#This Row],[الإجمالي]]-Table51013454[[#This Row],[إجمالي المستبعد]]</f>
        <v>4000</v>
      </c>
      <c r="AB132" s="269">
        <v>0.15</v>
      </c>
      <c r="AC132" s="231"/>
      <c r="AD132" s="230" t="s">
        <v>55</v>
      </c>
      <c r="AE132" s="249">
        <v>3200.5479452054792</v>
      </c>
      <c r="AF13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الشراء-الاستلام]]&lt;DATE(2017,1,1),Q132-AE132,0))</f>
        <v>799.45205479452079</v>
      </c>
      <c r="AG13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600</v>
      </c>
      <c r="AH13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2" s="251">
        <f>Table51013454[[#This Row],[اهلاك المستبعد
في 2017]]+Table51013454[[#This Row],[مجمع إهلاك المستبعد 
01-01-2017]]</f>
        <v>0</v>
      </c>
      <c r="AJ132" s="251">
        <f>Table51013454[[#This Row],[إجمالي المستبعد]]-Table51013454[[#This Row],[مجمع إهلاك المستبعد 
بتاريخ الأستبعاد]]</f>
        <v>0</v>
      </c>
      <c r="AK132" s="250"/>
      <c r="AL132" s="249">
        <f>IF(OR(Table51013454[[#This Row],[تاريخ الشراء-الاستلام]]="",Table51013454[[#This Row],[الإجمالي]]="",Table51013454[[#This Row],[العمر الافتراضي]]=""),"",IF(((AE132+AG132)-Table51013454[[#This Row],[مجمع إهلاك المستبعد 
بتاريخ الأستبعاد]])&lt;=0,0,((AE132+AG132)-Table51013454[[#This Row],[مجمع إهلاك المستبعد 
بتاريخ الأستبعاد]])))</f>
        <v>3800.5479452054792</v>
      </c>
      <c r="AM13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الشراء-الاستلام]]&gt;DATE(2017,12,31),0,AA132-AL132)))</f>
        <v>199.45205479452079</v>
      </c>
    </row>
    <row r="133" spans="1:41" s="260" customFormat="1" ht="57.75" hidden="1" customHeight="1">
      <c r="A133" s="239">
        <f>IF(B133="","",SUBTOTAL(3,$B$6:B133))</f>
        <v>3</v>
      </c>
      <c r="B133" s="230" t="s">
        <v>208</v>
      </c>
      <c r="C133" s="238" t="s">
        <v>12</v>
      </c>
      <c r="D133" s="238"/>
      <c r="E133" s="230" t="s">
        <v>51</v>
      </c>
      <c r="F133" s="230" t="s">
        <v>52</v>
      </c>
      <c r="G133" s="230" t="s">
        <v>72</v>
      </c>
      <c r="H133" s="231" t="s">
        <v>72</v>
      </c>
      <c r="I133" s="230"/>
      <c r="J133" s="236"/>
      <c r="K133" s="213">
        <v>41030</v>
      </c>
      <c r="L133" s="235"/>
      <c r="M133" s="283"/>
      <c r="N133" s="224">
        <v>1</v>
      </c>
      <c r="O133" s="223"/>
      <c r="P133" s="258">
        <v>16872</v>
      </c>
      <c r="Q133" s="257">
        <f>P133*N133</f>
        <v>16872</v>
      </c>
      <c r="R133" s="241" t="s">
        <v>487</v>
      </c>
      <c r="S133" s="240">
        <v>42862</v>
      </c>
      <c r="T133" s="256">
        <v>1</v>
      </c>
      <c r="U133" s="256" t="s">
        <v>486</v>
      </c>
      <c r="V133" s="256">
        <v>16872</v>
      </c>
      <c r="W133" s="256">
        <f>Table51013454[[#This Row],[العدد]]*Table51013454[[#This Row],[السعر الافرادي]]</f>
        <v>16872</v>
      </c>
      <c r="X13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873.64602739726024</v>
      </c>
      <c r="Y133" s="254">
        <f>Table51013454[[#This Row],[الكمية]]-Table51013454[[#This Row],[العدد]]</f>
        <v>0</v>
      </c>
      <c r="Z133" s="253">
        <f>Table51013454[[#This Row],[سعر/الحبة]]</f>
        <v>16872</v>
      </c>
      <c r="AA133" s="253">
        <f>Table51013454[[#This Row],[الإجمالي]]-Table51013454[[#This Row],[إجمالي المستبعد]]</f>
        <v>0</v>
      </c>
      <c r="AB133" s="269">
        <v>0.15</v>
      </c>
      <c r="AC133" s="231"/>
      <c r="AD133" s="230" t="s">
        <v>55</v>
      </c>
      <c r="AE133" s="249">
        <v>11815.022465753424</v>
      </c>
      <c r="AF133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الشراء-الاستلام]]&lt;DATE(2017,1,1),Q133-AE133,0))</f>
        <v>5056.9775342465764</v>
      </c>
      <c r="AG133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873.64602739726024</v>
      </c>
      <c r="AH133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11828.889863013697</v>
      </c>
      <c r="AI133" s="251">
        <f>Table51013454[[#This Row],[اهلاك المستبعد
في 2017]]+Table51013454[[#This Row],[مجمع إهلاك المستبعد 
01-01-2017]]</f>
        <v>12702.535890410958</v>
      </c>
      <c r="AJ133" s="251">
        <f>Table51013454[[#This Row],[إجمالي المستبعد]]-Table51013454[[#This Row],[مجمع إهلاك المستبعد 
بتاريخ الأستبعاد]]</f>
        <v>4169.464109589042</v>
      </c>
      <c r="AK133" s="250"/>
      <c r="AL133" s="249">
        <f>IF(OR(Table51013454[[#This Row],[تاريخ الشراء-الاستلام]]="",Table51013454[[#This Row],[الإجمالي]]="",Table51013454[[#This Row],[العمر الافتراضي]]=""),"",IF(((AE133+AG133)-Table51013454[[#This Row],[مجمع إهلاك المستبعد 
بتاريخ الأستبعاد]])&lt;=0,0,((AE133+AG133)-Table51013454[[#This Row],[مجمع إهلاك المستبعد 
بتاريخ الأستبعاد]])))</f>
        <v>0</v>
      </c>
      <c r="AM133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الشراء-الاستلام]]&gt;DATE(2017,12,31),0,AA133-AL133)))</f>
        <v>0</v>
      </c>
      <c r="AO133" s="284"/>
    </row>
    <row r="134" spans="1:41" s="260" customFormat="1" ht="57.75" hidden="1" customHeight="1">
      <c r="A134" s="239">
        <f>IF(B134="","",SUBTOTAL(3,$B$6:B134))</f>
        <v>3</v>
      </c>
      <c r="B134" s="230" t="s">
        <v>209</v>
      </c>
      <c r="C134" s="238" t="s">
        <v>12</v>
      </c>
      <c r="D134" s="238"/>
      <c r="E134" s="230" t="s">
        <v>51</v>
      </c>
      <c r="F134" s="230" t="s">
        <v>52</v>
      </c>
      <c r="G134" s="230" t="s">
        <v>72</v>
      </c>
      <c r="H134" s="231" t="s">
        <v>72</v>
      </c>
      <c r="I134" s="230"/>
      <c r="J134" s="236"/>
      <c r="K134" s="213">
        <v>41122</v>
      </c>
      <c r="L134" s="235"/>
      <c r="M134" s="283"/>
      <c r="N134" s="224">
        <v>1</v>
      </c>
      <c r="O134" s="223"/>
      <c r="P134" s="258">
        <v>1480</v>
      </c>
      <c r="Q134" s="257">
        <f>P134*N134</f>
        <v>1480</v>
      </c>
      <c r="R134" s="241" t="s">
        <v>487</v>
      </c>
      <c r="S134" s="240">
        <v>42862</v>
      </c>
      <c r="T134" s="256">
        <v>1</v>
      </c>
      <c r="U134" s="256" t="s">
        <v>486</v>
      </c>
      <c r="V134" s="256">
        <v>1480</v>
      </c>
      <c r="W134" s="256">
        <f>Table51013454[[#This Row],[العدد]]*Table51013454[[#This Row],[السعر الافرادي]]</f>
        <v>1480</v>
      </c>
      <c r="X13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76.635616438356166</v>
      </c>
      <c r="Y134" s="254">
        <f>Table51013454[[#This Row],[الكمية]]-Table51013454[[#This Row],[العدد]]</f>
        <v>0</v>
      </c>
      <c r="Z134" s="253">
        <f>Table51013454[[#This Row],[سعر/الحبة]]</f>
        <v>1480</v>
      </c>
      <c r="AA134" s="253">
        <f>Table51013454[[#This Row],[الإجمالي]]-Table51013454[[#This Row],[إجمالي المستبعد]]</f>
        <v>0</v>
      </c>
      <c r="AB134" s="269">
        <v>0.15</v>
      </c>
      <c r="AC134" s="231"/>
      <c r="AD134" s="230" t="s">
        <v>55</v>
      </c>
      <c r="AE134" s="249">
        <v>980.44931506849309</v>
      </c>
      <c r="AF134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الشراء-الاستلام]]&lt;DATE(2017,1,1),Q134-AE134,0))</f>
        <v>499.55068493150691</v>
      </c>
      <c r="AG134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76.635616438356166</v>
      </c>
      <c r="AH134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981.66575342465762</v>
      </c>
      <c r="AI134" s="251">
        <f>Table51013454[[#This Row],[اهلاك المستبعد
في 2017]]+Table51013454[[#This Row],[مجمع إهلاك المستبعد 
01-01-2017]]</f>
        <v>1058.3013698630139</v>
      </c>
      <c r="AJ134" s="251">
        <f>Table51013454[[#This Row],[إجمالي المستبعد]]-Table51013454[[#This Row],[مجمع إهلاك المستبعد 
بتاريخ الأستبعاد]]</f>
        <v>421.69863013698614</v>
      </c>
      <c r="AK134" s="250"/>
      <c r="AL134" s="249">
        <f>IF(OR(Table51013454[[#This Row],[تاريخ الشراء-الاستلام]]="",Table51013454[[#This Row],[الإجمالي]]="",Table51013454[[#This Row],[العمر الافتراضي]]=""),"",IF(((AE134+AG134)-Table51013454[[#This Row],[مجمع إهلاك المستبعد 
بتاريخ الأستبعاد]])&lt;=0,0,((AE134+AG134)-Table51013454[[#This Row],[مجمع إهلاك المستبعد 
بتاريخ الأستبعاد]])))</f>
        <v>0</v>
      </c>
      <c r="AM134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الشراء-الاستلام]]&gt;DATE(2017,12,31),0,AA134-AL134)))</f>
        <v>0</v>
      </c>
    </row>
    <row r="135" spans="1:41" s="260" customFormat="1" ht="57.75" hidden="1" customHeight="1">
      <c r="A135" s="282">
        <f>IF(B135="","",SUBTOTAL(3,$B$6:B135))</f>
        <v>3</v>
      </c>
      <c r="B135" s="198" t="s">
        <v>210</v>
      </c>
      <c r="C135" s="238" t="s">
        <v>12</v>
      </c>
      <c r="D135" s="238"/>
      <c r="E135" s="230" t="s">
        <v>51</v>
      </c>
      <c r="F135" s="230" t="s">
        <v>52</v>
      </c>
      <c r="G135" s="230" t="s">
        <v>72</v>
      </c>
      <c r="H135" s="231" t="s">
        <v>72</v>
      </c>
      <c r="I135" s="198"/>
      <c r="J135" s="213"/>
      <c r="K135" s="213">
        <v>42012</v>
      </c>
      <c r="L135" s="212"/>
      <c r="M135" s="283"/>
      <c r="N135" s="224">
        <v>2</v>
      </c>
      <c r="O135" s="223"/>
      <c r="P135" s="258">
        <v>3250</v>
      </c>
      <c r="Q135" s="257">
        <f>P135*N135</f>
        <v>6500</v>
      </c>
      <c r="R135" s="241" t="s">
        <v>487</v>
      </c>
      <c r="S135" s="240">
        <v>42862</v>
      </c>
      <c r="T135" s="256">
        <v>2</v>
      </c>
      <c r="U135" s="256" t="s">
        <v>486</v>
      </c>
      <c r="V135" s="256">
        <v>3250</v>
      </c>
      <c r="W135" s="256">
        <f>Table51013454[[#This Row],[العدد]]*Table51013454[[#This Row],[السعر الافرادي]]</f>
        <v>6500</v>
      </c>
      <c r="X13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336.57534246575341</v>
      </c>
      <c r="Y135" s="267">
        <f>Table51013454[[#This Row],[الكمية]]-Table51013454[[#This Row],[العدد]]</f>
        <v>0</v>
      </c>
      <c r="Z135" s="266">
        <f>Table51013454[[#This Row],[سعر/الحبة]]</f>
        <v>3250</v>
      </c>
      <c r="AA135" s="266">
        <f>Table51013454[[#This Row],[الإجمالي]]-Table51013454[[#This Row],[إجمالي المستبعد]]</f>
        <v>0</v>
      </c>
      <c r="AB135" s="269">
        <v>0.15</v>
      </c>
      <c r="AC135" s="199"/>
      <c r="AD135" s="230" t="s">
        <v>55</v>
      </c>
      <c r="AE135" s="249">
        <v>1928.6301369863013</v>
      </c>
      <c r="AF135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الشراء-الاستلام]]&lt;DATE(2017,1,1),Q135-AE135,0))</f>
        <v>4571.3698630136987</v>
      </c>
      <c r="AG135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336.57534246575341</v>
      </c>
      <c r="AH135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1933.972602739726</v>
      </c>
      <c r="AI135" s="264">
        <f>Table51013454[[#This Row],[اهلاك المستبعد
في 2017]]+Table51013454[[#This Row],[مجمع إهلاك المستبعد 
01-01-2017]]</f>
        <v>2270.5479452054792</v>
      </c>
      <c r="AJ135" s="264">
        <f>Table51013454[[#This Row],[إجمالي المستبعد]]-Table51013454[[#This Row],[مجمع إهلاك المستبعد 
بتاريخ الأستبعاد]]</f>
        <v>4229.4520547945212</v>
      </c>
      <c r="AK135" s="263"/>
      <c r="AL135" s="262">
        <f>IF(OR(Table51013454[[#This Row],[تاريخ الشراء-الاستلام]]="",Table51013454[[#This Row],[الإجمالي]]="",Table51013454[[#This Row],[العمر الافتراضي]]=""),"",IF(((AE135+AG135)-Table51013454[[#This Row],[مجمع إهلاك المستبعد 
بتاريخ الأستبعاد]])&lt;=0,0,((AE135+AG135)-Table51013454[[#This Row],[مجمع إهلاك المستبعد 
بتاريخ الأستبعاد]])))</f>
        <v>0</v>
      </c>
      <c r="AM135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الشراء-الاستلام]]&gt;DATE(2017,12,31),0,AA135-AL135)))</f>
        <v>0</v>
      </c>
    </row>
    <row r="136" spans="1:41" s="260" customFormat="1" ht="57.75" hidden="1" customHeight="1">
      <c r="A136" s="282">
        <f>IF(B136="","",SUBTOTAL(3,$B$6:B136))</f>
        <v>3</v>
      </c>
      <c r="B136" s="198" t="s">
        <v>61</v>
      </c>
      <c r="C136" s="215" t="s">
        <v>12</v>
      </c>
      <c r="D136" s="215"/>
      <c r="E136" s="230" t="s">
        <v>632</v>
      </c>
      <c r="F136" s="198" t="s">
        <v>52</v>
      </c>
      <c r="G136" s="198" t="s">
        <v>439</v>
      </c>
      <c r="H136" s="199"/>
      <c r="I136" s="198"/>
      <c r="J136" s="213" t="s">
        <v>215</v>
      </c>
      <c r="K136" s="213">
        <v>42676</v>
      </c>
      <c r="L136" s="212"/>
      <c r="M136" s="283" t="s">
        <v>637</v>
      </c>
      <c r="N136" s="224">
        <v>2</v>
      </c>
      <c r="O136" s="223"/>
      <c r="P136" s="258">
        <v>800</v>
      </c>
      <c r="Q136" s="257">
        <f>P136*N136</f>
        <v>1600</v>
      </c>
      <c r="R136" s="220"/>
      <c r="S136" s="240"/>
      <c r="T136" s="256"/>
      <c r="U136" s="256"/>
      <c r="V136" s="256"/>
      <c r="W136" s="256">
        <f>Table51013454[[#This Row],[العدد]]*Table51013454[[#This Row],[السعر الافرادي]]</f>
        <v>0</v>
      </c>
      <c r="X13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6" s="267">
        <f>Table51013454[[#This Row],[الكمية]]-Table51013454[[#This Row],[العدد]]</f>
        <v>2</v>
      </c>
      <c r="Z136" s="266">
        <f>Table51013454[[#This Row],[سعر/الحبة]]</f>
        <v>800</v>
      </c>
      <c r="AA136" s="266">
        <f>Table51013454[[#This Row],[الإجمالي]]-Table51013454[[#This Row],[إجمالي المستبعد]]</f>
        <v>1600</v>
      </c>
      <c r="AB136" s="200">
        <v>0.2</v>
      </c>
      <c r="AC136" s="199"/>
      <c r="AD136" s="198" t="s">
        <v>55</v>
      </c>
      <c r="AE136" s="249">
        <v>51.726027397260275</v>
      </c>
      <c r="AF136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الشراء-الاستلام]]&lt;DATE(2017,1,1),Q136-AE136,0))</f>
        <v>1548.2739726027398</v>
      </c>
      <c r="AG136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320</v>
      </c>
      <c r="AH136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6" s="264">
        <f>Table51013454[[#This Row],[اهلاك المستبعد
في 2017]]+Table51013454[[#This Row],[مجمع إهلاك المستبعد 
01-01-2017]]</f>
        <v>0</v>
      </c>
      <c r="AJ136" s="264">
        <f>Table51013454[[#This Row],[إجمالي المستبعد]]-Table51013454[[#This Row],[مجمع إهلاك المستبعد 
بتاريخ الأستبعاد]]</f>
        <v>0</v>
      </c>
      <c r="AK136" s="263"/>
      <c r="AL136" s="262">
        <f>IF(OR(Table51013454[[#This Row],[تاريخ الشراء-الاستلام]]="",Table51013454[[#This Row],[الإجمالي]]="",Table51013454[[#This Row],[العمر الافتراضي]]=""),"",IF(((AE136+AG136)-Table51013454[[#This Row],[مجمع إهلاك المستبعد 
بتاريخ الأستبعاد]])&lt;=0,0,((AE136+AG136)-Table51013454[[#This Row],[مجمع إهلاك المستبعد 
بتاريخ الأستبعاد]])))</f>
        <v>371.72602739726028</v>
      </c>
      <c r="AM136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الشراء-الاستلام]]&gt;DATE(2017,12,31),0,AA136-AL136)))</f>
        <v>1228.2739726027398</v>
      </c>
    </row>
    <row r="137" spans="1:41" s="260" customFormat="1" ht="57.75" hidden="1" customHeight="1">
      <c r="A137" s="282">
        <f>IF(B137="","",SUBTOTAL(3,$B$6:B137))</f>
        <v>3</v>
      </c>
      <c r="B137" s="198" t="s">
        <v>216</v>
      </c>
      <c r="C137" s="215" t="s">
        <v>12</v>
      </c>
      <c r="D137" s="215"/>
      <c r="E137" s="230" t="s">
        <v>217</v>
      </c>
      <c r="F137" s="198" t="s">
        <v>52</v>
      </c>
      <c r="G137" s="198" t="s">
        <v>436</v>
      </c>
      <c r="H137" s="199"/>
      <c r="I137" s="198"/>
      <c r="J137" s="213"/>
      <c r="K137" s="213">
        <v>42676</v>
      </c>
      <c r="L137" s="212"/>
      <c r="M137" s="283"/>
      <c r="N137" s="224">
        <v>3</v>
      </c>
      <c r="O137" s="223"/>
      <c r="P137" s="258">
        <v>300</v>
      </c>
      <c r="Q137" s="257">
        <f>P137*N137</f>
        <v>900</v>
      </c>
      <c r="R137" s="220"/>
      <c r="S137" s="240"/>
      <c r="T137" s="256"/>
      <c r="U137" s="256"/>
      <c r="V137" s="256"/>
      <c r="W137" s="256">
        <f>Table51013454[[#This Row],[العدد]]*Table51013454[[#This Row],[السعر الافرادي]]</f>
        <v>0</v>
      </c>
      <c r="X13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7" s="267">
        <f>Table51013454[[#This Row],[الكمية]]-Table51013454[[#This Row],[العدد]]</f>
        <v>3</v>
      </c>
      <c r="Z137" s="266">
        <f>Table51013454[[#This Row],[سعر/الحبة]]</f>
        <v>300</v>
      </c>
      <c r="AA137" s="266">
        <f>Table51013454[[#This Row],[الإجمالي]]-Table51013454[[#This Row],[إجمالي المستبعد]]</f>
        <v>900</v>
      </c>
      <c r="AB137" s="269">
        <v>0.15</v>
      </c>
      <c r="AC137" s="199"/>
      <c r="AD137" s="198" t="s">
        <v>55</v>
      </c>
      <c r="AE137" s="249">
        <v>21.821917808219176</v>
      </c>
      <c r="AF137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الشراء-الاستلام]]&lt;DATE(2017,1,1),Q137-AE137,0))</f>
        <v>878.17808219178085</v>
      </c>
      <c r="AG137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135</v>
      </c>
      <c r="AH137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7" s="264">
        <f>Table51013454[[#This Row],[اهلاك المستبعد
في 2017]]+Table51013454[[#This Row],[مجمع إهلاك المستبعد 
01-01-2017]]</f>
        <v>0</v>
      </c>
      <c r="AJ137" s="264">
        <f>Table51013454[[#This Row],[إجمالي المستبعد]]-Table51013454[[#This Row],[مجمع إهلاك المستبعد 
بتاريخ الأستبعاد]]</f>
        <v>0</v>
      </c>
      <c r="AK137" s="263"/>
      <c r="AL137" s="262">
        <f>IF(OR(Table51013454[[#This Row],[تاريخ الشراء-الاستلام]]="",Table51013454[[#This Row],[الإجمالي]]="",Table51013454[[#This Row],[العمر الافتراضي]]=""),"",IF(((AE137+AG137)-Table51013454[[#This Row],[مجمع إهلاك المستبعد 
بتاريخ الأستبعاد]])&lt;=0,0,((AE137+AG137)-Table51013454[[#This Row],[مجمع إهلاك المستبعد 
بتاريخ الأستبعاد]])))</f>
        <v>156.82191780821918</v>
      </c>
      <c r="AM137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الشراء-الاستلام]]&gt;DATE(2017,12,31),0,AA137-AL137)))</f>
        <v>743.17808219178085</v>
      </c>
    </row>
    <row r="138" spans="1:41" s="260" customFormat="1" ht="57.75" hidden="1" customHeight="1">
      <c r="A138" s="282">
        <f>IF(B138="","",SUBTOTAL(3,$B$6:B138))</f>
        <v>3</v>
      </c>
      <c r="B138" s="198" t="s">
        <v>445</v>
      </c>
      <c r="C138" s="215" t="s">
        <v>12</v>
      </c>
      <c r="D138" s="215"/>
      <c r="E138" s="198" t="s">
        <v>31</v>
      </c>
      <c r="F138" s="198" t="s">
        <v>52</v>
      </c>
      <c r="G138" s="198" t="s">
        <v>439</v>
      </c>
      <c r="H138" s="199" t="s">
        <v>72</v>
      </c>
      <c r="I138" s="198" t="s">
        <v>440</v>
      </c>
      <c r="J138" s="213" t="s">
        <v>103</v>
      </c>
      <c r="K138" s="213">
        <v>42522</v>
      </c>
      <c r="L138" s="212"/>
      <c r="M138" s="283"/>
      <c r="N138" s="224">
        <v>1</v>
      </c>
      <c r="O138" s="223"/>
      <c r="P138" s="258">
        <v>53430</v>
      </c>
      <c r="Q138" s="257">
        <f>P138*N138</f>
        <v>53430</v>
      </c>
      <c r="R138" s="220"/>
      <c r="S138" s="240"/>
      <c r="T138" s="256"/>
      <c r="U138" s="256"/>
      <c r="V138" s="256"/>
      <c r="W138" s="256">
        <f>Table51013454[[#This Row],[العدد]]*Table51013454[[#This Row],[السعر الافرادي]]</f>
        <v>0</v>
      </c>
      <c r="X13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8" s="267">
        <f>Table51013454[[#This Row],[الكمية]]-Table51013454[[#This Row],[العدد]]</f>
        <v>1</v>
      </c>
      <c r="Z138" s="266">
        <f>Table51013454[[#This Row],[سعر/الحبة]]</f>
        <v>53430</v>
      </c>
      <c r="AA138" s="266">
        <f>Table51013454[[#This Row],[الإجمالي]]-Table51013454[[#This Row],[إجمالي المستبعد]]</f>
        <v>53430</v>
      </c>
      <c r="AB138" s="232">
        <v>0.25</v>
      </c>
      <c r="AC138" s="199"/>
      <c r="AD138" s="198" t="s">
        <v>55</v>
      </c>
      <c r="AE138" s="249">
        <v>7794.9246575342468</v>
      </c>
      <c r="AF138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الشراء-الاستلام]]&lt;DATE(2017,1,1),Q138-AE138,0))</f>
        <v>45635.075342465752</v>
      </c>
      <c r="AG138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13357.5</v>
      </c>
      <c r="AH138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8" s="264">
        <f>Table51013454[[#This Row],[اهلاك المستبعد
في 2017]]+Table51013454[[#This Row],[مجمع إهلاك المستبعد 
01-01-2017]]</f>
        <v>0</v>
      </c>
      <c r="AJ138" s="264">
        <f>Table51013454[[#This Row],[إجمالي المستبعد]]-Table51013454[[#This Row],[مجمع إهلاك المستبعد 
بتاريخ الأستبعاد]]</f>
        <v>0</v>
      </c>
      <c r="AK138" s="263"/>
      <c r="AL138" s="262">
        <f>IF(OR(Table51013454[[#This Row],[تاريخ الشراء-الاستلام]]="",Table51013454[[#This Row],[الإجمالي]]="",Table51013454[[#This Row],[العمر الافتراضي]]=""),"",IF(((AE138+AG138)-Table51013454[[#This Row],[مجمع إهلاك المستبعد 
بتاريخ الأستبعاد]])&lt;=0,0,((AE138+AG138)-Table51013454[[#This Row],[مجمع إهلاك المستبعد 
بتاريخ الأستبعاد]])))</f>
        <v>21152.424657534248</v>
      </c>
      <c r="AM138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الشراء-الاستلام]]&gt;DATE(2017,12,31),0,AA138-AL138)))</f>
        <v>32277.575342465752</v>
      </c>
    </row>
    <row r="139" spans="1:41" s="260" customFormat="1" ht="57.75" hidden="1" customHeight="1">
      <c r="A139" s="282">
        <f>IF(B139="","",SUBTOTAL(3,$B$6:B139))</f>
        <v>3</v>
      </c>
      <c r="B139" s="198" t="s">
        <v>101</v>
      </c>
      <c r="C139" s="215" t="s">
        <v>12</v>
      </c>
      <c r="D139" s="215"/>
      <c r="E139" s="230" t="s">
        <v>102</v>
      </c>
      <c r="F139" s="198" t="s">
        <v>52</v>
      </c>
      <c r="G139" s="198" t="s">
        <v>439</v>
      </c>
      <c r="H139" s="199" t="s">
        <v>72</v>
      </c>
      <c r="I139" s="198"/>
      <c r="J139" s="213" t="s">
        <v>446</v>
      </c>
      <c r="K139" s="213">
        <v>42618.2</v>
      </c>
      <c r="L139" s="212" t="s">
        <v>447</v>
      </c>
      <c r="M139" s="283" t="s">
        <v>636</v>
      </c>
      <c r="N139" s="224">
        <v>4</v>
      </c>
      <c r="O139" s="223"/>
      <c r="P139" s="258">
        <v>66000</v>
      </c>
      <c r="Q139" s="257">
        <f>P139*N139</f>
        <v>264000</v>
      </c>
      <c r="R139" s="220"/>
      <c r="S139" s="240"/>
      <c r="T139" s="256"/>
      <c r="U139" s="256"/>
      <c r="V139" s="256"/>
      <c r="W139" s="256">
        <f>Table51013454[[#This Row],[العدد]]*Table51013454[[#This Row],[السعر الافرادي]]</f>
        <v>0</v>
      </c>
      <c r="X13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39" s="267">
        <f>Table51013454[[#This Row],[الكمية]]-Table51013454[[#This Row],[العدد]]</f>
        <v>4</v>
      </c>
      <c r="Z139" s="266">
        <f>Table51013454[[#This Row],[سعر/الحبة]]</f>
        <v>66000</v>
      </c>
      <c r="AA139" s="266">
        <f>Table51013454[[#This Row],[الإجمالي]]-Table51013454[[#This Row],[إجمالي المستبعد]]</f>
        <v>264000</v>
      </c>
      <c r="AB139" s="200">
        <v>0.15</v>
      </c>
      <c r="AC139" s="199"/>
      <c r="AD139" s="198" t="s">
        <v>55</v>
      </c>
      <c r="AE139" s="249">
        <v>12672.000000000315</v>
      </c>
      <c r="AF139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الشراء-الاستلام]]&lt;DATE(2017,1,1),Q139-AE139,0))</f>
        <v>251327.99999999968</v>
      </c>
      <c r="AG139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39600</v>
      </c>
      <c r="AH139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39" s="264">
        <f>Table51013454[[#This Row],[اهلاك المستبعد
في 2017]]+Table51013454[[#This Row],[مجمع إهلاك المستبعد 
01-01-2017]]</f>
        <v>0</v>
      </c>
      <c r="AJ139" s="264">
        <f>Table51013454[[#This Row],[إجمالي المستبعد]]-Table51013454[[#This Row],[مجمع إهلاك المستبعد 
بتاريخ الأستبعاد]]</f>
        <v>0</v>
      </c>
      <c r="AK139" s="263"/>
      <c r="AL139" s="262">
        <f>IF(OR(Table51013454[[#This Row],[تاريخ الشراء-الاستلام]]="",Table51013454[[#This Row],[الإجمالي]]="",Table51013454[[#This Row],[العمر الافتراضي]]=""),"",IF(((AE139+AG139)-Table51013454[[#This Row],[مجمع إهلاك المستبعد 
بتاريخ الأستبعاد]])&lt;=0,0,((AE139+AG139)-Table51013454[[#This Row],[مجمع إهلاك المستبعد 
بتاريخ الأستبعاد]])))</f>
        <v>52272.000000000313</v>
      </c>
      <c r="AM139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الشراء-الاستلام]]&gt;DATE(2017,12,31),0,AA139-AL139)))</f>
        <v>211727.99999999968</v>
      </c>
    </row>
    <row r="140" spans="1:41" s="260" customFormat="1" ht="57.75" hidden="1" customHeight="1">
      <c r="A140" s="282">
        <f>IF(B140="","",SUBTOTAL(3,$B$6:B140))</f>
        <v>3</v>
      </c>
      <c r="B140" s="198" t="s">
        <v>184</v>
      </c>
      <c r="C140" s="215" t="s">
        <v>12</v>
      </c>
      <c r="D140" s="215"/>
      <c r="E140" s="198" t="s">
        <v>31</v>
      </c>
      <c r="F140" s="198" t="s">
        <v>52</v>
      </c>
      <c r="G140" s="198" t="s">
        <v>439</v>
      </c>
      <c r="H140" s="199" t="s">
        <v>72</v>
      </c>
      <c r="I140" s="198"/>
      <c r="J140" s="214" t="s">
        <v>448</v>
      </c>
      <c r="K140" s="213">
        <v>39813</v>
      </c>
      <c r="L140" s="212" t="s">
        <v>91</v>
      </c>
      <c r="M140" s="225"/>
      <c r="N140" s="224">
        <v>1</v>
      </c>
      <c r="O140" s="223"/>
      <c r="P140" s="258">
        <v>222529</v>
      </c>
      <c r="Q140" s="257">
        <f>P140*N140</f>
        <v>222529</v>
      </c>
      <c r="R140" s="241"/>
      <c r="S140" s="240"/>
      <c r="T140" s="256"/>
      <c r="U140" s="256"/>
      <c r="V140" s="256"/>
      <c r="W140" s="256">
        <f>Table51013454[[#This Row],[العدد]]*Table51013454[[#This Row],[السعر الافرادي]]</f>
        <v>0</v>
      </c>
      <c r="X14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0" s="267">
        <f>Table51013454[[#This Row],[الكمية]]-Table51013454[[#This Row],[العدد]]</f>
        <v>1</v>
      </c>
      <c r="Z140" s="266">
        <f>Table51013454[[#This Row],[سعر/الحبة]]</f>
        <v>222529</v>
      </c>
      <c r="AA140" s="266">
        <f>Table51013454[[#This Row],[الإجمالي]]-Table51013454[[#This Row],[إجمالي المستبعد]]</f>
        <v>222529</v>
      </c>
      <c r="AB140" s="232">
        <v>0.25</v>
      </c>
      <c r="AC140" s="199"/>
      <c r="AD140" s="198" t="s">
        <v>55</v>
      </c>
      <c r="AE140" s="249">
        <v>222529</v>
      </c>
      <c r="AF140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الشراء-الاستلام]]&lt;DATE(2017,1,1),Q140-AE140,0))</f>
        <v>0</v>
      </c>
      <c r="AG140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40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0" s="264">
        <f>Table51013454[[#This Row],[اهلاك المستبعد
في 2017]]+Table51013454[[#This Row],[مجمع إهلاك المستبعد 
01-01-2017]]</f>
        <v>0</v>
      </c>
      <c r="AJ140" s="264">
        <f>Table51013454[[#This Row],[إجمالي المستبعد]]-Table51013454[[#This Row],[مجمع إهلاك المستبعد 
بتاريخ الأستبعاد]]</f>
        <v>0</v>
      </c>
      <c r="AK140" s="263"/>
      <c r="AL140" s="262">
        <f>IF(OR(Table51013454[[#This Row],[تاريخ الشراء-الاستلام]]="",Table51013454[[#This Row],[الإجمالي]]="",Table51013454[[#This Row],[العمر الافتراضي]]=""),"",IF(((AE140+AG140)-Table51013454[[#This Row],[مجمع إهلاك المستبعد 
بتاريخ الأستبعاد]])&lt;=0,0,((AE140+AG140)-Table51013454[[#This Row],[مجمع إهلاك المستبعد 
بتاريخ الأستبعاد]])))</f>
        <v>222529</v>
      </c>
      <c r="AM140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الشراء-الاستلام]]&gt;DATE(2017,12,31),0,AA140-AL140)))</f>
        <v>0</v>
      </c>
    </row>
    <row r="141" spans="1:41" s="260" customFormat="1" ht="57.75" hidden="1" customHeight="1">
      <c r="A141" s="239">
        <f>IF(B141="","",SUBTOTAL(3,$B$6:B141))</f>
        <v>3</v>
      </c>
      <c r="B141" s="230" t="s">
        <v>99</v>
      </c>
      <c r="C141" s="238" t="s">
        <v>12</v>
      </c>
      <c r="D141" s="215"/>
      <c r="E141" s="230" t="s">
        <v>1528</v>
      </c>
      <c r="F141" s="230" t="s">
        <v>52</v>
      </c>
      <c r="G141" s="198" t="s">
        <v>436</v>
      </c>
      <c r="H141" s="231" t="s">
        <v>72</v>
      </c>
      <c r="I141" s="230"/>
      <c r="J141" s="236"/>
      <c r="K141" s="213">
        <v>42370</v>
      </c>
      <c r="L141" s="212" t="s">
        <v>112</v>
      </c>
      <c r="M141" s="225"/>
      <c r="N141" s="224">
        <v>68</v>
      </c>
      <c r="O141" s="223"/>
      <c r="P141" s="258">
        <f>1200-0.74</f>
        <v>1199.26</v>
      </c>
      <c r="Q141" s="257">
        <f>P141*N141</f>
        <v>81549.679999999993</v>
      </c>
      <c r="R141" s="241"/>
      <c r="S141" s="240"/>
      <c r="T141" s="256"/>
      <c r="U141" s="256"/>
      <c r="V141" s="256"/>
      <c r="W141" s="256">
        <f>Table51013454[[#This Row],[العدد]]*Table51013454[[#This Row],[السعر الافرادي]]</f>
        <v>0</v>
      </c>
      <c r="X14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1" s="254">
        <f>Table51013454[[#This Row],[الكمية]]-Table51013454[[#This Row],[العدد]]</f>
        <v>68</v>
      </c>
      <c r="Z141" s="253">
        <f>Table51013454[[#This Row],[سعر/الحبة]]</f>
        <v>1199.26</v>
      </c>
      <c r="AA141" s="253">
        <f>Table51013454[[#This Row],[الإجمالي]]-Table51013454[[#This Row],[إجمالي المستبعد]]</f>
        <v>81549.679999999993</v>
      </c>
      <c r="AB141" s="269">
        <v>0.15</v>
      </c>
      <c r="AC141" s="231"/>
      <c r="AD141" s="198" t="s">
        <v>55</v>
      </c>
      <c r="AE141" s="249">
        <v>12232.451999999999</v>
      </c>
      <c r="AF141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الشراء-الاستلام]]&lt;DATE(2017,1,1),Q141-AE141,0))</f>
        <v>69317.227999999988</v>
      </c>
      <c r="AG141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12232.451999999999</v>
      </c>
      <c r="AH141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1" s="264">
        <f>Table51013454[[#This Row],[اهلاك المستبعد
في 2017]]+Table51013454[[#This Row],[مجمع إهلاك المستبعد 
01-01-2017]]</f>
        <v>0</v>
      </c>
      <c r="AJ141" s="264">
        <f>Table51013454[[#This Row],[إجمالي المستبعد]]-Table51013454[[#This Row],[مجمع إهلاك المستبعد 
بتاريخ الأستبعاد]]</f>
        <v>0</v>
      </c>
      <c r="AK141" s="263"/>
      <c r="AL141" s="249">
        <f>IF(OR(Table51013454[[#This Row],[تاريخ الشراء-الاستلام]]="",Table51013454[[#This Row],[الإجمالي]]="",Table51013454[[#This Row],[العمر الافتراضي]]=""),"",IF(((AE141+AG141)-Table51013454[[#This Row],[مجمع إهلاك المستبعد 
بتاريخ الأستبعاد]])&lt;=0,0,((AE141+AG141)-Table51013454[[#This Row],[مجمع إهلاك المستبعد 
بتاريخ الأستبعاد]])))</f>
        <v>24464.903999999999</v>
      </c>
      <c r="AM14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الشراء-الاستلام]]&gt;DATE(2017,12,31),0,AA141-AL141)))</f>
        <v>57084.775999999998</v>
      </c>
    </row>
    <row r="142" spans="1:41" s="260" customFormat="1" ht="57.75" customHeight="1">
      <c r="A142" s="239">
        <f>IF(B142="","",SUBTOTAL(3,$B$6:B142))</f>
        <v>4</v>
      </c>
      <c r="B142" s="230" t="s">
        <v>113</v>
      </c>
      <c r="C142" s="238" t="s">
        <v>12</v>
      </c>
      <c r="D142" s="215"/>
      <c r="E142" s="230" t="s">
        <v>1529</v>
      </c>
      <c r="F142" s="230" t="s">
        <v>52</v>
      </c>
      <c r="G142" s="198" t="s">
        <v>436</v>
      </c>
      <c r="H142" s="231" t="s">
        <v>72</v>
      </c>
      <c r="I142" s="230"/>
      <c r="J142" s="236"/>
      <c r="K142" s="213">
        <v>42640.6</v>
      </c>
      <c r="L142" s="212" t="s">
        <v>112</v>
      </c>
      <c r="M142" s="283"/>
      <c r="N142" s="224">
        <v>96</v>
      </c>
      <c r="O142" s="223"/>
      <c r="P142" s="258">
        <v>1239.58</v>
      </c>
      <c r="Q142" s="257">
        <f>P142*N142</f>
        <v>118999.67999999999</v>
      </c>
      <c r="R142" s="220"/>
      <c r="S142" s="240"/>
      <c r="T142" s="256"/>
      <c r="U142" s="256"/>
      <c r="V142" s="256"/>
      <c r="W142" s="256">
        <f>Table51013454[[#This Row],[العدد]]*Table51013454[[#This Row],[السعر الافرادي]]</f>
        <v>0</v>
      </c>
      <c r="X14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2" s="254">
        <f>Table51013454[[#This Row],[الكمية]]-Table51013454[[#This Row],[العدد]]</f>
        <v>96</v>
      </c>
      <c r="Z142" s="253">
        <f>Table51013454[[#This Row],[سعر/الحبة]]</f>
        <v>1239.58</v>
      </c>
      <c r="AA142" s="253">
        <f>Table51013454[[#This Row],[الإجمالي]]-Table51013454[[#This Row],[إجمالي المستبعد]]</f>
        <v>118999.67999999999</v>
      </c>
      <c r="AB142" s="269">
        <v>0.15</v>
      </c>
      <c r="AC142" s="231"/>
      <c r="AD142" s="198" t="s">
        <v>55</v>
      </c>
      <c r="AE142" s="249">
        <v>4616.5355309589741</v>
      </c>
      <c r="AF14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الشراء-الاستلام]]&lt;DATE(2017,1,1),Q142-AE142,0))</f>
        <v>114383.14446904101</v>
      </c>
      <c r="AG14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17849.951999999997</v>
      </c>
      <c r="AH14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2" s="251">
        <f>Table51013454[[#This Row],[اهلاك المستبعد
في 2017]]+Table51013454[[#This Row],[مجمع إهلاك المستبعد 
01-01-2017]]</f>
        <v>0</v>
      </c>
      <c r="AJ142" s="251">
        <f>Table51013454[[#This Row],[إجمالي المستبعد]]-Table51013454[[#This Row],[مجمع إهلاك المستبعد 
بتاريخ الأستبعاد]]</f>
        <v>0</v>
      </c>
      <c r="AK142" s="250"/>
      <c r="AL142" s="249">
        <f>IF(OR(Table51013454[[#This Row],[تاريخ الشراء-الاستلام]]="",Table51013454[[#This Row],[الإجمالي]]="",Table51013454[[#This Row],[العمر الافتراضي]]=""),"",IF(((AE142+AG142)-Table51013454[[#This Row],[مجمع إهلاك المستبعد 
بتاريخ الأستبعاد]])&lt;=0,0,((AE142+AG142)-Table51013454[[#This Row],[مجمع إهلاك المستبعد 
بتاريخ الأستبعاد]])))</f>
        <v>22466.48753095897</v>
      </c>
      <c r="AM14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الشراء-الاستلام]]&gt;DATE(2017,12,31),0,AA142-AL142)))</f>
        <v>96533.192469041023</v>
      </c>
    </row>
    <row r="143" spans="1:41" s="260" customFormat="1" ht="57.75" hidden="1" customHeight="1">
      <c r="A143" s="282">
        <f>IF(B143="","",SUBTOTAL(3,$B$6:B143))</f>
        <v>4</v>
      </c>
      <c r="B143" s="198" t="s">
        <v>449</v>
      </c>
      <c r="C143" s="215" t="s">
        <v>12</v>
      </c>
      <c r="D143" s="215"/>
      <c r="E143" s="198" t="s">
        <v>450</v>
      </c>
      <c r="F143" s="198" t="s">
        <v>52</v>
      </c>
      <c r="G143" s="198" t="s">
        <v>439</v>
      </c>
      <c r="H143" s="199" t="s">
        <v>72</v>
      </c>
      <c r="I143" s="198"/>
      <c r="J143" s="213"/>
      <c r="K143" s="213">
        <v>38718</v>
      </c>
      <c r="L143" s="212"/>
      <c r="M143" s="225"/>
      <c r="N143" s="224">
        <v>113</v>
      </c>
      <c r="O143" s="223"/>
      <c r="P143" s="258">
        <v>9000</v>
      </c>
      <c r="Q143" s="257">
        <f>P143*N143</f>
        <v>1017000</v>
      </c>
      <c r="R143" s="241"/>
      <c r="S143" s="240"/>
      <c r="T143" s="256"/>
      <c r="U143" s="256"/>
      <c r="V143" s="256"/>
      <c r="W143" s="256">
        <f>Table51013454[[#This Row],[العدد]]*Table51013454[[#This Row],[السعر الافرادي]]</f>
        <v>0</v>
      </c>
      <c r="X14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3" s="267">
        <f>Table51013454[[#This Row],[الكمية]]-Table51013454[[#This Row],[العدد]]</f>
        <v>113</v>
      </c>
      <c r="Z143" s="266">
        <f>Table51013454[[#This Row],[سعر/الحبة]]</f>
        <v>9000</v>
      </c>
      <c r="AA143" s="266">
        <f>Table51013454[[#This Row],[الإجمالي]]-Table51013454[[#This Row],[إجمالي المستبعد]]</f>
        <v>1017000</v>
      </c>
      <c r="AB143" s="269">
        <v>0.15</v>
      </c>
      <c r="AC143" s="199"/>
      <c r="AD143" s="198" t="s">
        <v>55</v>
      </c>
      <c r="AE143" s="249">
        <v>1017000</v>
      </c>
      <c r="AF143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الشراء-الاستلام]]&lt;DATE(2017,1,1),Q143-AE143,0))</f>
        <v>0</v>
      </c>
      <c r="AG143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43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3" s="264">
        <f>Table51013454[[#This Row],[اهلاك المستبعد
في 2017]]+Table51013454[[#This Row],[مجمع إهلاك المستبعد 
01-01-2017]]</f>
        <v>0</v>
      </c>
      <c r="AJ143" s="264">
        <f>Table51013454[[#This Row],[إجمالي المستبعد]]-Table51013454[[#This Row],[مجمع إهلاك المستبعد 
بتاريخ الأستبعاد]]</f>
        <v>0</v>
      </c>
      <c r="AK143" s="263"/>
      <c r="AL143" s="262">
        <f>IF(OR(Table51013454[[#This Row],[تاريخ الشراء-الاستلام]]="",Table51013454[[#This Row],[الإجمالي]]="",Table51013454[[#This Row],[العمر الافتراضي]]=""),"",IF(((AE143+AG143)-Table51013454[[#This Row],[مجمع إهلاك المستبعد 
بتاريخ الأستبعاد]])&lt;=0,0,((AE143+AG143)-Table51013454[[#This Row],[مجمع إهلاك المستبعد 
بتاريخ الأستبعاد]])))</f>
        <v>1017000</v>
      </c>
      <c r="AM143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الشراء-الاستلام]]&gt;DATE(2017,12,31),0,AA143-AL143)))</f>
        <v>0</v>
      </c>
    </row>
    <row r="144" spans="1:41" s="260" customFormat="1" ht="57.75" hidden="1" customHeight="1">
      <c r="A144" s="270">
        <f>IF(B144="","",SUBTOTAL(3,$B$6:B144))</f>
        <v>4</v>
      </c>
      <c r="B144" s="198" t="s">
        <v>451</v>
      </c>
      <c r="C144" s="215" t="s">
        <v>12</v>
      </c>
      <c r="D144" s="215"/>
      <c r="E144" s="198" t="s">
        <v>450</v>
      </c>
      <c r="F144" s="198" t="s">
        <v>52</v>
      </c>
      <c r="G144" s="198" t="s">
        <v>439</v>
      </c>
      <c r="H144" s="199" t="s">
        <v>72</v>
      </c>
      <c r="I144" s="198"/>
      <c r="J144" s="213"/>
      <c r="K144" s="213">
        <v>41109.519999999997</v>
      </c>
      <c r="L144" s="212"/>
      <c r="M144" s="225"/>
      <c r="N144" s="224">
        <v>47</v>
      </c>
      <c r="O144" s="223"/>
      <c r="P144" s="258">
        <v>5767.02</v>
      </c>
      <c r="Q144" s="257">
        <f>P144*N144</f>
        <v>271049.94</v>
      </c>
      <c r="R144" s="241"/>
      <c r="S144" s="240"/>
      <c r="T144" s="256"/>
      <c r="U144" s="256"/>
      <c r="V144" s="256"/>
      <c r="W144" s="256">
        <f>Table51013454[[#This Row],[العدد]]*Table51013454[[#This Row],[السعر الافرادي]]</f>
        <v>0</v>
      </c>
      <c r="X144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4" s="267">
        <f>Table51013454[[#This Row],[الكمية]]-Table51013454[[#This Row],[العدد]]</f>
        <v>47</v>
      </c>
      <c r="Z144" s="266">
        <f>Table51013454[[#This Row],[سعر/الحبة]]</f>
        <v>5767.02</v>
      </c>
      <c r="AA144" s="266">
        <f>Table51013454[[#This Row],[الإجمالي]]-Table51013454[[#This Row],[إجمالي المستبعد]]</f>
        <v>271049.94</v>
      </c>
      <c r="AB144" s="269">
        <v>0.15</v>
      </c>
      <c r="AC144" s="199"/>
      <c r="AD144" s="198" t="s">
        <v>55</v>
      </c>
      <c r="AE144" s="249">
        <v>134186.80015923313</v>
      </c>
      <c r="AF144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الشراء-الاستلام]]&lt;DATE(2017,1,1),Q144-AE144,0))</f>
        <v>136863.13984076687</v>
      </c>
      <c r="AG144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40657.491000000002</v>
      </c>
      <c r="AH144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4" s="264">
        <f>Table51013454[[#This Row],[اهلاك المستبعد
في 2017]]+Table51013454[[#This Row],[مجمع إهلاك المستبعد 
01-01-2017]]</f>
        <v>0</v>
      </c>
      <c r="AJ144" s="264">
        <f>Table51013454[[#This Row],[إجمالي المستبعد]]-Table51013454[[#This Row],[مجمع إهلاك المستبعد 
بتاريخ الأستبعاد]]</f>
        <v>0</v>
      </c>
      <c r="AK144" s="263"/>
      <c r="AL144" s="262">
        <f>IF(OR(Table51013454[[#This Row],[تاريخ الشراء-الاستلام]]="",Table51013454[[#This Row],[الإجمالي]]="",Table51013454[[#This Row],[العمر الافتراضي]]=""),"",IF(((AE144+AG144)-Table51013454[[#This Row],[مجمع إهلاك المستبعد 
بتاريخ الأستبعاد]])&lt;=0,0,((AE144+AG144)-Table51013454[[#This Row],[مجمع إهلاك المستبعد 
بتاريخ الأستبعاد]])))</f>
        <v>174844.29115923314</v>
      </c>
      <c r="AM144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الشراء-الاستلام]]&gt;DATE(2017,12,31),0,AA144-AL144)))</f>
        <v>96205.648840766866</v>
      </c>
    </row>
    <row r="145" spans="1:39" s="260" customFormat="1" ht="57.75" hidden="1" customHeight="1">
      <c r="A145" s="271">
        <f>IF(B145="","",SUBTOTAL(3,$B$6:B145))</f>
        <v>4</v>
      </c>
      <c r="B145" s="230" t="s">
        <v>452</v>
      </c>
      <c r="C145" s="238" t="s">
        <v>12</v>
      </c>
      <c r="D145" s="238"/>
      <c r="E145" s="230" t="s">
        <v>71</v>
      </c>
      <c r="F145" s="230" t="s">
        <v>437</v>
      </c>
      <c r="G145" s="198" t="s">
        <v>72</v>
      </c>
      <c r="H145" s="231"/>
      <c r="I145" s="230"/>
      <c r="J145" s="236">
        <v>9277</v>
      </c>
      <c r="K145" s="213">
        <v>40544</v>
      </c>
      <c r="L145" s="212"/>
      <c r="M145" s="225"/>
      <c r="N145" s="224">
        <v>1</v>
      </c>
      <c r="O145" s="223"/>
      <c r="P145" s="258">
        <f>57000-20000</f>
        <v>37000</v>
      </c>
      <c r="Q145" s="257">
        <f>P145*N145</f>
        <v>37000</v>
      </c>
      <c r="R145" s="241"/>
      <c r="S145" s="240"/>
      <c r="T145" s="256"/>
      <c r="U145" s="256"/>
      <c r="V145" s="256"/>
      <c r="W145" s="256">
        <f>Table51013454[[#This Row],[العدد]]*Table51013454[[#This Row],[السعر الافرادي]]</f>
        <v>0</v>
      </c>
      <c r="X145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5" s="267">
        <f>Table51013454[[#This Row],[الكمية]]-Table51013454[[#This Row],[العدد]]</f>
        <v>1</v>
      </c>
      <c r="Z145" s="266">
        <f>Table51013454[[#This Row],[سعر/الحبة]]</f>
        <v>37000</v>
      </c>
      <c r="AA145" s="266">
        <f>Table51013454[[#This Row],[الإجمالي]]-Table51013454[[#This Row],[إجمالي المستبعد]]</f>
        <v>37000</v>
      </c>
      <c r="AB145" s="269">
        <v>0.25</v>
      </c>
      <c r="AC145" s="231"/>
      <c r="AD145" s="230" t="s">
        <v>55</v>
      </c>
      <c r="AE145" s="249">
        <v>37000</v>
      </c>
      <c r="AF14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الشراء-الاستلام]]&lt;DATE(2017,1,1),Q145-AE145,0))</f>
        <v>0</v>
      </c>
      <c r="AG14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4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5" s="251">
        <f>Table51013454[[#This Row],[اهلاك المستبعد
في 2017]]+Table51013454[[#This Row],[مجمع إهلاك المستبعد 
01-01-2017]]</f>
        <v>0</v>
      </c>
      <c r="AJ145" s="251">
        <f>Table51013454[[#This Row],[إجمالي المستبعد]]-Table51013454[[#This Row],[مجمع إهلاك المستبعد 
بتاريخ الأستبعاد]]</f>
        <v>0</v>
      </c>
      <c r="AK145" s="250"/>
      <c r="AL145" s="249">
        <f>IF(OR(Table51013454[[#This Row],[تاريخ الشراء-الاستلام]]="",Table51013454[[#This Row],[الإجمالي]]="",Table51013454[[#This Row],[العمر الافتراضي]]=""),"",IF(((AE145+AG145)-Table51013454[[#This Row],[مجمع إهلاك المستبعد 
بتاريخ الأستبعاد]])&lt;=0,0,((AE145+AG145)-Table51013454[[#This Row],[مجمع إهلاك المستبعد 
بتاريخ الأستبعاد]])))</f>
        <v>37000</v>
      </c>
      <c r="AM14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الشراء-الاستلام]]&gt;DATE(2017,12,31),0,AA145-AL145)))</f>
        <v>0</v>
      </c>
    </row>
    <row r="146" spans="1:39" s="260" customFormat="1" ht="57.75" hidden="1" customHeight="1">
      <c r="A146" s="270">
        <f>IF(B146="","",SUBTOTAL(3,$B$6:B146))</f>
        <v>4</v>
      </c>
      <c r="B146" s="230" t="s">
        <v>56</v>
      </c>
      <c r="C146" s="215" t="s">
        <v>12</v>
      </c>
      <c r="D146" s="215"/>
      <c r="E146" s="230" t="s">
        <v>57</v>
      </c>
      <c r="F146" s="198" t="s">
        <v>123</v>
      </c>
      <c r="G146" s="198"/>
      <c r="H146" s="199" t="s">
        <v>72</v>
      </c>
      <c r="I146" s="198"/>
      <c r="J146" s="213"/>
      <c r="K146" s="213">
        <v>41491.999000000003</v>
      </c>
      <c r="L146" s="212"/>
      <c r="M146" s="225"/>
      <c r="N146" s="275">
        <f>156-30</f>
        <v>126</v>
      </c>
      <c r="O146" s="274"/>
      <c r="P146" s="273">
        <v>692.07</v>
      </c>
      <c r="Q146" s="272">
        <f>P146*N146</f>
        <v>87200.82</v>
      </c>
      <c r="R146" s="241"/>
      <c r="S146" s="240"/>
      <c r="T146" s="256"/>
      <c r="U146" s="256"/>
      <c r="V146" s="256"/>
      <c r="W146" s="256">
        <f>Table51013454[[#This Row],[العدد]]*Table51013454[[#This Row],[السعر الافرادي]]</f>
        <v>0</v>
      </c>
      <c r="X146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6" s="267">
        <f>Table51013454[[#This Row],[الكمية]]-Table51013454[[#This Row],[العدد]]</f>
        <v>126</v>
      </c>
      <c r="Z146" s="266">
        <f>Table51013454[[#This Row],[سعر/الحبة]]</f>
        <v>692.07</v>
      </c>
      <c r="AA146" s="266">
        <f>Table51013454[[#This Row],[الإجمالي]]-Table51013454[[#This Row],[إجمالي المستبعد]]</f>
        <v>87200.82</v>
      </c>
      <c r="AB146" s="269">
        <v>0.15</v>
      </c>
      <c r="AC146" s="199"/>
      <c r="AD146" s="198" t="s">
        <v>55</v>
      </c>
      <c r="AE146" s="262">
        <v>34422.188547945123</v>
      </c>
      <c r="AF146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الشراء-الاستلام]]&lt;DATE(2017,1,1),Q146-AE146,0))</f>
        <v>52778.631452054884</v>
      </c>
      <c r="AG146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13080.123000000001</v>
      </c>
      <c r="AH146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6" s="264">
        <f>Table51013454[[#This Row],[اهلاك المستبعد
في 2017]]+Table51013454[[#This Row],[مجمع إهلاك المستبعد 
01-01-2017]]</f>
        <v>0</v>
      </c>
      <c r="AJ146" s="264">
        <f>Table51013454[[#This Row],[إجمالي المستبعد]]-Table51013454[[#This Row],[مجمع إهلاك المستبعد 
بتاريخ الأستبعاد]]</f>
        <v>0</v>
      </c>
      <c r="AK146" s="263"/>
      <c r="AL146" s="262">
        <f>IF(OR(Table51013454[[#This Row],[تاريخ الشراء-الاستلام]]="",Table51013454[[#This Row],[الإجمالي]]="",Table51013454[[#This Row],[العمر الافتراضي]]=""),"",IF(((AE146+AG146)-Table51013454[[#This Row],[مجمع إهلاك المستبعد 
بتاريخ الأستبعاد]])&lt;=0,0,((AE146+AG146)-Table51013454[[#This Row],[مجمع إهلاك المستبعد 
بتاريخ الأستبعاد]])))</f>
        <v>47502.311547945123</v>
      </c>
      <c r="AM146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الشراء-الاستلام]]&gt;DATE(2017,12,31),0,AA146-AL146)))</f>
        <v>39698.508452054884</v>
      </c>
    </row>
    <row r="147" spans="1:39" s="260" customFormat="1" ht="57.75" hidden="1" customHeight="1">
      <c r="A147" s="271">
        <f>IF(B147="","",SUBTOTAL(3,$B$6:B147))</f>
        <v>4</v>
      </c>
      <c r="B147" s="230" t="s">
        <v>99</v>
      </c>
      <c r="C147" s="215" t="s">
        <v>12</v>
      </c>
      <c r="D147" s="215"/>
      <c r="E147" s="230" t="s">
        <v>57</v>
      </c>
      <c r="F147" s="198" t="s">
        <v>123</v>
      </c>
      <c r="G147" s="198"/>
      <c r="H147" s="199" t="s">
        <v>72</v>
      </c>
      <c r="I147" s="230"/>
      <c r="J147" s="236"/>
      <c r="K147" s="213">
        <v>41491.999000000003</v>
      </c>
      <c r="L147" s="235"/>
      <c r="M147" s="225"/>
      <c r="N147" s="224">
        <v>48</v>
      </c>
      <c r="O147" s="223"/>
      <c r="P147" s="258">
        <v>1100</v>
      </c>
      <c r="Q147" s="257">
        <f>P147*N147</f>
        <v>52800</v>
      </c>
      <c r="R147" s="241"/>
      <c r="S147" s="240"/>
      <c r="T147" s="256"/>
      <c r="U147" s="256"/>
      <c r="V147" s="256"/>
      <c r="W147" s="256">
        <f>Table51013454[[#This Row],[العدد]]*Table51013454[[#This Row],[السعر الافرادي]]</f>
        <v>0</v>
      </c>
      <c r="X147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7" s="254">
        <f>Table51013454[[#This Row],[الكمية]]-Table51013454[[#This Row],[العدد]]</f>
        <v>48</v>
      </c>
      <c r="Z147" s="253">
        <f>Table51013454[[#This Row],[سعر/الحبة]]</f>
        <v>1100</v>
      </c>
      <c r="AA147" s="253">
        <f>Table51013454[[#This Row],[الإجمالي]]-Table51013454[[#This Row],[إجمالي المستبعد]]</f>
        <v>52800</v>
      </c>
      <c r="AB147" s="269">
        <v>0.15</v>
      </c>
      <c r="AC147" s="231"/>
      <c r="AD147" s="198" t="s">
        <v>55</v>
      </c>
      <c r="AE147" s="249">
        <v>20606.480219178033</v>
      </c>
      <c r="AF147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الشراء-الاستلام]]&lt;DATE(2017,1,1),Q147-AE147,0))</f>
        <v>32193.519780821967</v>
      </c>
      <c r="AG147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7920</v>
      </c>
      <c r="AH147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7" s="251">
        <f>Table51013454[[#This Row],[اهلاك المستبعد
في 2017]]+Table51013454[[#This Row],[مجمع إهلاك المستبعد 
01-01-2017]]</f>
        <v>0</v>
      </c>
      <c r="AJ147" s="251">
        <f>Table51013454[[#This Row],[إجمالي المستبعد]]-Table51013454[[#This Row],[مجمع إهلاك المستبعد 
بتاريخ الأستبعاد]]</f>
        <v>0</v>
      </c>
      <c r="AK147" s="250"/>
      <c r="AL147" s="249">
        <f>IF(OR(Table51013454[[#This Row],[تاريخ الشراء-الاستلام]]="",Table51013454[[#This Row],[الإجمالي]]="",Table51013454[[#This Row],[العمر الافتراضي]]=""),"",IF(((AE147+AG147)-Table51013454[[#This Row],[مجمع إهلاك المستبعد 
بتاريخ الأستبعاد]])&lt;=0,0,((AE147+AG147)-Table51013454[[#This Row],[مجمع إهلاك المستبعد 
بتاريخ الأستبعاد]])))</f>
        <v>28526.480219178033</v>
      </c>
      <c r="AM147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الشراء-الاستلام]]&gt;DATE(2017,12,31),0,AA147-AL147)))</f>
        <v>24273.519780821967</v>
      </c>
    </row>
    <row r="148" spans="1:39" s="260" customFormat="1" ht="57.75" hidden="1" customHeight="1">
      <c r="A148" s="271">
        <f>IF(B148="","",SUBTOTAL(3,$B$6:B148))</f>
        <v>4</v>
      </c>
      <c r="B148" s="230" t="s">
        <v>113</v>
      </c>
      <c r="C148" s="215" t="s">
        <v>12</v>
      </c>
      <c r="D148" s="215"/>
      <c r="E148" s="230" t="s">
        <v>57</v>
      </c>
      <c r="F148" s="198" t="s">
        <v>123</v>
      </c>
      <c r="G148" s="198"/>
      <c r="H148" s="231" t="s">
        <v>72</v>
      </c>
      <c r="I148" s="230"/>
      <c r="J148" s="236"/>
      <c r="K148" s="213">
        <v>41491.999000000003</v>
      </c>
      <c r="L148" s="235"/>
      <c r="M148" s="225"/>
      <c r="N148" s="224">
        <v>24</v>
      </c>
      <c r="O148" s="223"/>
      <c r="P148" s="258">
        <v>1300</v>
      </c>
      <c r="Q148" s="257">
        <f>P148*N148</f>
        <v>31200</v>
      </c>
      <c r="R148" s="241"/>
      <c r="S148" s="240"/>
      <c r="T148" s="256"/>
      <c r="U148" s="256"/>
      <c r="V148" s="256"/>
      <c r="W148" s="256">
        <f>Table51013454[[#This Row],[العدد]]*Table51013454[[#This Row],[السعر الافرادي]]</f>
        <v>0</v>
      </c>
      <c r="X148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8" s="254">
        <f>Table51013454[[#This Row],[الكمية]]-Table51013454[[#This Row],[العدد]]</f>
        <v>24</v>
      </c>
      <c r="Z148" s="253">
        <f>Table51013454[[#This Row],[سعر/الحبة]]</f>
        <v>1300</v>
      </c>
      <c r="AA148" s="253">
        <f>Table51013454[[#This Row],[الإجمالي]]-Table51013454[[#This Row],[إجمالي المستبعد]]</f>
        <v>31200</v>
      </c>
      <c r="AB148" s="269">
        <v>0.15</v>
      </c>
      <c r="AC148" s="231"/>
      <c r="AD148" s="198" t="s">
        <v>55</v>
      </c>
      <c r="AE148" s="249">
        <v>12176.556493150656</v>
      </c>
      <c r="AF148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الشراء-الاستلام]]&lt;DATE(2017,1,1),Q148-AE148,0))</f>
        <v>19023.443506849344</v>
      </c>
      <c r="AG148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4680</v>
      </c>
      <c r="AH148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8" s="251">
        <f>Table51013454[[#This Row],[اهلاك المستبعد
في 2017]]+Table51013454[[#This Row],[مجمع إهلاك المستبعد 
01-01-2017]]</f>
        <v>0</v>
      </c>
      <c r="AJ148" s="251">
        <f>Table51013454[[#This Row],[إجمالي المستبعد]]-Table51013454[[#This Row],[مجمع إهلاك المستبعد 
بتاريخ الأستبعاد]]</f>
        <v>0</v>
      </c>
      <c r="AK148" s="250"/>
      <c r="AL148" s="249">
        <f>IF(OR(Table51013454[[#This Row],[تاريخ الشراء-الاستلام]]="",Table51013454[[#This Row],[الإجمالي]]="",Table51013454[[#This Row],[العمر الافتراضي]]=""),"",IF(((AE148+AG148)-Table51013454[[#This Row],[مجمع إهلاك المستبعد 
بتاريخ الأستبعاد]])&lt;=0,0,((AE148+AG148)-Table51013454[[#This Row],[مجمع إهلاك المستبعد 
بتاريخ الأستبعاد]])))</f>
        <v>16856.556493150656</v>
      </c>
      <c r="AM148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الشراء-الاستلام]]&gt;DATE(2017,12,31),0,AA148-AL148)))</f>
        <v>14343.443506849344</v>
      </c>
    </row>
    <row r="149" spans="1:39" s="260" customFormat="1" ht="57.75" hidden="1" customHeight="1">
      <c r="A149" s="271">
        <f>IF(B149="","",SUBTOTAL(3,$B$6:B149))</f>
        <v>4</v>
      </c>
      <c r="B149" s="230" t="s">
        <v>453</v>
      </c>
      <c r="C149" s="215" t="s">
        <v>12</v>
      </c>
      <c r="D149" s="215"/>
      <c r="E149" s="230" t="s">
        <v>450</v>
      </c>
      <c r="F149" s="198" t="s">
        <v>123</v>
      </c>
      <c r="G149" s="198"/>
      <c r="H149" s="231" t="s">
        <v>72</v>
      </c>
      <c r="I149" s="230"/>
      <c r="J149" s="236"/>
      <c r="K149" s="213">
        <v>41491.999000000003</v>
      </c>
      <c r="L149" s="235"/>
      <c r="M149" s="225"/>
      <c r="N149" s="224">
        <v>21</v>
      </c>
      <c r="O149" s="223"/>
      <c r="P149" s="258">
        <v>7000</v>
      </c>
      <c r="Q149" s="257">
        <f>P149*N149</f>
        <v>147000</v>
      </c>
      <c r="R149" s="241"/>
      <c r="S149" s="240"/>
      <c r="T149" s="256"/>
      <c r="U149" s="256"/>
      <c r="V149" s="256"/>
      <c r="W149" s="256">
        <f>Table51013454[[#This Row],[العدد]]*Table51013454[[#This Row],[السعر الافرادي]]</f>
        <v>0</v>
      </c>
      <c r="X149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49" s="254">
        <f>Table51013454[[#This Row],[الكمية]]-Table51013454[[#This Row],[العدد]]</f>
        <v>21</v>
      </c>
      <c r="Z149" s="253">
        <f>Table51013454[[#This Row],[سعر/الحبة]]</f>
        <v>7000</v>
      </c>
      <c r="AA149" s="253">
        <f>Table51013454[[#This Row],[الإجمالي]]-Table51013454[[#This Row],[إجمالي المستبعد]]</f>
        <v>147000</v>
      </c>
      <c r="AB149" s="269">
        <v>0.15</v>
      </c>
      <c r="AC149" s="231"/>
      <c r="AD149" s="198" t="s">
        <v>55</v>
      </c>
      <c r="AE149" s="249">
        <v>57370.314246575203</v>
      </c>
      <c r="AF149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الشراء-الاستلام]]&lt;DATE(2017,1,1),Q149-AE149,0))</f>
        <v>89629.685753424797</v>
      </c>
      <c r="AG149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22050</v>
      </c>
      <c r="AH149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49" s="251">
        <f>Table51013454[[#This Row],[اهلاك المستبعد
في 2017]]+Table51013454[[#This Row],[مجمع إهلاك المستبعد 
01-01-2017]]</f>
        <v>0</v>
      </c>
      <c r="AJ149" s="251">
        <f>Table51013454[[#This Row],[إجمالي المستبعد]]-Table51013454[[#This Row],[مجمع إهلاك المستبعد 
بتاريخ الأستبعاد]]</f>
        <v>0</v>
      </c>
      <c r="AK149" s="250"/>
      <c r="AL149" s="249">
        <f>IF(OR(Table51013454[[#This Row],[تاريخ الشراء-الاستلام]]="",Table51013454[[#This Row],[الإجمالي]]="",Table51013454[[#This Row],[العمر الافتراضي]]=""),"",IF(((AE149+AG149)-Table51013454[[#This Row],[مجمع إهلاك المستبعد 
بتاريخ الأستبعاد]])&lt;=0,0,((AE149+AG149)-Table51013454[[#This Row],[مجمع إهلاك المستبعد 
بتاريخ الأستبعاد]])))</f>
        <v>79420.314246575203</v>
      </c>
      <c r="AM149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الشراء-الاستلام]]&gt;DATE(2017,12,31),0,AA149-AL149)))</f>
        <v>67579.685753424797</v>
      </c>
    </row>
    <row r="150" spans="1:39" s="260" customFormat="1" ht="57.75" hidden="1" customHeight="1">
      <c r="A150" s="270">
        <f>IF(B150="","",SUBTOTAL(3,$B$6:B150))</f>
        <v>4</v>
      </c>
      <c r="B150" s="279" t="s">
        <v>56</v>
      </c>
      <c r="C150" s="281" t="s">
        <v>12</v>
      </c>
      <c r="D150" s="281"/>
      <c r="E150" s="279" t="s">
        <v>57</v>
      </c>
      <c r="F150" s="279" t="s">
        <v>165</v>
      </c>
      <c r="G150" s="279"/>
      <c r="H150" s="280" t="s">
        <v>72</v>
      </c>
      <c r="I150" s="279"/>
      <c r="J150" s="278"/>
      <c r="K150" s="278">
        <v>41475</v>
      </c>
      <c r="L150" s="277"/>
      <c r="M150" s="276"/>
      <c r="N150" s="275">
        <v>260</v>
      </c>
      <c r="O150" s="274"/>
      <c r="P150" s="273">
        <v>650</v>
      </c>
      <c r="Q150" s="272">
        <f>P150*N150</f>
        <v>169000</v>
      </c>
      <c r="R150" s="241"/>
      <c r="S150" s="240"/>
      <c r="T150" s="256"/>
      <c r="U150" s="256"/>
      <c r="V150" s="256"/>
      <c r="W150" s="256">
        <f>Table51013454[[#This Row],[العدد]]*Table51013454[[#This Row],[السعر الافرادي]]</f>
        <v>0</v>
      </c>
      <c r="X150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0" s="267">
        <f>Table51013454[[#This Row],[الكمية]]-Table51013454[[#This Row],[العدد]]</f>
        <v>260</v>
      </c>
      <c r="Z150" s="266">
        <f>Table51013454[[#This Row],[سعر/الحبة]]</f>
        <v>650</v>
      </c>
      <c r="AA150" s="266">
        <f>Table51013454[[#This Row],[الإجمالي]]-Table51013454[[#This Row],[إجمالي المستبعد]]</f>
        <v>169000</v>
      </c>
      <c r="AB150" s="269">
        <v>0.15</v>
      </c>
      <c r="AC150" s="199"/>
      <c r="AD150" s="198" t="s">
        <v>55</v>
      </c>
      <c r="AE150" s="262">
        <v>66743.424657534255</v>
      </c>
      <c r="AF150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الشراء-الاستلام]]&lt;DATE(2017,1,1),Q150-AE150,0))</f>
        <v>102256.57534246575</v>
      </c>
      <c r="AG150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25350</v>
      </c>
      <c r="AH150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0" s="264">
        <f>Table51013454[[#This Row],[اهلاك المستبعد
في 2017]]+Table51013454[[#This Row],[مجمع إهلاك المستبعد 
01-01-2017]]</f>
        <v>0</v>
      </c>
      <c r="AJ150" s="264">
        <f>Table51013454[[#This Row],[إجمالي المستبعد]]-Table51013454[[#This Row],[مجمع إهلاك المستبعد 
بتاريخ الأستبعاد]]</f>
        <v>0</v>
      </c>
      <c r="AK150" s="263"/>
      <c r="AL150" s="262">
        <f>IF(OR(Table51013454[[#This Row],[تاريخ الشراء-الاستلام]]="",Table51013454[[#This Row],[الإجمالي]]="",Table51013454[[#This Row],[العمر الافتراضي]]=""),"",IF(((AE150+AG150)-Table51013454[[#This Row],[مجمع إهلاك المستبعد 
بتاريخ الأستبعاد]])&lt;=0,0,((AE150+AG150)-Table51013454[[#This Row],[مجمع إهلاك المستبعد 
بتاريخ الأستبعاد]])))</f>
        <v>92093.424657534255</v>
      </c>
      <c r="AM150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الشراء-الاستلام]]&gt;DATE(2017,12,31),0,AA150-AL150)))</f>
        <v>76906.575342465745</v>
      </c>
    </row>
    <row r="151" spans="1:39" s="260" customFormat="1" ht="57.75" hidden="1" customHeight="1">
      <c r="A151" s="271">
        <f>IF(B151="","",SUBTOTAL(3,$B$6:B151))</f>
        <v>4</v>
      </c>
      <c r="B151" s="230" t="s">
        <v>454</v>
      </c>
      <c r="C151" s="215" t="s">
        <v>12</v>
      </c>
      <c r="D151" s="215"/>
      <c r="E151" s="230" t="s">
        <v>450</v>
      </c>
      <c r="F151" s="198" t="s">
        <v>165</v>
      </c>
      <c r="G151" s="198"/>
      <c r="H151" s="199" t="s">
        <v>72</v>
      </c>
      <c r="I151" s="230"/>
      <c r="J151" s="236"/>
      <c r="K151" s="213">
        <v>41475</v>
      </c>
      <c r="L151" s="235"/>
      <c r="M151" s="225"/>
      <c r="N151" s="224">
        <v>5</v>
      </c>
      <c r="O151" s="223"/>
      <c r="P151" s="258">
        <v>7000</v>
      </c>
      <c r="Q151" s="257">
        <f>P151*N151</f>
        <v>35000</v>
      </c>
      <c r="R151" s="241"/>
      <c r="S151" s="240"/>
      <c r="T151" s="256"/>
      <c r="U151" s="256"/>
      <c r="V151" s="256"/>
      <c r="W151" s="256">
        <f>Table51013454[[#This Row],[العدد]]*Table51013454[[#This Row],[السعر الافرادي]]</f>
        <v>0</v>
      </c>
      <c r="X151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1" s="254">
        <f>Table51013454[[#This Row],[الكمية]]-Table51013454[[#This Row],[العدد]]</f>
        <v>5</v>
      </c>
      <c r="Z151" s="253">
        <f>Table51013454[[#This Row],[سعر/الحبة]]</f>
        <v>7000</v>
      </c>
      <c r="AA151" s="253">
        <f>Table51013454[[#This Row],[الإجمالي]]-Table51013454[[#This Row],[إجمالي المستبعد]]</f>
        <v>35000</v>
      </c>
      <c r="AB151" s="269">
        <v>0.15</v>
      </c>
      <c r="AC151" s="231"/>
      <c r="AD151" s="198" t="s">
        <v>55</v>
      </c>
      <c r="AE151" s="249">
        <v>13822.602739726026</v>
      </c>
      <c r="AF151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الشراء-الاستلام]]&lt;DATE(2017,1,1),Q151-AE151,0))</f>
        <v>21177.397260273974</v>
      </c>
      <c r="AG151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5250</v>
      </c>
      <c r="AH151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1" s="251">
        <f>Table51013454[[#This Row],[اهلاك المستبعد
في 2017]]+Table51013454[[#This Row],[مجمع إهلاك المستبعد 
01-01-2017]]</f>
        <v>0</v>
      </c>
      <c r="AJ151" s="251">
        <f>Table51013454[[#This Row],[إجمالي المستبعد]]-Table51013454[[#This Row],[مجمع إهلاك المستبعد 
بتاريخ الأستبعاد]]</f>
        <v>0</v>
      </c>
      <c r="AK151" s="250"/>
      <c r="AL151" s="249">
        <f>IF(OR(Table51013454[[#This Row],[تاريخ الشراء-الاستلام]]="",Table51013454[[#This Row],[الإجمالي]]="",Table51013454[[#This Row],[العمر الافتراضي]]=""),"",IF(((AE151+AG151)-Table51013454[[#This Row],[مجمع إهلاك المستبعد 
بتاريخ الأستبعاد]])&lt;=0,0,((AE151+AG151)-Table51013454[[#This Row],[مجمع إهلاك المستبعد 
بتاريخ الأستبعاد]])))</f>
        <v>19072.602739726026</v>
      </c>
      <c r="AM151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الشراء-الاستلام]]&gt;DATE(2017,12,31),0,AA151-AL151)))</f>
        <v>15927.397260273974</v>
      </c>
    </row>
    <row r="152" spans="1:39" s="260" customFormat="1" ht="57.75" hidden="1" customHeight="1">
      <c r="A152" s="271">
        <f>IF(B152="","",SUBTOTAL(3,$B$6:B152))</f>
        <v>4</v>
      </c>
      <c r="B152" s="230" t="s">
        <v>455</v>
      </c>
      <c r="C152" s="215" t="s">
        <v>12</v>
      </c>
      <c r="D152" s="215"/>
      <c r="E152" s="230" t="s">
        <v>450</v>
      </c>
      <c r="F152" s="198" t="s">
        <v>165</v>
      </c>
      <c r="G152" s="198"/>
      <c r="H152" s="199" t="s">
        <v>72</v>
      </c>
      <c r="I152" s="230"/>
      <c r="J152" s="236"/>
      <c r="K152" s="213">
        <v>41475</v>
      </c>
      <c r="L152" s="235"/>
      <c r="M152" s="225"/>
      <c r="N152" s="224">
        <v>31</v>
      </c>
      <c r="O152" s="223"/>
      <c r="P152" s="258">
        <v>4500</v>
      </c>
      <c r="Q152" s="257">
        <f>P152*N152</f>
        <v>139500</v>
      </c>
      <c r="R152" s="241"/>
      <c r="S152" s="240"/>
      <c r="T152" s="256"/>
      <c r="U152" s="256"/>
      <c r="V152" s="256"/>
      <c r="W152" s="256">
        <f>Table51013454[[#This Row],[العدد]]*Table51013454[[#This Row],[السعر الافرادي]]</f>
        <v>0</v>
      </c>
      <c r="X152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2" s="254">
        <f>Table51013454[[#This Row],[الكمية]]-Table51013454[[#This Row],[العدد]]</f>
        <v>31</v>
      </c>
      <c r="Z152" s="253">
        <f>Table51013454[[#This Row],[سعر/الحبة]]</f>
        <v>4500</v>
      </c>
      <c r="AA152" s="253">
        <f>Table51013454[[#This Row],[الإجمالي]]-Table51013454[[#This Row],[إجمالي المستبعد]]</f>
        <v>139500</v>
      </c>
      <c r="AB152" s="269">
        <v>0.15</v>
      </c>
      <c r="AC152" s="231"/>
      <c r="AD152" s="198" t="s">
        <v>55</v>
      </c>
      <c r="AE152" s="249">
        <v>55092.945205479453</v>
      </c>
      <c r="AF152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الشراء-الاستلام]]&lt;DATE(2017,1,1),Q152-AE152,0))</f>
        <v>84407.054794520547</v>
      </c>
      <c r="AG152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20925</v>
      </c>
      <c r="AH152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2" s="251">
        <f>Table51013454[[#This Row],[اهلاك المستبعد
في 2017]]+Table51013454[[#This Row],[مجمع إهلاك المستبعد 
01-01-2017]]</f>
        <v>0</v>
      </c>
      <c r="AJ152" s="251">
        <f>Table51013454[[#This Row],[إجمالي المستبعد]]-Table51013454[[#This Row],[مجمع إهلاك المستبعد 
بتاريخ الأستبعاد]]</f>
        <v>0</v>
      </c>
      <c r="AK152" s="250"/>
      <c r="AL152" s="249">
        <f>IF(OR(Table51013454[[#This Row],[تاريخ الشراء-الاستلام]]="",Table51013454[[#This Row],[الإجمالي]]="",Table51013454[[#This Row],[العمر الافتراضي]]=""),"",IF(((AE152+AG152)-Table51013454[[#This Row],[مجمع إهلاك المستبعد 
بتاريخ الأستبعاد]])&lt;=0,0,((AE152+AG152)-Table51013454[[#This Row],[مجمع إهلاك المستبعد 
بتاريخ الأستبعاد]])))</f>
        <v>76017.945205479453</v>
      </c>
      <c r="AM152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الشراء-الاستلام]]&gt;DATE(2017,12,31),0,AA152-AL152)))</f>
        <v>63482.054794520547</v>
      </c>
    </row>
    <row r="153" spans="1:39" s="260" customFormat="1" ht="57.75" hidden="1" customHeight="1">
      <c r="A153" s="270">
        <f>IF(B153="","",SUBTOTAL(3,$B$6:B153))</f>
        <v>4</v>
      </c>
      <c r="B153" s="198" t="s">
        <v>113</v>
      </c>
      <c r="C153" s="215" t="s">
        <v>12</v>
      </c>
      <c r="D153" s="215"/>
      <c r="E153" s="198" t="s">
        <v>57</v>
      </c>
      <c r="F153" s="198" t="s">
        <v>165</v>
      </c>
      <c r="G153" s="198"/>
      <c r="H153" s="199" t="s">
        <v>72</v>
      </c>
      <c r="I153" s="198"/>
      <c r="J153" s="213"/>
      <c r="K153" s="213">
        <v>41475</v>
      </c>
      <c r="L153" s="212"/>
      <c r="M153" s="225"/>
      <c r="N153" s="224">
        <v>60</v>
      </c>
      <c r="O153" s="223"/>
      <c r="P153" s="258">
        <v>1100</v>
      </c>
      <c r="Q153" s="257">
        <f>P153*N153</f>
        <v>66000</v>
      </c>
      <c r="R153" s="241"/>
      <c r="S153" s="240"/>
      <c r="T153" s="256"/>
      <c r="U153" s="256"/>
      <c r="V153" s="256"/>
      <c r="W153" s="256">
        <f>Table51013454[[#This Row],[العدد]]*Table51013454[[#This Row],[السعر الافرادي]]</f>
        <v>0</v>
      </c>
      <c r="X153" s="255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3" s="267">
        <f>Table51013454[[#This Row],[الكمية]]-Table51013454[[#This Row],[العدد]]</f>
        <v>60</v>
      </c>
      <c r="Z153" s="266">
        <f>Table51013454[[#This Row],[سعر/الحبة]]</f>
        <v>1100</v>
      </c>
      <c r="AA153" s="266">
        <f>Table51013454[[#This Row],[الإجمالي]]-Table51013454[[#This Row],[إجمالي المستبعد]]</f>
        <v>66000</v>
      </c>
      <c r="AB153" s="269">
        <v>0.15</v>
      </c>
      <c r="AC153" s="199"/>
      <c r="AD153" s="198" t="s">
        <v>55</v>
      </c>
      <c r="AE153" s="249">
        <v>26065.479452054795</v>
      </c>
      <c r="AF153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الشراء-الاستلام]]&lt;DATE(2017,1,1),Q153-AE153,0))</f>
        <v>39934.520547945205</v>
      </c>
      <c r="AG153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9900</v>
      </c>
      <c r="AH153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3" s="264">
        <f>Table51013454[[#This Row],[اهلاك المستبعد
في 2017]]+Table51013454[[#This Row],[مجمع إهلاك المستبعد 
01-01-2017]]</f>
        <v>0</v>
      </c>
      <c r="AJ153" s="264">
        <f>Table51013454[[#This Row],[إجمالي المستبعد]]-Table51013454[[#This Row],[مجمع إهلاك المستبعد 
بتاريخ الأستبعاد]]</f>
        <v>0</v>
      </c>
      <c r="AK153" s="263"/>
      <c r="AL153" s="262">
        <f>IF(OR(Table51013454[[#This Row],[تاريخ الشراء-الاستلام]]="",Table51013454[[#This Row],[الإجمالي]]="",Table51013454[[#This Row],[العمر الافتراضي]]=""),"",IF(((AE153+AG153)-Table51013454[[#This Row],[مجمع إهلاك المستبعد 
بتاريخ الأستبعاد]])&lt;=0,0,((AE153+AG153)-Table51013454[[#This Row],[مجمع إهلاك المستبعد 
بتاريخ الأستبعاد]])))</f>
        <v>35965.479452054795</v>
      </c>
      <c r="AM153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الشراء-الاستلام]]&gt;DATE(2017,12,31),0,AA153-AL153)))</f>
        <v>30034.520547945205</v>
      </c>
    </row>
    <row r="154" spans="1:39" s="260" customFormat="1" ht="57.75" hidden="1" customHeight="1">
      <c r="A154" s="268">
        <f>IF(B154="","",SUBTOTAL(3,$B$6:B154))</f>
        <v>4</v>
      </c>
      <c r="B154" s="198" t="s">
        <v>101</v>
      </c>
      <c r="C154" s="215" t="s">
        <v>12</v>
      </c>
      <c r="D154" s="215"/>
      <c r="E154" s="198" t="s">
        <v>102</v>
      </c>
      <c r="F154" s="198" t="s">
        <v>52</v>
      </c>
      <c r="G154" s="198" t="s">
        <v>439</v>
      </c>
      <c r="H154" s="199" t="s">
        <v>72</v>
      </c>
      <c r="I154" s="198"/>
      <c r="J154" s="213"/>
      <c r="K154" s="213">
        <v>42998</v>
      </c>
      <c r="L154" s="212" t="s">
        <v>634</v>
      </c>
      <c r="M154" s="225" t="s">
        <v>635</v>
      </c>
      <c r="N154" s="224">
        <v>2</v>
      </c>
      <c r="O154" s="223"/>
      <c r="P154" s="258">
        <v>65000</v>
      </c>
      <c r="Q154" s="257">
        <f>P154*N154</f>
        <v>130000</v>
      </c>
      <c r="R154" s="241"/>
      <c r="S154" s="240"/>
      <c r="T154" s="256"/>
      <c r="U154" s="256"/>
      <c r="V154" s="256"/>
      <c r="W154" s="256">
        <f>Table51013454[[#This Row],[العدد]]*Table51013454[[#This Row],[السعر الافرادي]]</f>
        <v>0</v>
      </c>
      <c r="X154" s="255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4" s="267">
        <f>Table51013454[[#This Row],[الكمية]]-Table51013454[[#This Row],[العدد]]</f>
        <v>2</v>
      </c>
      <c r="Z154" s="266">
        <f>Table51013454[[#This Row],[سعر/الحبة]]</f>
        <v>65000</v>
      </c>
      <c r="AA154" s="266">
        <f>Table51013454[[#This Row],[الإجمالي]]-Table51013454[[#This Row],[إجمالي المستبعد]]</f>
        <v>130000</v>
      </c>
      <c r="AB154" s="200">
        <v>0.15</v>
      </c>
      <c r="AC154" s="199"/>
      <c r="AD154" s="198" t="s">
        <v>55</v>
      </c>
      <c r="AE154" s="262">
        <v>0</v>
      </c>
      <c r="AF154" s="262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الشراء-الاستلام]]&lt;DATE(2017,1,1),Q154-AE154,0))</f>
        <v>0</v>
      </c>
      <c r="AG154" s="265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5449.3150684931506</v>
      </c>
      <c r="AH154" s="264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4" s="264">
        <f>Table51013454[[#This Row],[اهلاك المستبعد
في 2017]]+Table51013454[[#This Row],[مجمع إهلاك المستبعد 
01-01-2017]]</f>
        <v>0</v>
      </c>
      <c r="AJ154" s="264">
        <f>Table51013454[[#This Row],[إجمالي المستبعد]]-Table51013454[[#This Row],[مجمع إهلاك المستبعد 
بتاريخ الأستبعاد]]</f>
        <v>0</v>
      </c>
      <c r="AK154" s="263"/>
      <c r="AL154" s="262">
        <f>IF(OR(Table51013454[[#This Row],[تاريخ الشراء-الاستلام]]="",Table51013454[[#This Row],[الإجمالي]]="",Table51013454[[#This Row],[العمر الافتراضي]]=""),"",IF(((AE154+AG154)-Table51013454[[#This Row],[مجمع إهلاك المستبعد 
بتاريخ الأستبعاد]])&lt;=0,0,((AE154+AG154)-Table51013454[[#This Row],[مجمع إهلاك المستبعد 
بتاريخ الأستبعاد]])))</f>
        <v>5449.3150684931506</v>
      </c>
      <c r="AM154" s="261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الشراء-الاستلام]]&gt;DATE(2017,12,31),0,AA154-AL154)))</f>
        <v>124550.68493150685</v>
      </c>
    </row>
    <row r="155" spans="1:39" ht="101.25" hidden="1">
      <c r="A155" s="239">
        <f>IF(B155="","",SUBTOTAL(3,$B$6:B155))</f>
        <v>4</v>
      </c>
      <c r="B155" s="230" t="s">
        <v>101</v>
      </c>
      <c r="C155" s="238" t="s">
        <v>12</v>
      </c>
      <c r="D155" s="238"/>
      <c r="E155" s="230" t="s">
        <v>102</v>
      </c>
      <c r="F155" s="230" t="s">
        <v>52</v>
      </c>
      <c r="G155" s="198" t="s">
        <v>439</v>
      </c>
      <c r="H155" s="231" t="s">
        <v>72</v>
      </c>
      <c r="I155" s="230"/>
      <c r="J155" s="236"/>
      <c r="K155" s="236">
        <v>43040</v>
      </c>
      <c r="L155" s="235" t="s">
        <v>634</v>
      </c>
      <c r="M155" s="242" t="s">
        <v>633</v>
      </c>
      <c r="N155" s="224">
        <v>1</v>
      </c>
      <c r="O155" s="223"/>
      <c r="P155" s="258">
        <f>48500+3250</f>
        <v>51750</v>
      </c>
      <c r="Q155" s="257">
        <f>P155*N155</f>
        <v>51750</v>
      </c>
      <c r="R155" s="241"/>
      <c r="S155" s="240"/>
      <c r="T155" s="256"/>
      <c r="U155" s="256"/>
      <c r="V155" s="256"/>
      <c r="W155" s="256">
        <f>Table51013454[[#This Row],[العدد]]*Table51013454[[#This Row],[السعر الافرادي]]</f>
        <v>0</v>
      </c>
      <c r="X155" s="255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5" s="254">
        <f>Table51013454[[#This Row],[الكمية]]-Table51013454[[#This Row],[العدد]]</f>
        <v>1</v>
      </c>
      <c r="Z155" s="253">
        <f>Table51013454[[#This Row],[سعر/الحبة]]</f>
        <v>51750</v>
      </c>
      <c r="AA155" s="253">
        <f>Table51013454[[#This Row],[الإجمالي]]-Table51013454[[#This Row],[إجمالي المستبعد]]</f>
        <v>51750</v>
      </c>
      <c r="AB155" s="232">
        <v>0.15</v>
      </c>
      <c r="AC155" s="231"/>
      <c r="AD155" s="230" t="s">
        <v>55</v>
      </c>
      <c r="AE155" s="249">
        <v>0</v>
      </c>
      <c r="AF155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الشراء-الاستلام]]&lt;DATE(2017,1,1),Q155-AE155,0))</f>
        <v>0</v>
      </c>
      <c r="AG155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1276.027397260274</v>
      </c>
      <c r="AH155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5" s="251">
        <f>Table51013454[[#This Row],[اهلاك المستبعد
في 2017]]+Table51013454[[#This Row],[مجمع إهلاك المستبعد 
01-01-2017]]</f>
        <v>0</v>
      </c>
      <c r="AJ155" s="251">
        <f>Table51013454[[#This Row],[إجمالي المستبعد]]-Table51013454[[#This Row],[مجمع إهلاك المستبعد 
بتاريخ الأستبعاد]]</f>
        <v>0</v>
      </c>
      <c r="AK155" s="250"/>
      <c r="AL155" s="249">
        <f>IF(OR(Table51013454[[#This Row],[تاريخ الشراء-الاستلام]]="",Table51013454[[#This Row],[الإجمالي]]="",Table51013454[[#This Row],[العمر الافتراضي]]=""),"",IF(((AE155+AG155)-Table51013454[[#This Row],[مجمع إهلاك المستبعد 
بتاريخ الأستبعاد]])&lt;=0,0,((AE155+AG155)-Table51013454[[#This Row],[مجمع إهلاك المستبعد 
بتاريخ الأستبعاد]])))</f>
        <v>1276.027397260274</v>
      </c>
      <c r="AM155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الشراء-الاستلام]]&gt;DATE(2017,12,31),0,AA155-AL155)))</f>
        <v>50473.972602739726</v>
      </c>
    </row>
    <row r="156" spans="1:39" ht="77.25" hidden="1">
      <c r="A156" s="246">
        <f>IF(B156="","",SUBTOTAL(3,$B$6:B279))</f>
        <v>23</v>
      </c>
      <c r="B156" s="230" t="s">
        <v>213</v>
      </c>
      <c r="C156" s="238" t="s">
        <v>12</v>
      </c>
      <c r="D156" s="238"/>
      <c r="E156" s="230" t="s">
        <v>632</v>
      </c>
      <c r="F156" s="230" t="s">
        <v>52</v>
      </c>
      <c r="G156" s="259" t="s">
        <v>439</v>
      </c>
      <c r="H156" s="231" t="s">
        <v>72</v>
      </c>
      <c r="I156" s="230"/>
      <c r="J156" s="236"/>
      <c r="K156" s="236">
        <v>42809</v>
      </c>
      <c r="L156" s="235"/>
      <c r="M156" s="225" t="s">
        <v>523</v>
      </c>
      <c r="N156" s="224">
        <v>1</v>
      </c>
      <c r="O156" s="223"/>
      <c r="P156" s="258">
        <v>1250</v>
      </c>
      <c r="Q156" s="257">
        <f>P156*N156</f>
        <v>1250</v>
      </c>
      <c r="R156" s="241"/>
      <c r="S156" s="240"/>
      <c r="T156" s="256"/>
      <c r="U156" s="256"/>
      <c r="V156" s="256"/>
      <c r="W156" s="256">
        <f>Table51013454[[#This Row],[العدد]]*Table51013454[[#This Row],[السعر الافرادي]]</f>
        <v>0</v>
      </c>
      <c r="X156" s="255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6" s="254">
        <f>Table51013454[[#This Row],[الكمية]]-Table51013454[[#This Row],[العدد]]</f>
        <v>1</v>
      </c>
      <c r="Z156" s="253">
        <f>Table51013454[[#This Row],[سعر/الحبة]]</f>
        <v>1250</v>
      </c>
      <c r="AA156" s="253">
        <f>Table51013454[[#This Row],[الإجمالي]]-Table51013454[[#This Row],[إجمالي المستبعد]]</f>
        <v>1250</v>
      </c>
      <c r="AB156" s="232">
        <v>0.15</v>
      </c>
      <c r="AC156" s="231"/>
      <c r="AD156" s="230" t="s">
        <v>55</v>
      </c>
      <c r="AE156" s="249">
        <v>0</v>
      </c>
      <c r="AF156" s="249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الشراء-الاستلام]]&lt;DATE(2017,1,1),Q156-AE156,0))</f>
        <v>0</v>
      </c>
      <c r="AG156" s="252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149.48630136986304</v>
      </c>
      <c r="AH156" s="251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6" s="251">
        <f>Table51013454[[#This Row],[اهلاك المستبعد
في 2017]]+Table51013454[[#This Row],[مجمع إهلاك المستبعد 
01-01-2017]]</f>
        <v>0</v>
      </c>
      <c r="AJ156" s="251">
        <f>Table51013454[[#This Row],[إجمالي المستبعد]]-Table51013454[[#This Row],[مجمع إهلاك المستبعد 
بتاريخ الأستبعاد]]</f>
        <v>0</v>
      </c>
      <c r="AK156" s="250"/>
      <c r="AL156" s="249">
        <f>IF(OR(Table51013454[[#This Row],[تاريخ الشراء-الاستلام]]="",Table51013454[[#This Row],[الإجمالي]]="",Table51013454[[#This Row],[العمر الافتراضي]]=""),"",IF(((AE156+AG156)-Table51013454[[#This Row],[مجمع إهلاك المستبعد 
بتاريخ الأستبعاد]])&lt;=0,0,((AE156+AG156)-Table51013454[[#This Row],[مجمع إهلاك المستبعد 
بتاريخ الأستبعاد]])))</f>
        <v>149.48630136986304</v>
      </c>
      <c r="AM156" s="248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الشراء-الاستلام]]&gt;DATE(2017,12,31),0,AA156-AL156)))</f>
        <v>1100.513698630137</v>
      </c>
    </row>
    <row r="157" spans="1:39" ht="77.25" hidden="1">
      <c r="A157" s="226">
        <f>IF(B157="","",SUBTOTAL(3,$B$6:B279))</f>
        <v>23</v>
      </c>
      <c r="B157" s="198" t="s">
        <v>631</v>
      </c>
      <c r="C157" s="215" t="s">
        <v>12</v>
      </c>
      <c r="D157" s="215"/>
      <c r="E157" s="198" t="s">
        <v>630</v>
      </c>
      <c r="F157" s="198" t="s">
        <v>52</v>
      </c>
      <c r="G157" s="198" t="s">
        <v>437</v>
      </c>
      <c r="H157" s="199" t="s">
        <v>72</v>
      </c>
      <c r="I157" s="198"/>
      <c r="J157" s="213"/>
      <c r="K157" s="247" t="s">
        <v>629</v>
      </c>
      <c r="L157" s="212" t="s">
        <v>628</v>
      </c>
      <c r="M157" s="225" t="s">
        <v>627</v>
      </c>
      <c r="N157" s="224">
        <v>1</v>
      </c>
      <c r="O157" s="223"/>
      <c r="P157" s="222">
        <v>11460000</v>
      </c>
      <c r="Q157" s="221">
        <f>P157*N157</f>
        <v>11460000</v>
      </c>
      <c r="R157" s="220"/>
      <c r="S157" s="219"/>
      <c r="T157" s="218"/>
      <c r="U157" s="218"/>
      <c r="V157" s="218"/>
      <c r="W157" s="218">
        <f>Table51013454[[#This Row],[العدد]]*Table51013454[[#This Row],[السعر الافرادي]]</f>
        <v>0</v>
      </c>
      <c r="X15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7" s="202">
        <f>Table51013454[[#This Row],[الكمية]]-Table51013454[[#This Row],[العدد]]</f>
        <v>1</v>
      </c>
      <c r="Z157" s="201">
        <f>Table51013454[[#This Row],[سعر/الحبة]]</f>
        <v>11460000</v>
      </c>
      <c r="AA157" s="201">
        <f>Table51013454[[#This Row],[الإجمالي]]-Table51013454[[#This Row],[إجمالي المستبعد]]</f>
        <v>11460000</v>
      </c>
      <c r="AB157" s="200">
        <v>0</v>
      </c>
      <c r="AC157" s="199"/>
      <c r="AD157" s="198" t="s">
        <v>55</v>
      </c>
      <c r="AE157" s="194">
        <v>0</v>
      </c>
      <c r="AF157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الشراء-الاستلام]]&lt;DATE(2017,1,1),Q157-AE157,0))</f>
        <v>0</v>
      </c>
      <c r="AG157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5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7" s="196">
        <f>Table51013454[[#This Row],[اهلاك المستبعد
في 2017]]+Table51013454[[#This Row],[مجمع إهلاك المستبعد 
01-01-2017]]</f>
        <v>0</v>
      </c>
      <c r="AJ157" s="196">
        <f>Table51013454[[#This Row],[إجمالي المستبعد]]-Table51013454[[#This Row],[مجمع إهلاك المستبعد 
بتاريخ الأستبعاد]]</f>
        <v>0</v>
      </c>
      <c r="AK157" s="195"/>
      <c r="AL157" s="194">
        <f>IF(OR(Table51013454[[#This Row],[تاريخ الشراء-الاستلام]]="",Table51013454[[#This Row],[الإجمالي]]="",Table51013454[[#This Row],[العمر الافتراضي]]=""),"",IF(((AE157+AG157)-Table51013454[[#This Row],[مجمع إهلاك المستبعد 
بتاريخ الأستبعاد]])&lt;=0,0,((AE157+AG157)-Table51013454[[#This Row],[مجمع إهلاك المستبعد 
بتاريخ الأستبعاد]])))</f>
        <v>0</v>
      </c>
      <c r="AM157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الشراء-الاستلام]]&gt;DATE(2017,12,31),0,AA157-AL157)))</f>
        <v>11460000</v>
      </c>
    </row>
    <row r="158" spans="1:39" ht="77.25" hidden="1">
      <c r="A158" s="226">
        <f>IF(B158="","",SUBTOTAL(3,$B$6:B279))</f>
        <v>23</v>
      </c>
      <c r="B158" s="198" t="s">
        <v>626</v>
      </c>
      <c r="C158" s="215" t="s">
        <v>12</v>
      </c>
      <c r="D158" s="215"/>
      <c r="E158" s="198" t="s">
        <v>625</v>
      </c>
      <c r="F158" s="198" t="s">
        <v>52</v>
      </c>
      <c r="G158" s="198" t="s">
        <v>436</v>
      </c>
      <c r="H158" s="199" t="s">
        <v>72</v>
      </c>
      <c r="I158" s="198"/>
      <c r="J158" s="213">
        <v>1764</v>
      </c>
      <c r="K158" s="213">
        <v>43070</v>
      </c>
      <c r="L158" s="212" t="s">
        <v>624</v>
      </c>
      <c r="M158" s="242" t="s">
        <v>623</v>
      </c>
      <c r="N158" s="224">
        <v>1</v>
      </c>
      <c r="O158" s="223"/>
      <c r="P158" s="222">
        <v>108700</v>
      </c>
      <c r="Q158" s="221">
        <f>P158*N158</f>
        <v>108700</v>
      </c>
      <c r="R158" s="220"/>
      <c r="S158" s="219"/>
      <c r="T158" s="218"/>
      <c r="U158" s="218"/>
      <c r="V158" s="218"/>
      <c r="W158" s="218">
        <f>Table51013454[[#This Row],[العدد]]*Table51013454[[#This Row],[السعر الافرادي]]</f>
        <v>0</v>
      </c>
      <c r="X15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8" s="202">
        <f>Table51013454[[#This Row],[الكمية]]-Table51013454[[#This Row],[العدد]]</f>
        <v>1</v>
      </c>
      <c r="Z158" s="201">
        <f>Table51013454[[#This Row],[سعر/الحبة]]</f>
        <v>108700</v>
      </c>
      <c r="AA158" s="201">
        <f>Table51013454[[#This Row],[الإجمالي]]-Table51013454[[#This Row],[إجمالي المستبعد]]</f>
        <v>108700</v>
      </c>
      <c r="AB158" s="200">
        <v>0.25</v>
      </c>
      <c r="AC158" s="199"/>
      <c r="AD158" s="198" t="s">
        <v>55</v>
      </c>
      <c r="AE158" s="194"/>
      <c r="AF15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الشراء-الاستلام]]&lt;DATE(2017,1,1),Q158-AE158,0))</f>
        <v>0</v>
      </c>
      <c r="AG15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2233.5616438356165</v>
      </c>
      <c r="AH15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8" s="196">
        <f>Table51013454[[#This Row],[اهلاك المستبعد
في 2017]]+Table51013454[[#This Row],[مجمع إهلاك المستبعد 
01-01-2017]]</f>
        <v>0</v>
      </c>
      <c r="AJ158" s="196">
        <f>Table51013454[[#This Row],[إجمالي المستبعد]]-Table51013454[[#This Row],[مجمع إهلاك المستبعد 
بتاريخ الأستبعاد]]</f>
        <v>0</v>
      </c>
      <c r="AK158" s="195"/>
      <c r="AL158" s="194">
        <f>IF(OR(Table51013454[[#This Row],[تاريخ الشراء-الاستلام]]="",Table51013454[[#This Row],[الإجمالي]]="",Table51013454[[#This Row],[العمر الافتراضي]]=""),"",IF(((AE158+AG158)-Table51013454[[#This Row],[مجمع إهلاك المستبعد 
بتاريخ الأستبعاد]])&lt;=0,0,((AE158+AG158)-Table51013454[[#This Row],[مجمع إهلاك المستبعد 
بتاريخ الأستبعاد]])))</f>
        <v>2233.5616438356165</v>
      </c>
      <c r="AM15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الشراء-الاستلام]]&gt;DATE(2017,12,31),0,AA158-AL158)))</f>
        <v>106466.43835616438</v>
      </c>
    </row>
    <row r="159" spans="1:39" ht="78" hidden="1">
      <c r="A159" s="226">
        <f>IF(B159="","",SUBTOTAL(3,$B$6:B279))</f>
        <v>23</v>
      </c>
      <c r="B159" s="198" t="s">
        <v>609</v>
      </c>
      <c r="C159" s="215" t="s">
        <v>12</v>
      </c>
      <c r="D159" s="215"/>
      <c r="E159" s="198" t="s">
        <v>31</v>
      </c>
      <c r="F159" s="198" t="s">
        <v>52</v>
      </c>
      <c r="G159" s="198" t="s">
        <v>439</v>
      </c>
      <c r="H159" s="199" t="s">
        <v>72</v>
      </c>
      <c r="I159" s="198"/>
      <c r="J159" s="214" t="s">
        <v>622</v>
      </c>
      <c r="K159" s="213">
        <v>42760</v>
      </c>
      <c r="L159" s="212"/>
      <c r="M159" s="225" t="s">
        <v>621</v>
      </c>
      <c r="N159" s="224">
        <v>1</v>
      </c>
      <c r="O159" s="223"/>
      <c r="P159" s="222">
        <v>36300</v>
      </c>
      <c r="Q159" s="221">
        <f>P159*N159</f>
        <v>36300</v>
      </c>
      <c r="R159" s="220"/>
      <c r="S159" s="219"/>
      <c r="T159" s="218"/>
      <c r="U159" s="218"/>
      <c r="V159" s="218"/>
      <c r="W159" s="218">
        <f>Table51013454[[#This Row],[العدد]]*Table51013454[[#This Row],[السعر الافرادي]]</f>
        <v>0</v>
      </c>
      <c r="X159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59" s="202">
        <f>Table51013454[[#This Row],[الكمية]]-Table51013454[[#This Row],[العدد]]</f>
        <v>1</v>
      </c>
      <c r="Z159" s="201">
        <f>Table51013454[[#This Row],[سعر/الحبة]]</f>
        <v>36300</v>
      </c>
      <c r="AA159" s="201">
        <f>Table51013454[[#This Row],[الإجمالي]]-Table51013454[[#This Row],[إجمالي المستبعد]]</f>
        <v>36300</v>
      </c>
      <c r="AB159" s="200">
        <v>0.25</v>
      </c>
      <c r="AC159" s="199"/>
      <c r="AD159" s="198" t="s">
        <v>55</v>
      </c>
      <c r="AE159" s="194"/>
      <c r="AF15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الشراء-الاستلام]]&lt;DATE(2017,1,1),Q159-AE159,0))</f>
        <v>0</v>
      </c>
      <c r="AG15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8453.4246575342459</v>
      </c>
      <c r="AH15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59" s="196">
        <f>Table51013454[[#This Row],[اهلاك المستبعد
في 2017]]+Table51013454[[#This Row],[مجمع إهلاك المستبعد 
01-01-2017]]</f>
        <v>0</v>
      </c>
      <c r="AJ159" s="196">
        <f>Table51013454[[#This Row],[إجمالي المستبعد]]-Table51013454[[#This Row],[مجمع إهلاك المستبعد 
بتاريخ الأستبعاد]]</f>
        <v>0</v>
      </c>
      <c r="AK159" s="195"/>
      <c r="AL159" s="194">
        <f>IF(OR(Table51013454[[#This Row],[تاريخ الشراء-الاستلام]]="",Table51013454[[#This Row],[الإجمالي]]="",Table51013454[[#This Row],[العمر الافتراضي]]=""),"",IF(((AE159+AG159)-Table51013454[[#This Row],[مجمع إهلاك المستبعد 
بتاريخ الأستبعاد]])&lt;=0,0,((AE159+AG159)-Table51013454[[#This Row],[مجمع إهلاك المستبعد 
بتاريخ الأستبعاد]])))</f>
        <v>8453.4246575342459</v>
      </c>
      <c r="AM15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الشراء-الاستلام]]&gt;DATE(2017,12,31),0,AA159-AL159)))</f>
        <v>27846.575342465752</v>
      </c>
    </row>
    <row r="160" spans="1:39" ht="78" hidden="1">
      <c r="A160" s="226">
        <f>IF(B160="","",SUBTOTAL(3,$B$6:B279))</f>
        <v>23</v>
      </c>
      <c r="B160" s="198" t="s">
        <v>609</v>
      </c>
      <c r="C160" s="215" t="s">
        <v>12</v>
      </c>
      <c r="D160" s="215"/>
      <c r="E160" s="198" t="s">
        <v>31</v>
      </c>
      <c r="F160" s="198" t="s">
        <v>123</v>
      </c>
      <c r="G160" s="198"/>
      <c r="H160" s="199" t="s">
        <v>72</v>
      </c>
      <c r="I160" s="198"/>
      <c r="J160" s="214" t="s">
        <v>620</v>
      </c>
      <c r="K160" s="213">
        <v>42740</v>
      </c>
      <c r="L160" s="212"/>
      <c r="M160" s="225" t="s">
        <v>619</v>
      </c>
      <c r="N160" s="224">
        <v>1</v>
      </c>
      <c r="O160" s="223"/>
      <c r="P160" s="222">
        <v>13836</v>
      </c>
      <c r="Q160" s="221">
        <f>P160*N160</f>
        <v>13836</v>
      </c>
      <c r="R160" s="220"/>
      <c r="S160" s="219"/>
      <c r="T160" s="218"/>
      <c r="U160" s="218"/>
      <c r="V160" s="218"/>
      <c r="W160" s="218">
        <f>Table51013454[[#This Row],[العدد]]*Table51013454[[#This Row],[السعر الافرادي]]</f>
        <v>0</v>
      </c>
      <c r="X160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0" s="202">
        <f>Table51013454[[#This Row],[الكمية]]-Table51013454[[#This Row],[العدد]]</f>
        <v>1</v>
      </c>
      <c r="Z160" s="201">
        <f>Table51013454[[#This Row],[سعر/الحبة]]</f>
        <v>13836</v>
      </c>
      <c r="AA160" s="201">
        <f>Table51013454[[#This Row],[الإجمالي]]-Table51013454[[#This Row],[إجمالي المستبعد]]</f>
        <v>13836</v>
      </c>
      <c r="AB160" s="200">
        <v>0.25</v>
      </c>
      <c r="AC160" s="199"/>
      <c r="AD160" s="198" t="s">
        <v>55</v>
      </c>
      <c r="AE160" s="194"/>
      <c r="AF160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الشراء-الاستلام]]&lt;DATE(2017,1,1),Q160-AE160,0))</f>
        <v>0</v>
      </c>
      <c r="AG160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3411.6164383561641</v>
      </c>
      <c r="AH16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0" s="196">
        <f>Table51013454[[#This Row],[اهلاك المستبعد
في 2017]]+Table51013454[[#This Row],[مجمع إهلاك المستبعد 
01-01-2017]]</f>
        <v>0</v>
      </c>
      <c r="AJ160" s="196">
        <f>Table51013454[[#This Row],[إجمالي المستبعد]]-Table51013454[[#This Row],[مجمع إهلاك المستبعد 
بتاريخ الأستبعاد]]</f>
        <v>0</v>
      </c>
      <c r="AK160" s="195"/>
      <c r="AL160" s="194">
        <f>IF(OR(Table51013454[[#This Row],[تاريخ الشراء-الاستلام]]="",Table51013454[[#This Row],[الإجمالي]]="",Table51013454[[#This Row],[العمر الافتراضي]]=""),"",IF(((AE160+AG160)-Table51013454[[#This Row],[مجمع إهلاك المستبعد 
بتاريخ الأستبعاد]])&lt;=0,0,((AE160+AG160)-Table51013454[[#This Row],[مجمع إهلاك المستبعد 
بتاريخ الأستبعاد]])))</f>
        <v>3411.6164383561641</v>
      </c>
      <c r="AM160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الشراء-الاستلام]]&gt;DATE(2017,12,31),0,AA160-AL160)))</f>
        <v>10424.383561643835</v>
      </c>
    </row>
    <row r="161" spans="1:39" ht="77.25" hidden="1">
      <c r="A161" s="226">
        <f>IF(B161="","",SUBTOTAL(3,$B$6:B279))</f>
        <v>23</v>
      </c>
      <c r="B161" s="198" t="s">
        <v>609</v>
      </c>
      <c r="C161" s="215" t="s">
        <v>12</v>
      </c>
      <c r="D161" s="215"/>
      <c r="E161" s="198" t="s">
        <v>31</v>
      </c>
      <c r="F161" s="198" t="s">
        <v>52</v>
      </c>
      <c r="G161" s="198" t="s">
        <v>439</v>
      </c>
      <c r="H161" s="199" t="s">
        <v>72</v>
      </c>
      <c r="I161" s="198"/>
      <c r="J161" s="213"/>
      <c r="K161" s="213">
        <v>42848</v>
      </c>
      <c r="L161" s="212"/>
      <c r="M161" s="225" t="s">
        <v>618</v>
      </c>
      <c r="N161" s="224">
        <v>1</v>
      </c>
      <c r="O161" s="223"/>
      <c r="P161" s="222">
        <v>16000</v>
      </c>
      <c r="Q161" s="221">
        <f>P161*N161</f>
        <v>16000</v>
      </c>
      <c r="R161" s="220" t="s">
        <v>613</v>
      </c>
      <c r="S161" s="219">
        <v>42848</v>
      </c>
      <c r="T161" s="218">
        <v>1</v>
      </c>
      <c r="U161" s="218" t="s">
        <v>612</v>
      </c>
      <c r="V161" s="218">
        <v>16000</v>
      </c>
      <c r="W161" s="218">
        <f>Table51013454[[#This Row],[العدد]]*Table51013454[[#This Row],[السعر الافرادي]]</f>
        <v>16000</v>
      </c>
      <c r="X161" s="217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1" s="202">
        <f>Table51013454[[#This Row],[الكمية]]-Table51013454[[#This Row],[العدد]]</f>
        <v>0</v>
      </c>
      <c r="Z161" s="201">
        <f>Table51013454[[#This Row],[سعر/الحبة]]</f>
        <v>16000</v>
      </c>
      <c r="AA161" s="201">
        <f>Table51013454[[#This Row],[الإجمالي]]-Table51013454[[#This Row],[إجمالي المستبعد]]</f>
        <v>0</v>
      </c>
      <c r="AB161" s="200">
        <v>0.25</v>
      </c>
      <c r="AC161" s="199"/>
      <c r="AD161" s="198" t="s">
        <v>55</v>
      </c>
      <c r="AE161" s="194"/>
      <c r="AF161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الشراء-الاستلام]]&lt;DATE(2017,1,1),Q161-AE161,0))</f>
        <v>0</v>
      </c>
      <c r="AG161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6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1" s="196">
        <f>Table51013454[[#This Row],[اهلاك المستبعد
في 2017]]+Table51013454[[#This Row],[مجمع إهلاك المستبعد 
01-01-2017]]</f>
        <v>0</v>
      </c>
      <c r="AJ161" s="196">
        <f>Table51013454[[#This Row],[إجمالي المستبعد]]-Table51013454[[#This Row],[مجمع إهلاك المستبعد 
بتاريخ الأستبعاد]]</f>
        <v>16000</v>
      </c>
      <c r="AK161" s="195"/>
      <c r="AL161" s="194">
        <f>IF(OR(Table51013454[[#This Row],[تاريخ الشراء-الاستلام]]="",Table51013454[[#This Row],[الإجمالي]]="",Table51013454[[#This Row],[العمر الافتراضي]]=""),"",IF(((AE161+AG161)-Table51013454[[#This Row],[مجمع إهلاك المستبعد 
بتاريخ الأستبعاد]])&lt;=0,0,((AE161+AG161)-Table51013454[[#This Row],[مجمع إهلاك المستبعد 
بتاريخ الأستبعاد]])))</f>
        <v>0</v>
      </c>
      <c r="AM161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الشراء-الاستلام]]&gt;DATE(2017,12,31),0,AA161-AL161)))</f>
        <v>0</v>
      </c>
    </row>
    <row r="162" spans="1:39" ht="77.25" hidden="1">
      <c r="A162" s="226">
        <f>IF(B162="","",SUBTOTAL(3,$B$6:B279))</f>
        <v>23</v>
      </c>
      <c r="B162" s="198" t="s">
        <v>609</v>
      </c>
      <c r="C162" s="215" t="s">
        <v>12</v>
      </c>
      <c r="D162" s="215"/>
      <c r="E162" s="198" t="s">
        <v>31</v>
      </c>
      <c r="F162" s="198" t="s">
        <v>52</v>
      </c>
      <c r="G162" s="198" t="s">
        <v>439</v>
      </c>
      <c r="H162" s="199" t="s">
        <v>72</v>
      </c>
      <c r="I162" s="198"/>
      <c r="J162" s="213">
        <v>8875</v>
      </c>
      <c r="K162" s="213">
        <v>42917</v>
      </c>
      <c r="L162" s="212"/>
      <c r="M162" s="225" t="s">
        <v>617</v>
      </c>
      <c r="N162" s="224">
        <v>1</v>
      </c>
      <c r="O162" s="223"/>
      <c r="P162" s="222">
        <v>9205</v>
      </c>
      <c r="Q162" s="221">
        <f>P162*N162</f>
        <v>9205</v>
      </c>
      <c r="R162" s="220" t="s">
        <v>613</v>
      </c>
      <c r="S162" s="219">
        <v>42917</v>
      </c>
      <c r="T162" s="218">
        <v>1</v>
      </c>
      <c r="U162" s="218" t="s">
        <v>612</v>
      </c>
      <c r="V162" s="218">
        <v>9205</v>
      </c>
      <c r="W162" s="218">
        <f>Table51013454[[#This Row],[العدد]]*Table51013454[[#This Row],[السعر الافرادي]]</f>
        <v>9205</v>
      </c>
      <c r="X162" s="217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2" s="202">
        <f>Table51013454[[#This Row],[الكمية]]-Table51013454[[#This Row],[العدد]]</f>
        <v>0</v>
      </c>
      <c r="Z162" s="201">
        <f>Table51013454[[#This Row],[سعر/الحبة]]</f>
        <v>9205</v>
      </c>
      <c r="AA162" s="201">
        <f>Table51013454[[#This Row],[الإجمالي]]-Table51013454[[#This Row],[إجمالي المستبعد]]</f>
        <v>0</v>
      </c>
      <c r="AB162" s="200">
        <v>0.25</v>
      </c>
      <c r="AC162" s="199"/>
      <c r="AD162" s="198" t="s">
        <v>55</v>
      </c>
      <c r="AE162" s="194"/>
      <c r="AF162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الشراء-الاستلام]]&lt;DATE(2017,1,1),Q162-AE162,0))</f>
        <v>0</v>
      </c>
      <c r="AG162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6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2" s="196">
        <f>Table51013454[[#This Row],[اهلاك المستبعد
في 2017]]+Table51013454[[#This Row],[مجمع إهلاك المستبعد 
01-01-2017]]</f>
        <v>0</v>
      </c>
      <c r="AJ162" s="196">
        <f>Table51013454[[#This Row],[إجمالي المستبعد]]-Table51013454[[#This Row],[مجمع إهلاك المستبعد 
بتاريخ الأستبعاد]]</f>
        <v>9205</v>
      </c>
      <c r="AK162" s="195"/>
      <c r="AL162" s="194">
        <f>IF(OR(Table51013454[[#This Row],[تاريخ الشراء-الاستلام]]="",Table51013454[[#This Row],[الإجمالي]]="",Table51013454[[#This Row],[العمر الافتراضي]]=""),"",IF(((AE162+AG162)-Table51013454[[#This Row],[مجمع إهلاك المستبعد 
بتاريخ الأستبعاد]])&lt;=0,0,((AE162+AG162)-Table51013454[[#This Row],[مجمع إهلاك المستبعد 
بتاريخ الأستبعاد]])))</f>
        <v>0</v>
      </c>
      <c r="AM162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الشراء-الاستلام]]&gt;DATE(2017,12,31),0,AA162-AL162)))</f>
        <v>0</v>
      </c>
    </row>
    <row r="163" spans="1:39" ht="77.25" hidden="1">
      <c r="A163" s="226">
        <f>IF(B163="","",SUBTOTAL(3,$B$6:B279))</f>
        <v>23</v>
      </c>
      <c r="B163" s="198" t="s">
        <v>616</v>
      </c>
      <c r="C163" s="215" t="s">
        <v>12</v>
      </c>
      <c r="D163" s="215"/>
      <c r="E163" s="198" t="s">
        <v>31</v>
      </c>
      <c r="F163" s="198" t="s">
        <v>52</v>
      </c>
      <c r="G163" s="198" t="s">
        <v>436</v>
      </c>
      <c r="H163" s="199" t="s">
        <v>72</v>
      </c>
      <c r="I163" s="198"/>
      <c r="J163" s="213">
        <v>8872</v>
      </c>
      <c r="K163" s="213">
        <v>42887</v>
      </c>
      <c r="L163" s="212" t="s">
        <v>615</v>
      </c>
      <c r="M163" s="242" t="s">
        <v>577</v>
      </c>
      <c r="N163" s="224">
        <v>1</v>
      </c>
      <c r="O163" s="223"/>
      <c r="P163" s="222">
        <v>90000</v>
      </c>
      <c r="Q163" s="221">
        <f>P163*N163</f>
        <v>90000</v>
      </c>
      <c r="R163" s="220"/>
      <c r="S163" s="219"/>
      <c r="T163" s="218"/>
      <c r="U163" s="218"/>
      <c r="V163" s="218"/>
      <c r="W163" s="218">
        <f>Table51013454[[#This Row],[العدد]]*Table51013454[[#This Row],[السعر الافرادي]]</f>
        <v>0</v>
      </c>
      <c r="X16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3" s="202">
        <f>Table51013454[[#This Row],[الكمية]]-Table51013454[[#This Row],[العدد]]</f>
        <v>1</v>
      </c>
      <c r="Z163" s="201">
        <f>Table51013454[[#This Row],[سعر/الحبة]]</f>
        <v>90000</v>
      </c>
      <c r="AA163" s="201">
        <f>Table51013454[[#This Row],[الإجمالي]]-Table51013454[[#This Row],[إجمالي المستبعد]]</f>
        <v>90000</v>
      </c>
      <c r="AB163" s="200">
        <v>0.25</v>
      </c>
      <c r="AC163" s="199"/>
      <c r="AD163" s="198" t="s">
        <v>55</v>
      </c>
      <c r="AE163" s="194"/>
      <c r="AF16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الشراء-الاستلام]]&lt;DATE(2017,1,1),Q163-AE163,0))</f>
        <v>0</v>
      </c>
      <c r="AG16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3" s="196">
        <f>Table51013454[[#This Row],[اهلاك المستبعد
في 2017]]+Table51013454[[#This Row],[مجمع إهلاك المستبعد 
01-01-2017]]</f>
        <v>0</v>
      </c>
      <c r="AJ163" s="196">
        <f>Table51013454[[#This Row],[إجمالي المستبعد]]-Table51013454[[#This Row],[مجمع إهلاك المستبعد 
بتاريخ الأستبعاد]]</f>
        <v>0</v>
      </c>
      <c r="AK163" s="195"/>
      <c r="AL163" s="194">
        <f>IF(OR(Table51013454[[#This Row],[تاريخ الشراء-الاستلام]]="",Table51013454[[#This Row],[الإجمالي]]="",Table51013454[[#This Row],[العمر الافتراضي]]=""),"",IF(((AE163+AG163)-Table51013454[[#This Row],[مجمع إهلاك المستبعد 
بتاريخ الأستبعاد]])&lt;=0,0,((AE163+AG163)-Table51013454[[#This Row],[مجمع إهلاك المستبعد 
بتاريخ الأستبعاد]])))</f>
        <v>13130.13698630137</v>
      </c>
      <c r="AM16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الشراء-الاستلام]]&gt;DATE(2017,12,31),0,AA163-AL163)))</f>
        <v>76869.863013698632</v>
      </c>
    </row>
    <row r="164" spans="1:39" ht="77.25" hidden="1">
      <c r="A164" s="226">
        <f>IF(B164="","",SUBTOTAL(3,$B$6:B279))</f>
        <v>23</v>
      </c>
      <c r="B164" s="198" t="s">
        <v>616</v>
      </c>
      <c r="C164" s="215" t="s">
        <v>12</v>
      </c>
      <c r="D164" s="215"/>
      <c r="E164" s="198" t="s">
        <v>31</v>
      </c>
      <c r="F164" s="198" t="s">
        <v>52</v>
      </c>
      <c r="G164" s="198" t="s">
        <v>436</v>
      </c>
      <c r="H164" s="199" t="s">
        <v>72</v>
      </c>
      <c r="I164" s="198"/>
      <c r="J164" s="213">
        <v>8873</v>
      </c>
      <c r="K164" s="213">
        <v>42887</v>
      </c>
      <c r="L164" s="212" t="s">
        <v>615</v>
      </c>
      <c r="M164" s="242" t="s">
        <v>577</v>
      </c>
      <c r="N164" s="224">
        <v>1</v>
      </c>
      <c r="O164" s="223"/>
      <c r="P164" s="222">
        <v>90000</v>
      </c>
      <c r="Q164" s="221">
        <f>P164*N164</f>
        <v>90000</v>
      </c>
      <c r="R164" s="220"/>
      <c r="S164" s="219"/>
      <c r="T164" s="218"/>
      <c r="U164" s="218"/>
      <c r="V164" s="218"/>
      <c r="W164" s="218">
        <f>Table51013454[[#This Row],[العدد]]*Table51013454[[#This Row],[السعر الافرادي]]</f>
        <v>0</v>
      </c>
      <c r="X164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4" s="202">
        <f>Table51013454[[#This Row],[الكمية]]-Table51013454[[#This Row],[العدد]]</f>
        <v>1</v>
      </c>
      <c r="Z164" s="201">
        <f>Table51013454[[#This Row],[سعر/الحبة]]</f>
        <v>90000</v>
      </c>
      <c r="AA164" s="201">
        <f>Table51013454[[#This Row],[الإجمالي]]-Table51013454[[#This Row],[إجمالي المستبعد]]</f>
        <v>90000</v>
      </c>
      <c r="AB164" s="200">
        <v>0.25</v>
      </c>
      <c r="AC164" s="199"/>
      <c r="AD164" s="198" t="s">
        <v>55</v>
      </c>
      <c r="AE164" s="194"/>
      <c r="AF164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الشراء-الاستلام]]&lt;DATE(2017,1,1),Q164-AE164,0))</f>
        <v>0</v>
      </c>
      <c r="AG164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4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4" s="196">
        <f>Table51013454[[#This Row],[اهلاك المستبعد
في 2017]]+Table51013454[[#This Row],[مجمع إهلاك المستبعد 
01-01-2017]]</f>
        <v>0</v>
      </c>
      <c r="AJ164" s="196">
        <f>Table51013454[[#This Row],[إجمالي المستبعد]]-Table51013454[[#This Row],[مجمع إهلاك المستبعد 
بتاريخ الأستبعاد]]</f>
        <v>0</v>
      </c>
      <c r="AK164" s="195"/>
      <c r="AL164" s="194">
        <f>IF(OR(Table51013454[[#This Row],[تاريخ الشراء-الاستلام]]="",Table51013454[[#This Row],[الإجمالي]]="",Table51013454[[#This Row],[العمر الافتراضي]]=""),"",IF(((AE164+AG164)-Table51013454[[#This Row],[مجمع إهلاك المستبعد 
بتاريخ الأستبعاد]])&lt;=0,0,((AE164+AG164)-Table51013454[[#This Row],[مجمع إهلاك المستبعد 
بتاريخ الأستبعاد]])))</f>
        <v>13130.13698630137</v>
      </c>
      <c r="AM164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الشراء-الاستلام]]&gt;DATE(2017,12,31),0,AA164-AL164)))</f>
        <v>76869.863013698632</v>
      </c>
    </row>
    <row r="165" spans="1:39" ht="77.25" hidden="1">
      <c r="A165" s="226">
        <f>IF(B165="","",SUBTOTAL(3,$B$6:B279))</f>
        <v>23</v>
      </c>
      <c r="B165" s="198" t="s">
        <v>616</v>
      </c>
      <c r="C165" s="215" t="s">
        <v>12</v>
      </c>
      <c r="D165" s="215"/>
      <c r="E165" s="198" t="s">
        <v>31</v>
      </c>
      <c r="F165" s="198" t="s">
        <v>52</v>
      </c>
      <c r="G165" s="198" t="s">
        <v>436</v>
      </c>
      <c r="H165" s="199" t="s">
        <v>72</v>
      </c>
      <c r="I165" s="198"/>
      <c r="J165" s="213">
        <v>8874</v>
      </c>
      <c r="K165" s="213">
        <v>42887</v>
      </c>
      <c r="L165" s="212" t="s">
        <v>615</v>
      </c>
      <c r="M165" s="225" t="s">
        <v>614</v>
      </c>
      <c r="N165" s="224">
        <v>1</v>
      </c>
      <c r="O165" s="223"/>
      <c r="P165" s="222">
        <v>90000</v>
      </c>
      <c r="Q165" s="221">
        <f>P165*N165</f>
        <v>90000</v>
      </c>
      <c r="R165" s="220"/>
      <c r="S165" s="219"/>
      <c r="T165" s="218"/>
      <c r="U165" s="218"/>
      <c r="V165" s="218"/>
      <c r="W165" s="218">
        <f>Table51013454[[#This Row],[العدد]]*Table51013454[[#This Row],[السعر الافرادي]]</f>
        <v>0</v>
      </c>
      <c r="X165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5" s="202">
        <f>Table51013454[[#This Row],[الكمية]]-Table51013454[[#This Row],[العدد]]</f>
        <v>1</v>
      </c>
      <c r="Z165" s="201">
        <f>Table51013454[[#This Row],[سعر/الحبة]]</f>
        <v>90000</v>
      </c>
      <c r="AA165" s="201">
        <f>Table51013454[[#This Row],[الإجمالي]]-Table51013454[[#This Row],[إجمالي المستبعد]]</f>
        <v>90000</v>
      </c>
      <c r="AB165" s="200">
        <v>0.25</v>
      </c>
      <c r="AC165" s="199"/>
      <c r="AD165" s="198" t="s">
        <v>55</v>
      </c>
      <c r="AE165" s="194"/>
      <c r="AF16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الشراء-الاستلام]]&lt;DATE(2017,1,1),Q165-AE165,0))</f>
        <v>0</v>
      </c>
      <c r="AG16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5" s="196">
        <f>Table51013454[[#This Row],[اهلاك المستبعد
في 2017]]+Table51013454[[#This Row],[مجمع إهلاك المستبعد 
01-01-2017]]</f>
        <v>0</v>
      </c>
      <c r="AJ165" s="196">
        <f>Table51013454[[#This Row],[إجمالي المستبعد]]-Table51013454[[#This Row],[مجمع إهلاك المستبعد 
بتاريخ الأستبعاد]]</f>
        <v>0</v>
      </c>
      <c r="AK165" s="195"/>
      <c r="AL165" s="194">
        <f>IF(OR(Table51013454[[#This Row],[تاريخ الشراء-الاستلام]]="",Table51013454[[#This Row],[الإجمالي]]="",Table51013454[[#This Row],[العمر الافتراضي]]=""),"",IF(((AE165+AG165)-Table51013454[[#This Row],[مجمع إهلاك المستبعد 
بتاريخ الأستبعاد]])&lt;=0,0,((AE165+AG165)-Table51013454[[#This Row],[مجمع إهلاك المستبعد 
بتاريخ الأستبعاد]])))</f>
        <v>13130.13698630137</v>
      </c>
      <c r="AM16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الشراء-الاستلام]]&gt;DATE(2017,12,31),0,AA165-AL165)))</f>
        <v>76869.863013698632</v>
      </c>
    </row>
    <row r="166" spans="1:39" ht="77.25" hidden="1">
      <c r="A166" s="226">
        <f>IF(B166="","",SUBTOTAL(3,$B$6:B279))</f>
        <v>23</v>
      </c>
      <c r="B166" s="198" t="s">
        <v>616</v>
      </c>
      <c r="C166" s="215" t="s">
        <v>12</v>
      </c>
      <c r="D166" s="215"/>
      <c r="E166" s="198" t="s">
        <v>31</v>
      </c>
      <c r="F166" s="198" t="s">
        <v>123</v>
      </c>
      <c r="G166" s="198"/>
      <c r="H166" s="199" t="s">
        <v>72</v>
      </c>
      <c r="I166" s="198"/>
      <c r="J166" s="213">
        <v>8876</v>
      </c>
      <c r="K166" s="213">
        <v>42887</v>
      </c>
      <c r="L166" s="212" t="s">
        <v>615</v>
      </c>
      <c r="M166" s="225" t="s">
        <v>614</v>
      </c>
      <c r="N166" s="224">
        <v>1</v>
      </c>
      <c r="O166" s="223"/>
      <c r="P166" s="222">
        <v>90000</v>
      </c>
      <c r="Q166" s="221">
        <f>P166*N166</f>
        <v>90000</v>
      </c>
      <c r="R166" s="220"/>
      <c r="S166" s="219"/>
      <c r="T166" s="218"/>
      <c r="U166" s="218"/>
      <c r="V166" s="218"/>
      <c r="W166" s="218">
        <f>Table51013454[[#This Row],[العدد]]*Table51013454[[#This Row],[السعر الافرادي]]</f>
        <v>0</v>
      </c>
      <c r="X166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6" s="202">
        <f>Table51013454[[#This Row],[الكمية]]-Table51013454[[#This Row],[العدد]]</f>
        <v>1</v>
      </c>
      <c r="Z166" s="201">
        <f>Table51013454[[#This Row],[سعر/الحبة]]</f>
        <v>90000</v>
      </c>
      <c r="AA166" s="201">
        <f>Table51013454[[#This Row],[الإجمالي]]-Table51013454[[#This Row],[إجمالي المستبعد]]</f>
        <v>90000</v>
      </c>
      <c r="AB166" s="200">
        <v>0.25</v>
      </c>
      <c r="AC166" s="199"/>
      <c r="AD166" s="198" t="s">
        <v>55</v>
      </c>
      <c r="AE166" s="194"/>
      <c r="AF166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الشراء-الاستلام]]&lt;DATE(2017,1,1),Q166-AE166,0))</f>
        <v>0</v>
      </c>
      <c r="AG166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13130.13698630137</v>
      </c>
      <c r="AH166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6" s="196">
        <f>Table51013454[[#This Row],[اهلاك المستبعد
في 2017]]+Table51013454[[#This Row],[مجمع إهلاك المستبعد 
01-01-2017]]</f>
        <v>0</v>
      </c>
      <c r="AJ166" s="196">
        <f>Table51013454[[#This Row],[إجمالي المستبعد]]-Table51013454[[#This Row],[مجمع إهلاك المستبعد 
بتاريخ الأستبعاد]]</f>
        <v>0</v>
      </c>
      <c r="AK166" s="195"/>
      <c r="AL166" s="194">
        <f>IF(OR(Table51013454[[#This Row],[تاريخ الشراء-الاستلام]]="",Table51013454[[#This Row],[الإجمالي]]="",Table51013454[[#This Row],[العمر الافتراضي]]=""),"",IF(((AE166+AG166)-Table51013454[[#This Row],[مجمع إهلاك المستبعد 
بتاريخ الأستبعاد]])&lt;=0,0,((AE166+AG166)-Table51013454[[#This Row],[مجمع إهلاك المستبعد 
بتاريخ الأستبعاد]])))</f>
        <v>13130.13698630137</v>
      </c>
      <c r="AM166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الشراء-الاستلام]]&gt;DATE(2017,12,31),0,AA166-AL166)))</f>
        <v>76869.863013698632</v>
      </c>
    </row>
    <row r="167" spans="1:39" ht="77.25" hidden="1">
      <c r="A167" s="226">
        <f>IF(B167="","",SUBTOTAL(3,$B$6:B279))</f>
        <v>23</v>
      </c>
      <c r="B167" s="198" t="s">
        <v>611</v>
      </c>
      <c r="C167" s="215" t="s">
        <v>12</v>
      </c>
      <c r="D167" s="215"/>
      <c r="E167" s="198" t="s">
        <v>31</v>
      </c>
      <c r="F167" s="198" t="s">
        <v>52</v>
      </c>
      <c r="G167" s="198" t="s">
        <v>436</v>
      </c>
      <c r="H167" s="199" t="s">
        <v>72</v>
      </c>
      <c r="I167" s="198"/>
      <c r="J167" s="213">
        <v>8872</v>
      </c>
      <c r="K167" s="213">
        <v>42885</v>
      </c>
      <c r="L167" s="212" t="s">
        <v>610</v>
      </c>
      <c r="M167" s="225" t="s">
        <v>577</v>
      </c>
      <c r="N167" s="224">
        <v>1</v>
      </c>
      <c r="O167" s="223"/>
      <c r="P167" s="222">
        <v>245525</v>
      </c>
      <c r="Q167" s="221">
        <f>P167*N167</f>
        <v>245525</v>
      </c>
      <c r="R167" s="220"/>
      <c r="S167" s="219"/>
      <c r="T167" s="218"/>
      <c r="U167" s="218"/>
      <c r="V167" s="218"/>
      <c r="W167" s="218">
        <f>Table51013454[[#This Row],[العدد]]*Table51013454[[#This Row],[السعر الافرادي]]</f>
        <v>0</v>
      </c>
      <c r="X16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7" s="202">
        <f>Table51013454[[#This Row],[الكمية]]-Table51013454[[#This Row],[العدد]]</f>
        <v>1</v>
      </c>
      <c r="Z167" s="201">
        <f>Table51013454[[#This Row],[سعر/الحبة]]</f>
        <v>245525</v>
      </c>
      <c r="AA167" s="201">
        <f>Table51013454[[#This Row],[الإجمالي]]-Table51013454[[#This Row],[إجمالي المستبعد]]</f>
        <v>245525</v>
      </c>
      <c r="AB167" s="200">
        <v>0.25</v>
      </c>
      <c r="AC167" s="199"/>
      <c r="AD167" s="198" t="s">
        <v>55</v>
      </c>
      <c r="AE167" s="194"/>
      <c r="AF167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الشراء-الاستلام]]&lt;DATE(2017,1,1),Q167-AE167,0))</f>
        <v>0</v>
      </c>
      <c r="AG167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6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7" s="196">
        <f>Table51013454[[#This Row],[اهلاك المستبعد
في 2017]]+Table51013454[[#This Row],[مجمع إهلاك المستبعد 
01-01-2017]]</f>
        <v>0</v>
      </c>
      <c r="AJ167" s="196">
        <f>Table51013454[[#This Row],[إجمالي المستبعد]]-Table51013454[[#This Row],[مجمع إهلاك المستبعد 
بتاريخ الأستبعاد]]</f>
        <v>0</v>
      </c>
      <c r="AK167" s="195"/>
      <c r="AL167" s="194">
        <f>IF(OR(Table51013454[[#This Row],[تاريخ الشراء-الاستلام]]="",Table51013454[[#This Row],[الإجمالي]]="",Table51013454[[#This Row],[العمر الافتراضي]]=""),"",IF(((AE167+AG167)-Table51013454[[#This Row],[مجمع إهلاك المستبعد 
بتاريخ الأستبعاد]])&lt;=0,0,((AE167+AG167)-Table51013454[[#This Row],[مجمع إهلاك المستبعد 
بتاريخ الأستبعاد]])))</f>
        <v>36156.07876712329</v>
      </c>
      <c r="AM167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الشراء-الاستلام]]&gt;DATE(2017,12,31),0,AA167-AL167)))</f>
        <v>209368.92123287672</v>
      </c>
    </row>
    <row r="168" spans="1:39" ht="77.25" hidden="1">
      <c r="A168" s="226">
        <f>IF(B168="","",SUBTOTAL(3,$B$6:B279))</f>
        <v>23</v>
      </c>
      <c r="B168" s="198" t="s">
        <v>611</v>
      </c>
      <c r="C168" s="215" t="s">
        <v>12</v>
      </c>
      <c r="D168" s="215"/>
      <c r="E168" s="198" t="s">
        <v>31</v>
      </c>
      <c r="F168" s="198" t="s">
        <v>52</v>
      </c>
      <c r="G168" s="198" t="s">
        <v>436</v>
      </c>
      <c r="H168" s="199" t="s">
        <v>72</v>
      </c>
      <c r="I168" s="198"/>
      <c r="J168" s="213">
        <v>8873</v>
      </c>
      <c r="K168" s="213">
        <v>42885</v>
      </c>
      <c r="L168" s="212" t="s">
        <v>610</v>
      </c>
      <c r="M168" s="225" t="s">
        <v>577</v>
      </c>
      <c r="N168" s="224">
        <v>1</v>
      </c>
      <c r="O168" s="223"/>
      <c r="P168" s="222">
        <v>245525</v>
      </c>
      <c r="Q168" s="221">
        <f>P168*N168</f>
        <v>245525</v>
      </c>
      <c r="R168" s="220"/>
      <c r="S168" s="219"/>
      <c r="T168" s="218"/>
      <c r="U168" s="218"/>
      <c r="V168" s="218"/>
      <c r="W168" s="218">
        <f>Table51013454[[#This Row],[العدد]]*Table51013454[[#This Row],[السعر الافرادي]]</f>
        <v>0</v>
      </c>
      <c r="X16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8" s="202">
        <f>Table51013454[[#This Row],[الكمية]]-Table51013454[[#This Row],[العدد]]</f>
        <v>1</v>
      </c>
      <c r="Z168" s="201">
        <f>Table51013454[[#This Row],[سعر/الحبة]]</f>
        <v>245525</v>
      </c>
      <c r="AA168" s="201">
        <f>Table51013454[[#This Row],[الإجمالي]]-Table51013454[[#This Row],[إجمالي المستبعد]]</f>
        <v>245525</v>
      </c>
      <c r="AB168" s="200">
        <v>0.25</v>
      </c>
      <c r="AC168" s="199"/>
      <c r="AD168" s="198" t="s">
        <v>55</v>
      </c>
      <c r="AE168" s="194"/>
      <c r="AF16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الشراء-الاستلام]]&lt;DATE(2017,1,1),Q168-AE168,0))</f>
        <v>0</v>
      </c>
      <c r="AG16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6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8" s="196">
        <f>Table51013454[[#This Row],[اهلاك المستبعد
في 2017]]+Table51013454[[#This Row],[مجمع إهلاك المستبعد 
01-01-2017]]</f>
        <v>0</v>
      </c>
      <c r="AJ168" s="196">
        <f>Table51013454[[#This Row],[إجمالي المستبعد]]-Table51013454[[#This Row],[مجمع إهلاك المستبعد 
بتاريخ الأستبعاد]]</f>
        <v>0</v>
      </c>
      <c r="AK168" s="195"/>
      <c r="AL168" s="194">
        <f>IF(OR(Table51013454[[#This Row],[تاريخ الشراء-الاستلام]]="",Table51013454[[#This Row],[الإجمالي]]="",Table51013454[[#This Row],[العمر الافتراضي]]=""),"",IF(((AE168+AG168)-Table51013454[[#This Row],[مجمع إهلاك المستبعد 
بتاريخ الأستبعاد]])&lt;=0,0,((AE168+AG168)-Table51013454[[#This Row],[مجمع إهلاك المستبعد 
بتاريخ الأستبعاد]])))</f>
        <v>36156.07876712329</v>
      </c>
      <c r="AM16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الشراء-الاستلام]]&gt;DATE(2017,12,31),0,AA168-AL168)))</f>
        <v>209368.92123287672</v>
      </c>
    </row>
    <row r="169" spans="1:39" ht="77.25" hidden="1">
      <c r="A169" s="226">
        <f>IF(B169="","",SUBTOTAL(3,$B$6:B279))</f>
        <v>23</v>
      </c>
      <c r="B169" s="198" t="s">
        <v>611</v>
      </c>
      <c r="C169" s="215" t="s">
        <v>12</v>
      </c>
      <c r="D169" s="215"/>
      <c r="E169" s="198" t="s">
        <v>31</v>
      </c>
      <c r="F169" s="198" t="s">
        <v>52</v>
      </c>
      <c r="G169" s="198" t="s">
        <v>436</v>
      </c>
      <c r="H169" s="199" t="s">
        <v>72</v>
      </c>
      <c r="I169" s="198"/>
      <c r="J169" s="213">
        <v>8874</v>
      </c>
      <c r="K169" s="213">
        <v>42885</v>
      </c>
      <c r="L169" s="212" t="s">
        <v>610</v>
      </c>
      <c r="M169" s="225" t="s">
        <v>577</v>
      </c>
      <c r="N169" s="224">
        <v>1</v>
      </c>
      <c r="O169" s="223"/>
      <c r="P169" s="222">
        <v>245525</v>
      </c>
      <c r="Q169" s="221">
        <f>P169*N169</f>
        <v>245525</v>
      </c>
      <c r="R169" s="220"/>
      <c r="S169" s="219"/>
      <c r="T169" s="218"/>
      <c r="U169" s="218"/>
      <c r="V169" s="218"/>
      <c r="W169" s="218">
        <f>Table51013454[[#This Row],[العدد]]*Table51013454[[#This Row],[السعر الافرادي]]</f>
        <v>0</v>
      </c>
      <c r="X169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69" s="202">
        <f>Table51013454[[#This Row],[الكمية]]-Table51013454[[#This Row],[العدد]]</f>
        <v>1</v>
      </c>
      <c r="Z169" s="201">
        <f>Table51013454[[#This Row],[سعر/الحبة]]</f>
        <v>245525</v>
      </c>
      <c r="AA169" s="201">
        <f>Table51013454[[#This Row],[الإجمالي]]-Table51013454[[#This Row],[إجمالي المستبعد]]</f>
        <v>245525</v>
      </c>
      <c r="AB169" s="200">
        <v>0.25</v>
      </c>
      <c r="AC169" s="199"/>
      <c r="AD169" s="198" t="s">
        <v>55</v>
      </c>
      <c r="AE169" s="194"/>
      <c r="AF16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الشراء-الاستلام]]&lt;DATE(2017,1,1),Q169-AE169,0))</f>
        <v>0</v>
      </c>
      <c r="AG16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6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69" s="196">
        <f>Table51013454[[#This Row],[اهلاك المستبعد
في 2017]]+Table51013454[[#This Row],[مجمع إهلاك المستبعد 
01-01-2017]]</f>
        <v>0</v>
      </c>
      <c r="AJ169" s="196">
        <f>Table51013454[[#This Row],[إجمالي المستبعد]]-Table51013454[[#This Row],[مجمع إهلاك المستبعد 
بتاريخ الأستبعاد]]</f>
        <v>0</v>
      </c>
      <c r="AK169" s="195"/>
      <c r="AL169" s="194">
        <f>IF(OR(Table51013454[[#This Row],[تاريخ الشراء-الاستلام]]="",Table51013454[[#This Row],[الإجمالي]]="",Table51013454[[#This Row],[العمر الافتراضي]]=""),"",IF(((AE169+AG169)-Table51013454[[#This Row],[مجمع إهلاك المستبعد 
بتاريخ الأستبعاد]])&lt;=0,0,((AE169+AG169)-Table51013454[[#This Row],[مجمع إهلاك المستبعد 
بتاريخ الأستبعاد]])))</f>
        <v>36156.07876712329</v>
      </c>
      <c r="AM16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الشراء-الاستلام]]&gt;DATE(2017,12,31),0,AA169-AL169)))</f>
        <v>209368.92123287672</v>
      </c>
    </row>
    <row r="170" spans="1:39" ht="77.25" hidden="1">
      <c r="A170" s="226">
        <f>IF(B170="","",SUBTOTAL(3,$B$6:B279))</f>
        <v>23</v>
      </c>
      <c r="B170" s="198" t="s">
        <v>611</v>
      </c>
      <c r="C170" s="215" t="s">
        <v>12</v>
      </c>
      <c r="D170" s="215"/>
      <c r="E170" s="198" t="s">
        <v>31</v>
      </c>
      <c r="F170" s="198" t="s">
        <v>52</v>
      </c>
      <c r="G170" s="198" t="s">
        <v>436</v>
      </c>
      <c r="H170" s="199" t="s">
        <v>72</v>
      </c>
      <c r="I170" s="198"/>
      <c r="J170" s="213">
        <v>8875</v>
      </c>
      <c r="K170" s="213">
        <v>42885</v>
      </c>
      <c r="L170" s="212" t="s">
        <v>610</v>
      </c>
      <c r="M170" s="225" t="s">
        <v>577</v>
      </c>
      <c r="N170" s="224">
        <v>1</v>
      </c>
      <c r="O170" s="223"/>
      <c r="P170" s="222">
        <v>245525</v>
      </c>
      <c r="Q170" s="221">
        <f>P170*N170</f>
        <v>245525</v>
      </c>
      <c r="R170" s="220" t="s">
        <v>613</v>
      </c>
      <c r="S170" s="219">
        <v>42885</v>
      </c>
      <c r="T170" s="218">
        <v>1</v>
      </c>
      <c r="U170" s="218" t="s">
        <v>612</v>
      </c>
      <c r="V170" s="218">
        <v>245525</v>
      </c>
      <c r="W170" s="218">
        <f>Table51013454[[#This Row],[العدد]]*Table51013454[[#This Row],[السعر الافرادي]]</f>
        <v>245525</v>
      </c>
      <c r="X170" s="217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0" s="202">
        <f>Table51013454[[#This Row],[الكمية]]-Table51013454[[#This Row],[العدد]]</f>
        <v>0</v>
      </c>
      <c r="Z170" s="201">
        <f>Table51013454[[#This Row],[سعر/الحبة]]</f>
        <v>245525</v>
      </c>
      <c r="AA170" s="201">
        <f>Table51013454[[#This Row],[الإجمالي]]-Table51013454[[#This Row],[إجمالي المستبعد]]</f>
        <v>0</v>
      </c>
      <c r="AB170" s="200">
        <v>0.25</v>
      </c>
      <c r="AC170" s="199"/>
      <c r="AD170" s="198" t="s">
        <v>55</v>
      </c>
      <c r="AE170" s="194"/>
      <c r="AF170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الشراء-الاستلام]]&lt;DATE(2017,1,1),Q170-AE170,0))</f>
        <v>0</v>
      </c>
      <c r="AG170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7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0" s="196">
        <f>Table51013454[[#This Row],[اهلاك المستبعد
في 2017]]+Table51013454[[#This Row],[مجمع إهلاك المستبعد 
01-01-2017]]</f>
        <v>0</v>
      </c>
      <c r="AJ170" s="196">
        <f>Table51013454[[#This Row],[إجمالي المستبعد]]-Table51013454[[#This Row],[مجمع إهلاك المستبعد 
بتاريخ الأستبعاد]]</f>
        <v>245525</v>
      </c>
      <c r="AK170" s="195"/>
      <c r="AL170" s="194">
        <f>IF(OR(Table51013454[[#This Row],[تاريخ الشراء-الاستلام]]="",Table51013454[[#This Row],[الإجمالي]]="",Table51013454[[#This Row],[العمر الافتراضي]]=""),"",IF(((AE170+AG170)-Table51013454[[#This Row],[مجمع إهلاك المستبعد 
بتاريخ الأستبعاد]])&lt;=0,0,((AE170+AG170)-Table51013454[[#This Row],[مجمع إهلاك المستبعد 
بتاريخ الأستبعاد]])))</f>
        <v>0</v>
      </c>
      <c r="AM170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الشراء-الاستلام]]&gt;DATE(2017,12,31),0,AA170-AL170)))</f>
        <v>0</v>
      </c>
    </row>
    <row r="171" spans="1:39" ht="77.25" hidden="1">
      <c r="A171" s="226">
        <f>IF(B171="","",SUBTOTAL(3,$B$6:B279))</f>
        <v>23</v>
      </c>
      <c r="B171" s="198" t="s">
        <v>611</v>
      </c>
      <c r="C171" s="215" t="s">
        <v>12</v>
      </c>
      <c r="D171" s="215"/>
      <c r="E171" s="198" t="s">
        <v>31</v>
      </c>
      <c r="F171" s="198" t="s">
        <v>123</v>
      </c>
      <c r="G171" s="198"/>
      <c r="H171" s="199" t="s">
        <v>72</v>
      </c>
      <c r="I171" s="198"/>
      <c r="J171" s="213">
        <v>8876</v>
      </c>
      <c r="K171" s="213">
        <v>42885</v>
      </c>
      <c r="L171" s="212" t="s">
        <v>610</v>
      </c>
      <c r="M171" s="225" t="s">
        <v>577</v>
      </c>
      <c r="N171" s="224">
        <v>1</v>
      </c>
      <c r="O171" s="223"/>
      <c r="P171" s="222">
        <v>245525</v>
      </c>
      <c r="Q171" s="221">
        <f>P171*N171</f>
        <v>245525</v>
      </c>
      <c r="R171" s="220"/>
      <c r="S171" s="219"/>
      <c r="T171" s="218"/>
      <c r="U171" s="218"/>
      <c r="V171" s="218"/>
      <c r="W171" s="218">
        <f>Table51013454[[#This Row],[العدد]]*Table51013454[[#This Row],[السعر الافرادي]]</f>
        <v>0</v>
      </c>
      <c r="X171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1" s="202">
        <f>Table51013454[[#This Row],[الكمية]]-Table51013454[[#This Row],[العدد]]</f>
        <v>1</v>
      </c>
      <c r="Z171" s="201">
        <f>Table51013454[[#This Row],[سعر/الحبة]]</f>
        <v>245525</v>
      </c>
      <c r="AA171" s="201">
        <f>Table51013454[[#This Row],[الإجمالي]]-Table51013454[[#This Row],[إجمالي المستبعد]]</f>
        <v>245525</v>
      </c>
      <c r="AB171" s="200">
        <v>0.25</v>
      </c>
      <c r="AC171" s="199"/>
      <c r="AD171" s="198" t="s">
        <v>55</v>
      </c>
      <c r="AE171" s="194"/>
      <c r="AF171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الشراء-الاستلام]]&lt;DATE(2017,1,1),Q171-AE171,0))</f>
        <v>0</v>
      </c>
      <c r="AG171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36156.07876712329</v>
      </c>
      <c r="AH17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1" s="196">
        <f>Table51013454[[#This Row],[اهلاك المستبعد
في 2017]]+Table51013454[[#This Row],[مجمع إهلاك المستبعد 
01-01-2017]]</f>
        <v>0</v>
      </c>
      <c r="AJ171" s="196">
        <f>Table51013454[[#This Row],[إجمالي المستبعد]]-Table51013454[[#This Row],[مجمع إهلاك المستبعد 
بتاريخ الأستبعاد]]</f>
        <v>0</v>
      </c>
      <c r="AK171" s="195"/>
      <c r="AL171" s="194">
        <f>IF(OR(Table51013454[[#This Row],[تاريخ الشراء-الاستلام]]="",Table51013454[[#This Row],[الإجمالي]]="",Table51013454[[#This Row],[العمر الافتراضي]]=""),"",IF(((AE171+AG171)-Table51013454[[#This Row],[مجمع إهلاك المستبعد 
بتاريخ الأستبعاد]])&lt;=0,0,((AE171+AG171)-Table51013454[[#This Row],[مجمع إهلاك المستبعد 
بتاريخ الأستبعاد]])))</f>
        <v>36156.07876712329</v>
      </c>
      <c r="AM171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الشراء-الاستلام]]&gt;DATE(2017,12,31),0,AA171-AL171)))</f>
        <v>209368.92123287672</v>
      </c>
    </row>
    <row r="172" spans="1:39" ht="77.25" hidden="1">
      <c r="A172" s="226">
        <f>IF(B172="","",SUBTOTAL(3,$B$6:B279))</f>
        <v>23</v>
      </c>
      <c r="B172" s="198" t="s">
        <v>609</v>
      </c>
      <c r="C172" s="215" t="s">
        <v>12</v>
      </c>
      <c r="D172" s="215"/>
      <c r="E172" s="198" t="s">
        <v>31</v>
      </c>
      <c r="F172" s="198" t="s">
        <v>123</v>
      </c>
      <c r="G172" s="198"/>
      <c r="H172" s="199" t="s">
        <v>72</v>
      </c>
      <c r="I172" s="198"/>
      <c r="J172" s="213">
        <v>3495</v>
      </c>
      <c r="K172" s="213">
        <v>42916</v>
      </c>
      <c r="L172" s="212" t="s">
        <v>58</v>
      </c>
      <c r="M172" s="225" t="s">
        <v>576</v>
      </c>
      <c r="N172" s="224">
        <v>2</v>
      </c>
      <c r="O172" s="223">
        <v>10313</v>
      </c>
      <c r="P172" s="222">
        <v>4000</v>
      </c>
      <c r="Q172" s="221">
        <f>P172*N172</f>
        <v>8000</v>
      </c>
      <c r="R172" s="220"/>
      <c r="S172" s="219"/>
      <c r="T172" s="218"/>
      <c r="U172" s="218"/>
      <c r="V172" s="218"/>
      <c r="W172" s="218">
        <f>Table51013454[[#This Row],[العدد]]*Table51013454[[#This Row],[السعر الافرادي]]</f>
        <v>0</v>
      </c>
      <c r="X172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2" s="202">
        <f>Table51013454[[#This Row],[الكمية]]-Table51013454[[#This Row],[العدد]]</f>
        <v>2</v>
      </c>
      <c r="Z172" s="201">
        <f>Table51013454[[#This Row],[سعر/الحبة]]</f>
        <v>4000</v>
      </c>
      <c r="AA172" s="201">
        <f>Table51013454[[#This Row],[الإجمالي]]-Table51013454[[#This Row],[إجمالي المستبعد]]</f>
        <v>8000</v>
      </c>
      <c r="AB172" s="200">
        <v>0.25</v>
      </c>
      <c r="AC172" s="199"/>
      <c r="AD172" s="198" t="s">
        <v>55</v>
      </c>
      <c r="AE172" s="194"/>
      <c r="AF172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الشراء-الاستلام]]&lt;DATE(2017,1,1),Q172-AE172,0))</f>
        <v>0</v>
      </c>
      <c r="AG172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1008.2191780821918</v>
      </c>
      <c r="AH17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2" s="196">
        <f>Table51013454[[#This Row],[اهلاك المستبعد
في 2017]]+Table51013454[[#This Row],[مجمع إهلاك المستبعد 
01-01-2017]]</f>
        <v>0</v>
      </c>
      <c r="AJ172" s="196">
        <f>Table51013454[[#This Row],[إجمالي المستبعد]]-Table51013454[[#This Row],[مجمع إهلاك المستبعد 
بتاريخ الأستبعاد]]</f>
        <v>0</v>
      </c>
      <c r="AK172" s="195"/>
      <c r="AL172" s="194">
        <f>IF(OR(Table51013454[[#This Row],[تاريخ الشراء-الاستلام]]="",Table51013454[[#This Row],[الإجمالي]]="",Table51013454[[#This Row],[العمر الافتراضي]]=""),"",IF(((AE172+AG172)-Table51013454[[#This Row],[مجمع إهلاك المستبعد 
بتاريخ الأستبعاد]])&lt;=0,0,((AE172+AG172)-Table51013454[[#This Row],[مجمع إهلاك المستبعد 
بتاريخ الأستبعاد]])))</f>
        <v>1008.2191780821918</v>
      </c>
      <c r="AM172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الشراء-الاستلام]]&gt;DATE(2017,12,31),0,AA172-AL172)))</f>
        <v>6991.7808219178078</v>
      </c>
    </row>
    <row r="173" spans="1:39" ht="78" hidden="1">
      <c r="A173" s="226">
        <f>IF(B173="","",SUBTOTAL(3,$B$6:B173))</f>
        <v>4</v>
      </c>
      <c r="B173" s="198" t="s">
        <v>181</v>
      </c>
      <c r="C173" s="215" t="s">
        <v>12</v>
      </c>
      <c r="D173" s="215"/>
      <c r="E173" s="198" t="s">
        <v>31</v>
      </c>
      <c r="F173" s="198" t="s">
        <v>482</v>
      </c>
      <c r="G173" s="198"/>
      <c r="H173" s="199" t="s">
        <v>72</v>
      </c>
      <c r="I173" s="198"/>
      <c r="J173" s="237" t="s">
        <v>159</v>
      </c>
      <c r="K173" s="213">
        <v>42946</v>
      </c>
      <c r="L173" s="212" t="s">
        <v>58</v>
      </c>
      <c r="M173" s="225" t="s">
        <v>576</v>
      </c>
      <c r="N173" s="224">
        <v>1</v>
      </c>
      <c r="O173" s="223">
        <v>10317</v>
      </c>
      <c r="P173" s="222">
        <v>87000</v>
      </c>
      <c r="Q173" s="221">
        <f>P173*N173</f>
        <v>87000</v>
      </c>
      <c r="R173" s="220"/>
      <c r="S173" s="219"/>
      <c r="T173" s="218"/>
      <c r="U173" s="218"/>
      <c r="V173" s="218"/>
      <c r="W173" s="218">
        <f>Table51013454[[#This Row],[العدد]]*Table51013454[[#This Row],[السعر الافرادي]]</f>
        <v>0</v>
      </c>
      <c r="X17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3" s="202">
        <f>Table51013454[[#This Row],[الكمية]]-Table51013454[[#This Row],[العدد]]</f>
        <v>1</v>
      </c>
      <c r="Z173" s="201">
        <f>Table51013454[[#This Row],[سعر/الحبة]]</f>
        <v>87000</v>
      </c>
      <c r="AA173" s="201">
        <f>Table51013454[[#This Row],[الإجمالي]]-Table51013454[[#This Row],[إجمالي المستبعد]]</f>
        <v>87000</v>
      </c>
      <c r="AB173" s="200">
        <v>0.25</v>
      </c>
      <c r="AC173" s="199"/>
      <c r="AD173" s="198" t="s">
        <v>55</v>
      </c>
      <c r="AE173" s="194"/>
      <c r="AF17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الشراء-الاستلام]]&lt;DATE(2017,1,1),Q173-AE173,0))</f>
        <v>0</v>
      </c>
      <c r="AG17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9176.712328767122</v>
      </c>
      <c r="AH17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3" s="196">
        <f>Table51013454[[#This Row],[اهلاك المستبعد
في 2017]]+Table51013454[[#This Row],[مجمع إهلاك المستبعد 
01-01-2017]]</f>
        <v>0</v>
      </c>
      <c r="AJ173" s="196">
        <f>Table51013454[[#This Row],[إجمالي المستبعد]]-Table51013454[[#This Row],[مجمع إهلاك المستبعد 
بتاريخ الأستبعاد]]</f>
        <v>0</v>
      </c>
      <c r="AK173" s="195"/>
      <c r="AL173" s="194">
        <f>IF(OR(Table51013454[[#This Row],[تاريخ الشراء-الاستلام]]="",Table51013454[[#This Row],[الإجمالي]]="",Table51013454[[#This Row],[العمر الافتراضي]]=""),"",IF(((AE173+AG173)-Table51013454[[#This Row],[مجمع إهلاك المستبعد 
بتاريخ الأستبعاد]])&lt;=0,0,((AE173+AG173)-Table51013454[[#This Row],[مجمع إهلاك المستبعد 
بتاريخ الأستبعاد]])))</f>
        <v>9176.712328767122</v>
      </c>
      <c r="AM17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الشراء-الاستلام]]&gt;DATE(2017,12,31),0,AA173-AL173)))</f>
        <v>77823.287671232873</v>
      </c>
    </row>
    <row r="174" spans="1:39" ht="195" hidden="1">
      <c r="A174" s="226">
        <f>IF(B174="","",SUBTOTAL(3,$B$6:B279))</f>
        <v>23</v>
      </c>
      <c r="B174" s="198" t="s">
        <v>181</v>
      </c>
      <c r="C174" s="215" t="s">
        <v>12</v>
      </c>
      <c r="D174" s="215"/>
      <c r="E174" s="198" t="s">
        <v>31</v>
      </c>
      <c r="F174" s="198" t="s">
        <v>52</v>
      </c>
      <c r="G174" s="198" t="s">
        <v>436</v>
      </c>
      <c r="H174" s="199" t="s">
        <v>72</v>
      </c>
      <c r="I174" s="198"/>
      <c r="J174" s="214" t="s">
        <v>608</v>
      </c>
      <c r="K174" s="213">
        <v>42916</v>
      </c>
      <c r="L174" s="212" t="s">
        <v>58</v>
      </c>
      <c r="M174" s="225" t="s">
        <v>576</v>
      </c>
      <c r="N174" s="224">
        <v>5</v>
      </c>
      <c r="O174" s="223">
        <v>10317</v>
      </c>
      <c r="P174" s="222">
        <v>87000</v>
      </c>
      <c r="Q174" s="221">
        <f>P174*N174</f>
        <v>435000</v>
      </c>
      <c r="R174" s="220"/>
      <c r="S174" s="219"/>
      <c r="T174" s="218"/>
      <c r="U174" s="218"/>
      <c r="V174" s="218"/>
      <c r="W174" s="218">
        <f>Table51013454[[#This Row],[العدد]]*Table51013454[[#This Row],[السعر الافرادي]]</f>
        <v>0</v>
      </c>
      <c r="X174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4" s="202">
        <f>Table51013454[[#This Row],[الكمية]]-Table51013454[[#This Row],[العدد]]</f>
        <v>5</v>
      </c>
      <c r="Z174" s="201">
        <f>Table51013454[[#This Row],[سعر/الحبة]]</f>
        <v>87000</v>
      </c>
      <c r="AA174" s="201">
        <f>Table51013454[[#This Row],[الإجمالي]]-Table51013454[[#This Row],[إجمالي المستبعد]]</f>
        <v>435000</v>
      </c>
      <c r="AB174" s="200">
        <v>0.25</v>
      </c>
      <c r="AC174" s="199"/>
      <c r="AD174" s="198" t="s">
        <v>55</v>
      </c>
      <c r="AE174" s="194"/>
      <c r="AF174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الشراء-الاستلام]]&lt;DATE(2017,1,1),Q174-AE174,0))</f>
        <v>0</v>
      </c>
      <c r="AG174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54821.917808219179</v>
      </c>
      <c r="AH174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4" s="196">
        <f>Table51013454[[#This Row],[اهلاك المستبعد
في 2017]]+Table51013454[[#This Row],[مجمع إهلاك المستبعد 
01-01-2017]]</f>
        <v>0</v>
      </c>
      <c r="AJ174" s="196">
        <f>Table51013454[[#This Row],[إجمالي المستبعد]]-Table51013454[[#This Row],[مجمع إهلاك المستبعد 
بتاريخ الأستبعاد]]</f>
        <v>0</v>
      </c>
      <c r="AK174" s="195"/>
      <c r="AL174" s="194">
        <f>IF(OR(Table51013454[[#This Row],[تاريخ الشراء-الاستلام]]="",Table51013454[[#This Row],[الإجمالي]]="",Table51013454[[#This Row],[العمر الافتراضي]]=""),"",IF(((AE174+AG174)-Table51013454[[#This Row],[مجمع إهلاك المستبعد 
بتاريخ الأستبعاد]])&lt;=0,0,((AE174+AG174)-Table51013454[[#This Row],[مجمع إهلاك المستبعد 
بتاريخ الأستبعاد]])))</f>
        <v>54821.917808219179</v>
      </c>
      <c r="AM174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الشراء-الاستلام]]&gt;DATE(2017,12,31),0,AA174-AL174)))</f>
        <v>380178.08219178079</v>
      </c>
    </row>
    <row r="175" spans="1:39" ht="77.25" hidden="1">
      <c r="A175" s="226">
        <f>IF(B175="","",SUBTOTAL(3,$B$6:B279))</f>
        <v>23</v>
      </c>
      <c r="B175" s="198" t="s">
        <v>181</v>
      </c>
      <c r="C175" s="215" t="s">
        <v>12</v>
      </c>
      <c r="D175" s="215"/>
      <c r="E175" s="198" t="s">
        <v>31</v>
      </c>
      <c r="F175" s="198" t="s">
        <v>165</v>
      </c>
      <c r="G175" s="198"/>
      <c r="H175" s="199" t="s">
        <v>72</v>
      </c>
      <c r="I175" s="198"/>
      <c r="J175" s="213">
        <v>6843</v>
      </c>
      <c r="K175" s="213">
        <v>42916</v>
      </c>
      <c r="L175" s="212" t="s">
        <v>58</v>
      </c>
      <c r="M175" s="225" t="s">
        <v>576</v>
      </c>
      <c r="N175" s="224">
        <v>1</v>
      </c>
      <c r="O175" s="223">
        <v>10342</v>
      </c>
      <c r="P175" s="222">
        <v>85000</v>
      </c>
      <c r="Q175" s="221">
        <f>P175*N175</f>
        <v>85000</v>
      </c>
      <c r="R175" s="220"/>
      <c r="S175" s="219"/>
      <c r="T175" s="218"/>
      <c r="U175" s="218"/>
      <c r="V175" s="218"/>
      <c r="W175" s="218">
        <f>Table51013454[[#This Row],[العدد]]*Table51013454[[#This Row],[السعر الافرادي]]</f>
        <v>0</v>
      </c>
      <c r="X175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5" s="202">
        <f>Table51013454[[#This Row],[الكمية]]-Table51013454[[#This Row],[العدد]]</f>
        <v>1</v>
      </c>
      <c r="Z175" s="201">
        <f>Table51013454[[#This Row],[سعر/الحبة]]</f>
        <v>85000</v>
      </c>
      <c r="AA175" s="201">
        <f>Table51013454[[#This Row],[الإجمالي]]-Table51013454[[#This Row],[إجمالي المستبعد]]</f>
        <v>85000</v>
      </c>
      <c r="AB175" s="200">
        <v>0.25</v>
      </c>
      <c r="AC175" s="199"/>
      <c r="AD175" s="198" t="s">
        <v>55</v>
      </c>
      <c r="AE175" s="194"/>
      <c r="AF17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الشراء-الاستلام]]&lt;DATE(2017,1,1),Q175-AE175,0))</f>
        <v>0</v>
      </c>
      <c r="AG17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10712.328767123288</v>
      </c>
      <c r="AH17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5" s="196">
        <f>Table51013454[[#This Row],[اهلاك المستبعد
في 2017]]+Table51013454[[#This Row],[مجمع إهلاك المستبعد 
01-01-2017]]</f>
        <v>0</v>
      </c>
      <c r="AJ175" s="196">
        <f>Table51013454[[#This Row],[إجمالي المستبعد]]-Table51013454[[#This Row],[مجمع إهلاك المستبعد 
بتاريخ الأستبعاد]]</f>
        <v>0</v>
      </c>
      <c r="AK175" s="195"/>
      <c r="AL175" s="194">
        <f>IF(OR(Table51013454[[#This Row],[تاريخ الشراء-الاستلام]]="",Table51013454[[#This Row],[الإجمالي]]="",Table51013454[[#This Row],[العمر الافتراضي]]=""),"",IF(((AE175+AG175)-Table51013454[[#This Row],[مجمع إهلاك المستبعد 
بتاريخ الأستبعاد]])&lt;=0,0,((AE175+AG175)-Table51013454[[#This Row],[مجمع إهلاك المستبعد 
بتاريخ الأستبعاد]])))</f>
        <v>10712.328767123288</v>
      </c>
      <c r="AM17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الشراء-الاستلام]]&gt;DATE(2017,12,31),0,AA175-AL175)))</f>
        <v>74287.671232876717</v>
      </c>
    </row>
    <row r="176" spans="1:39" ht="409.5" hidden="1">
      <c r="A176" s="226">
        <f>IF(B176="","",SUBTOTAL(3,$B$6:B279))</f>
        <v>23</v>
      </c>
      <c r="B176" s="198" t="s">
        <v>181</v>
      </c>
      <c r="C176" s="215" t="s">
        <v>12</v>
      </c>
      <c r="D176" s="215"/>
      <c r="E176" s="198" t="s">
        <v>31</v>
      </c>
      <c r="F176" s="198" t="s">
        <v>52</v>
      </c>
      <c r="G176" s="198" t="s">
        <v>436</v>
      </c>
      <c r="H176" s="199" t="s">
        <v>72</v>
      </c>
      <c r="I176" s="198"/>
      <c r="J176" s="214" t="s">
        <v>607</v>
      </c>
      <c r="K176" s="213">
        <v>43100</v>
      </c>
      <c r="L176" s="212" t="s">
        <v>58</v>
      </c>
      <c r="M176" s="225" t="s">
        <v>606</v>
      </c>
      <c r="N176" s="224">
        <v>15</v>
      </c>
      <c r="O176" s="223"/>
      <c r="P176" s="222">
        <v>92000</v>
      </c>
      <c r="Q176" s="221">
        <f>P176*N176</f>
        <v>1380000</v>
      </c>
      <c r="R176" s="220"/>
      <c r="S176" s="219"/>
      <c r="T176" s="218"/>
      <c r="U176" s="218"/>
      <c r="V176" s="218"/>
      <c r="W176" s="218">
        <f>Table51013454[[#This Row],[العدد]]*Table51013454[[#This Row],[السعر الافرادي]]</f>
        <v>0</v>
      </c>
      <c r="X176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6" s="202">
        <f>Table51013454[[#This Row],[الكمية]]-Table51013454[[#This Row],[العدد]]</f>
        <v>15</v>
      </c>
      <c r="Z176" s="201">
        <f>Table51013454[[#This Row],[سعر/الحبة]]</f>
        <v>92000</v>
      </c>
      <c r="AA176" s="201">
        <f>Table51013454[[#This Row],[الإجمالي]]-Table51013454[[#This Row],[إجمالي المستبعد]]</f>
        <v>1380000</v>
      </c>
      <c r="AB176" s="200">
        <v>0.25</v>
      </c>
      <c r="AC176" s="199"/>
      <c r="AD176" s="198" t="s">
        <v>55</v>
      </c>
      <c r="AE176" s="194"/>
      <c r="AF176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الشراء-الاستلام]]&lt;DATE(2017,1,1),Q176-AE176,0))</f>
        <v>0</v>
      </c>
      <c r="AG176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76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6" s="196">
        <f>Table51013454[[#This Row],[اهلاك المستبعد
في 2017]]+Table51013454[[#This Row],[مجمع إهلاك المستبعد 
01-01-2017]]</f>
        <v>0</v>
      </c>
      <c r="AJ176" s="196">
        <f>Table51013454[[#This Row],[إجمالي المستبعد]]-Table51013454[[#This Row],[مجمع إهلاك المستبعد 
بتاريخ الأستبعاد]]</f>
        <v>0</v>
      </c>
      <c r="AK176" s="195"/>
      <c r="AL176" s="194">
        <f>IF(OR(Table51013454[[#This Row],[تاريخ الشراء-الاستلام]]="",Table51013454[[#This Row],[الإجمالي]]="",Table51013454[[#This Row],[العمر الافتراضي]]=""),"",IF(((AE176+AG176)-Table51013454[[#This Row],[مجمع إهلاك المستبعد 
بتاريخ الأستبعاد]])&lt;=0,0,((AE176+AG176)-Table51013454[[#This Row],[مجمع إهلاك المستبعد 
بتاريخ الأستبعاد]])))</f>
        <v>0</v>
      </c>
      <c r="AM176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الشراء-الاستلام]]&gt;DATE(2017,12,31),0,AA176-AL176)))</f>
        <v>1380000</v>
      </c>
    </row>
    <row r="177" spans="1:39" ht="77.25" hidden="1">
      <c r="A177" s="239">
        <f>IF(B177="","",SUBTOTAL(3,$B$6:B177))</f>
        <v>4</v>
      </c>
      <c r="B177" s="198" t="s">
        <v>70</v>
      </c>
      <c r="C177" s="238" t="s">
        <v>12</v>
      </c>
      <c r="D177" s="215"/>
      <c r="E177" s="198" t="s">
        <v>71</v>
      </c>
      <c r="F177" s="230" t="s">
        <v>81</v>
      </c>
      <c r="G177" s="198" t="s">
        <v>72</v>
      </c>
      <c r="H177" s="231"/>
      <c r="I177" s="230"/>
      <c r="J177" s="236">
        <v>832</v>
      </c>
      <c r="K177" s="213">
        <v>42767</v>
      </c>
      <c r="L177" s="212" t="s">
        <v>600</v>
      </c>
      <c r="M177" s="225" t="s">
        <v>604</v>
      </c>
      <c r="N177" s="224">
        <v>1</v>
      </c>
      <c r="O177" s="223"/>
      <c r="P177" s="222">
        <v>35500</v>
      </c>
      <c r="Q177" s="221">
        <f>P177*N177</f>
        <v>35500</v>
      </c>
      <c r="R177" s="220"/>
      <c r="S177" s="219"/>
      <c r="T177" s="218"/>
      <c r="U177" s="218"/>
      <c r="V177" s="218"/>
      <c r="W177" s="218">
        <f>Table51013454[[#This Row],[العدد]]*Table51013454[[#This Row],[السعر الافرادي]]</f>
        <v>0</v>
      </c>
      <c r="X17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7" s="234">
        <f>Table51013454[[#This Row],[الكمية]]-Table51013454[[#This Row],[العدد]]</f>
        <v>1</v>
      </c>
      <c r="Z177" s="233">
        <f>Table51013454[[#This Row],[سعر/الحبة]]</f>
        <v>35500</v>
      </c>
      <c r="AA177" s="233">
        <f>Table51013454[[#This Row],[الإجمالي]]-Table51013454[[#This Row],[إجمالي المستبعد]]</f>
        <v>35500</v>
      </c>
      <c r="AB177" s="232">
        <v>0.25</v>
      </c>
      <c r="AC177" s="231"/>
      <c r="AD177" s="230" t="s">
        <v>55</v>
      </c>
      <c r="AE177" s="228"/>
      <c r="AF177" s="22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الشراء-الاستلام]]&lt;DATE(2017,1,1),Q177-AE177,0))</f>
        <v>0</v>
      </c>
      <c r="AG177" s="229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8096.9178082191784</v>
      </c>
      <c r="AH177" s="24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7" s="245">
        <f>Table51013454[[#This Row],[اهلاك المستبعد
في 2017]]+Table51013454[[#This Row],[مجمع إهلاك المستبعد 
01-01-2017]]</f>
        <v>0</v>
      </c>
      <c r="AJ177" s="245">
        <f>Table51013454[[#This Row],[إجمالي المستبعد]]-Table51013454[[#This Row],[مجمع إهلاك المستبعد 
بتاريخ الأستبعاد]]</f>
        <v>0</v>
      </c>
      <c r="AK177" s="244"/>
      <c r="AL177" s="228">
        <f>IF(OR(Table51013454[[#This Row],[تاريخ الشراء-الاستلام]]="",Table51013454[[#This Row],[الإجمالي]]="",Table51013454[[#This Row],[العمر الافتراضي]]=""),"",IF(((AE177+AG177)-Table51013454[[#This Row],[مجمع إهلاك المستبعد 
بتاريخ الأستبعاد]])&lt;=0,0,((AE177+AG177)-Table51013454[[#This Row],[مجمع إهلاك المستبعد 
بتاريخ الأستبعاد]])))</f>
        <v>8096.9178082191784</v>
      </c>
      <c r="AM177" s="22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الشراء-الاستلام]]&gt;DATE(2017,12,31),0,AA177-AL177)))</f>
        <v>27403.082191780821</v>
      </c>
    </row>
    <row r="178" spans="1:39" ht="117" hidden="1">
      <c r="A178" s="226">
        <f>IF(B178="","",SUBTOTAL(3,$B$6:B279))</f>
        <v>23</v>
      </c>
      <c r="B178" s="198" t="s">
        <v>70</v>
      </c>
      <c r="C178" s="215" t="s">
        <v>12</v>
      </c>
      <c r="D178" s="215"/>
      <c r="E178" s="198" t="s">
        <v>71</v>
      </c>
      <c r="F178" s="198" t="s">
        <v>52</v>
      </c>
      <c r="G178" s="198" t="s">
        <v>602</v>
      </c>
      <c r="H178" s="199" t="s">
        <v>602</v>
      </c>
      <c r="I178" s="198"/>
      <c r="J178" s="214" t="s">
        <v>605</v>
      </c>
      <c r="K178" s="213">
        <v>42767</v>
      </c>
      <c r="L178" s="212" t="s">
        <v>600</v>
      </c>
      <c r="M178" s="225" t="s">
        <v>604</v>
      </c>
      <c r="N178" s="224">
        <v>3</v>
      </c>
      <c r="O178" s="223"/>
      <c r="P178" s="222">
        <v>35500</v>
      </c>
      <c r="Q178" s="221">
        <f>P178*N178</f>
        <v>106500</v>
      </c>
      <c r="R178" s="220"/>
      <c r="S178" s="219"/>
      <c r="T178" s="218"/>
      <c r="U178" s="218"/>
      <c r="V178" s="218"/>
      <c r="W178" s="218">
        <f>Table51013454[[#This Row],[العدد]]*Table51013454[[#This Row],[السعر الافرادي]]</f>
        <v>0</v>
      </c>
      <c r="X17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8" s="202">
        <f>Table51013454[[#This Row],[الكمية]]-Table51013454[[#This Row],[العدد]]</f>
        <v>3</v>
      </c>
      <c r="Z178" s="201">
        <f>Table51013454[[#This Row],[سعر/الحبة]]</f>
        <v>35500</v>
      </c>
      <c r="AA178" s="201">
        <f>Table51013454[[#This Row],[الإجمالي]]-Table51013454[[#This Row],[إجمالي المستبعد]]</f>
        <v>106500</v>
      </c>
      <c r="AB178" s="200">
        <v>0.25</v>
      </c>
      <c r="AC178" s="199"/>
      <c r="AD178" s="198" t="s">
        <v>55</v>
      </c>
      <c r="AE178" s="194"/>
      <c r="AF17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الشراء-الاستلام]]&lt;DATE(2017,1,1),Q178-AE178,0))</f>
        <v>0</v>
      </c>
      <c r="AG17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24290.753424657534</v>
      </c>
      <c r="AH17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8" s="196">
        <f>Table51013454[[#This Row],[اهلاك المستبعد
في 2017]]+Table51013454[[#This Row],[مجمع إهلاك المستبعد 
01-01-2017]]</f>
        <v>0</v>
      </c>
      <c r="AJ178" s="196">
        <f>Table51013454[[#This Row],[إجمالي المستبعد]]-Table51013454[[#This Row],[مجمع إهلاك المستبعد 
بتاريخ الأستبعاد]]</f>
        <v>0</v>
      </c>
      <c r="AK178" s="195"/>
      <c r="AL178" s="194">
        <f>IF(OR(Table51013454[[#This Row],[تاريخ الشراء-الاستلام]]="",Table51013454[[#This Row],[الإجمالي]]="",Table51013454[[#This Row],[العمر الافتراضي]]=""),"",IF(((AE178+AG178)-Table51013454[[#This Row],[مجمع إهلاك المستبعد 
بتاريخ الأستبعاد]])&lt;=0,0,((AE178+AG178)-Table51013454[[#This Row],[مجمع إهلاك المستبعد 
بتاريخ الأستبعاد]])))</f>
        <v>24290.753424657534</v>
      </c>
      <c r="AM17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الشراء-الاستلام]]&gt;DATE(2017,12,31),0,AA178-AL178)))</f>
        <v>82209.246575342462</v>
      </c>
    </row>
    <row r="179" spans="1:39" ht="78" hidden="1">
      <c r="A179" s="226">
        <f>IF(B179="","",SUBTOTAL(3,$B$6:B279))</f>
        <v>23</v>
      </c>
      <c r="B179" s="198" t="s">
        <v>603</v>
      </c>
      <c r="C179" s="215" t="s">
        <v>12</v>
      </c>
      <c r="D179" s="215"/>
      <c r="E179" s="198" t="s">
        <v>71</v>
      </c>
      <c r="F179" s="198" t="s">
        <v>52</v>
      </c>
      <c r="G179" s="198" t="s">
        <v>602</v>
      </c>
      <c r="H179" s="199" t="s">
        <v>602</v>
      </c>
      <c r="I179" s="198"/>
      <c r="J179" s="214" t="s">
        <v>601</v>
      </c>
      <c r="K179" s="213">
        <v>42795</v>
      </c>
      <c r="L179" s="212" t="s">
        <v>600</v>
      </c>
      <c r="M179" s="225" t="s">
        <v>599</v>
      </c>
      <c r="N179" s="224">
        <v>2</v>
      </c>
      <c r="O179" s="223"/>
      <c r="P179" s="222">
        <v>61000</v>
      </c>
      <c r="Q179" s="221">
        <f>P179*N179</f>
        <v>122000</v>
      </c>
      <c r="R179" s="220"/>
      <c r="S179" s="219"/>
      <c r="T179" s="218"/>
      <c r="U179" s="218"/>
      <c r="V179" s="218"/>
      <c r="W179" s="218">
        <f>Table51013454[[#This Row],[العدد]]*Table51013454[[#This Row],[السعر الافرادي]]</f>
        <v>0</v>
      </c>
      <c r="X179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79" s="202">
        <f>Table51013454[[#This Row],[الكمية]]-Table51013454[[#This Row],[العدد]]</f>
        <v>2</v>
      </c>
      <c r="Z179" s="201">
        <f>Table51013454[[#This Row],[سعر/الحبة]]</f>
        <v>61000</v>
      </c>
      <c r="AA179" s="201">
        <f>Table51013454[[#This Row],[الإجمالي]]-Table51013454[[#This Row],[إجمالي المستبعد]]</f>
        <v>122000</v>
      </c>
      <c r="AB179" s="200">
        <v>0.25</v>
      </c>
      <c r="AC179" s="199"/>
      <c r="AD179" s="198" t="s">
        <v>55</v>
      </c>
      <c r="AE179" s="194"/>
      <c r="AF17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الشراء-الاستلام]]&lt;DATE(2017,1,1),Q179-AE179,0))</f>
        <v>0</v>
      </c>
      <c r="AG17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25486.301369863013</v>
      </c>
      <c r="AH17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79" s="196">
        <f>Table51013454[[#This Row],[اهلاك المستبعد
في 2017]]+Table51013454[[#This Row],[مجمع إهلاك المستبعد 
01-01-2017]]</f>
        <v>0</v>
      </c>
      <c r="AJ179" s="196">
        <f>Table51013454[[#This Row],[إجمالي المستبعد]]-Table51013454[[#This Row],[مجمع إهلاك المستبعد 
بتاريخ الأستبعاد]]</f>
        <v>0</v>
      </c>
      <c r="AK179" s="195"/>
      <c r="AL179" s="194">
        <f>IF(OR(Table51013454[[#This Row],[تاريخ الشراء-الاستلام]]="",Table51013454[[#This Row],[الإجمالي]]="",Table51013454[[#This Row],[العمر الافتراضي]]=""),"",IF(((AE179+AG179)-Table51013454[[#This Row],[مجمع إهلاك المستبعد 
بتاريخ الأستبعاد]])&lt;=0,0,((AE179+AG179)-Table51013454[[#This Row],[مجمع إهلاك المستبعد 
بتاريخ الأستبعاد]])))</f>
        <v>25486.301369863013</v>
      </c>
      <c r="AM17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الشراء-الاستلام]]&gt;DATE(2017,12,31),0,AA179-AL179)))</f>
        <v>96513.698630136991</v>
      </c>
    </row>
    <row r="180" spans="1:39" ht="77.25">
      <c r="A180" s="226">
        <f>IF(B180="","",SUBTOTAL(3,$B$6:B241))</f>
        <v>23</v>
      </c>
      <c r="B180" s="198" t="s">
        <v>570</v>
      </c>
      <c r="C180" s="215" t="s">
        <v>12</v>
      </c>
      <c r="D180" s="215"/>
      <c r="E180" s="230" t="s">
        <v>1529</v>
      </c>
      <c r="F180" s="198" t="s">
        <v>52</v>
      </c>
      <c r="G180" s="198" t="s">
        <v>436</v>
      </c>
      <c r="H180" s="199" t="s">
        <v>72</v>
      </c>
      <c r="I180" s="198"/>
      <c r="J180" s="213"/>
      <c r="K180" s="213">
        <v>42737</v>
      </c>
      <c r="L180" s="212" t="s">
        <v>566</v>
      </c>
      <c r="M180" s="225" t="s">
        <v>565</v>
      </c>
      <c r="N180" s="224">
        <v>1</v>
      </c>
      <c r="O180" s="223"/>
      <c r="P180" s="222">
        <v>2300</v>
      </c>
      <c r="Q180" s="221">
        <f>P180*N180</f>
        <v>2300</v>
      </c>
      <c r="R180" s="220"/>
      <c r="S180" s="219"/>
      <c r="T180" s="218"/>
      <c r="U180" s="218"/>
      <c r="V180" s="218"/>
      <c r="W180" s="218">
        <f>Table51013454[[#This Row],[العدد]]*Table51013454[[#This Row],[السعر الافرادي]]</f>
        <v>0</v>
      </c>
      <c r="X180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0" s="202">
        <f>Table51013454[[#This Row],[الكمية]]-Table51013454[[#This Row],[العدد]]</f>
        <v>1</v>
      </c>
      <c r="Z180" s="201">
        <f>Table51013454[[#This Row],[سعر/الحبة]]</f>
        <v>2300</v>
      </c>
      <c r="AA180" s="201">
        <f>Table51013454[[#This Row],[الإجمالي]]-Table51013454[[#This Row],[إجمالي المستبعد]]</f>
        <v>2300</v>
      </c>
      <c r="AB180" s="200">
        <v>0.15</v>
      </c>
      <c r="AC180" s="199"/>
      <c r="AD180" s="198" t="s">
        <v>55</v>
      </c>
      <c r="AE180" s="194"/>
      <c r="AF180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الشراء-الاستلام]]&lt;DATE(2017,1,1),Q180-AE180,0))</f>
        <v>0</v>
      </c>
      <c r="AG180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343.10958904109589</v>
      </c>
      <c r="AH18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0" s="196">
        <f>Table51013454[[#This Row],[اهلاك المستبعد
في 2017]]+Table51013454[[#This Row],[مجمع إهلاك المستبعد 
01-01-2017]]</f>
        <v>0</v>
      </c>
      <c r="AJ180" s="196">
        <f>Table51013454[[#This Row],[إجمالي المستبعد]]-Table51013454[[#This Row],[مجمع إهلاك المستبعد 
بتاريخ الأستبعاد]]</f>
        <v>0</v>
      </c>
      <c r="AK180" s="195"/>
      <c r="AL180" s="194">
        <f>IF(OR(Table51013454[[#This Row],[تاريخ الشراء-الاستلام]]="",Table51013454[[#This Row],[الإجمالي]]="",Table51013454[[#This Row],[العمر الافتراضي]]=""),"",IF(((AE180+AG180)-Table51013454[[#This Row],[مجمع إهلاك المستبعد 
بتاريخ الأستبعاد]])&lt;=0,0,((AE180+AG180)-Table51013454[[#This Row],[مجمع إهلاك المستبعد 
بتاريخ الأستبعاد]])))</f>
        <v>343.10958904109589</v>
      </c>
      <c r="AM180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الشراء-الاستلام]]&gt;DATE(2017,12,31),0,AA180-AL180)))</f>
        <v>1956.8904109589041</v>
      </c>
    </row>
    <row r="181" spans="1:39" ht="77.25" hidden="1">
      <c r="A181" s="226">
        <f>IF(B181="","",SUBTOTAL(3,$B$6:B279))</f>
        <v>23</v>
      </c>
      <c r="B181" s="198" t="s">
        <v>596</v>
      </c>
      <c r="C181" s="215" t="s">
        <v>12</v>
      </c>
      <c r="D181" s="215"/>
      <c r="E181" s="198" t="s">
        <v>57</v>
      </c>
      <c r="F181" s="198" t="s">
        <v>52</v>
      </c>
      <c r="G181" s="198" t="s">
        <v>436</v>
      </c>
      <c r="H181" s="199" t="s">
        <v>72</v>
      </c>
      <c r="I181" s="198"/>
      <c r="J181" s="213"/>
      <c r="K181" s="213">
        <v>42747</v>
      </c>
      <c r="L181" s="212"/>
      <c r="M181" s="225" t="s">
        <v>506</v>
      </c>
      <c r="N181" s="224">
        <v>10</v>
      </c>
      <c r="O181" s="223">
        <v>9574</v>
      </c>
      <c r="P181" s="222">
        <v>200</v>
      </c>
      <c r="Q181" s="221">
        <f>P181*N181</f>
        <v>2000</v>
      </c>
      <c r="R181" s="220"/>
      <c r="S181" s="219"/>
      <c r="T181" s="218"/>
      <c r="U181" s="218"/>
      <c r="V181" s="218"/>
      <c r="W181" s="218">
        <f>Table51013454[[#This Row],[العدد]]*Table51013454[[#This Row],[السعر الافرادي]]</f>
        <v>0</v>
      </c>
      <c r="X181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1" s="202">
        <f>Table51013454[[#This Row],[الكمية]]-Table51013454[[#This Row],[العدد]]</f>
        <v>10</v>
      </c>
      <c r="Z181" s="201">
        <f>Table51013454[[#This Row],[سعر/الحبة]]</f>
        <v>200</v>
      </c>
      <c r="AA181" s="201">
        <f>Table51013454[[#This Row],[الإجمالي]]-Table51013454[[#This Row],[إجمالي المستبعد]]</f>
        <v>2000</v>
      </c>
      <c r="AB181" s="200">
        <v>0.15</v>
      </c>
      <c r="AC181" s="199"/>
      <c r="AD181" s="198" t="s">
        <v>55</v>
      </c>
      <c r="AE181" s="194"/>
      <c r="AF181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الشراء-الاستلام]]&lt;DATE(2017,1,1),Q181-AE181,0))</f>
        <v>0</v>
      </c>
      <c r="AG181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290.13698630136986</v>
      </c>
      <c r="AH18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1" s="196">
        <f>Table51013454[[#This Row],[اهلاك المستبعد
في 2017]]+Table51013454[[#This Row],[مجمع إهلاك المستبعد 
01-01-2017]]</f>
        <v>0</v>
      </c>
      <c r="AJ181" s="196">
        <f>Table51013454[[#This Row],[إجمالي المستبعد]]-Table51013454[[#This Row],[مجمع إهلاك المستبعد 
بتاريخ الأستبعاد]]</f>
        <v>0</v>
      </c>
      <c r="AK181" s="195"/>
      <c r="AL181" s="194">
        <f>IF(OR(Table51013454[[#This Row],[تاريخ الشراء-الاستلام]]="",Table51013454[[#This Row],[الإجمالي]]="",Table51013454[[#This Row],[العمر الافتراضي]]=""),"",IF(((AE181+AG181)-Table51013454[[#This Row],[مجمع إهلاك المستبعد 
بتاريخ الأستبعاد]])&lt;=0,0,((AE181+AG181)-Table51013454[[#This Row],[مجمع إهلاك المستبعد 
بتاريخ الأستبعاد]])))</f>
        <v>290.13698630136986</v>
      </c>
      <c r="AM181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الشراء-الاستلام]]&gt;DATE(2017,12,31),0,AA181-AL181)))</f>
        <v>1709.8630136986301</v>
      </c>
    </row>
    <row r="182" spans="1:39" ht="77.25">
      <c r="A182" s="226">
        <f>IF(B182="","",SUBTOTAL(3,$B$6:B281))</f>
        <v>23</v>
      </c>
      <c r="B182" s="198" t="s">
        <v>568</v>
      </c>
      <c r="C182" s="215" t="s">
        <v>12</v>
      </c>
      <c r="D182" s="215"/>
      <c r="E182" s="230" t="s">
        <v>1529</v>
      </c>
      <c r="F182" s="198" t="s">
        <v>52</v>
      </c>
      <c r="G182" s="198" t="s">
        <v>436</v>
      </c>
      <c r="H182" s="199" t="s">
        <v>72</v>
      </c>
      <c r="I182" s="198"/>
      <c r="J182" s="213"/>
      <c r="K182" s="213">
        <v>42739</v>
      </c>
      <c r="L182" s="212" t="s">
        <v>598</v>
      </c>
      <c r="M182" s="225" t="s">
        <v>506</v>
      </c>
      <c r="N182" s="224">
        <v>1</v>
      </c>
      <c r="O182" s="223" t="s">
        <v>597</v>
      </c>
      <c r="P182" s="222">
        <v>2200</v>
      </c>
      <c r="Q182" s="221">
        <f>P182*N182</f>
        <v>2200</v>
      </c>
      <c r="R182" s="220"/>
      <c r="S182" s="219"/>
      <c r="T182" s="218"/>
      <c r="U182" s="218"/>
      <c r="V182" s="218"/>
      <c r="W182" s="218">
        <f>Table51013454[[#This Row],[العدد]]*Table51013454[[#This Row],[السعر الافرادي]]</f>
        <v>0</v>
      </c>
      <c r="X182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2" s="202">
        <f>Table51013454[[#This Row],[الكمية]]-Table51013454[[#This Row],[العدد]]</f>
        <v>1</v>
      </c>
      <c r="Z182" s="201">
        <f>Table51013454[[#This Row],[سعر/الحبة]]</f>
        <v>2200</v>
      </c>
      <c r="AA182" s="201">
        <f>Table51013454[[#This Row],[الإجمالي]]-Table51013454[[#This Row],[إجمالي المستبعد]]</f>
        <v>2200</v>
      </c>
      <c r="AB182" s="200">
        <v>0.15</v>
      </c>
      <c r="AC182" s="199"/>
      <c r="AD182" s="198" t="s">
        <v>55</v>
      </c>
      <c r="AE182" s="194"/>
      <c r="AF182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الشراء-الاستلام]]&lt;DATE(2017,1,1),Q182-AE182,0))</f>
        <v>0</v>
      </c>
      <c r="AG182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326.38356164383561</v>
      </c>
      <c r="AH18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2" s="196">
        <f>Table51013454[[#This Row],[اهلاك المستبعد
في 2017]]+Table51013454[[#This Row],[مجمع إهلاك المستبعد 
01-01-2017]]</f>
        <v>0</v>
      </c>
      <c r="AJ182" s="196">
        <f>Table51013454[[#This Row],[إجمالي المستبعد]]-Table51013454[[#This Row],[مجمع إهلاك المستبعد 
بتاريخ الأستبعاد]]</f>
        <v>0</v>
      </c>
      <c r="AK182" s="195"/>
      <c r="AL182" s="194">
        <f>IF(OR(Table51013454[[#This Row],[تاريخ الشراء-الاستلام]]="",Table51013454[[#This Row],[الإجمالي]]="",Table51013454[[#This Row],[العمر الافتراضي]]=""),"",IF(((AE182+AG182)-Table51013454[[#This Row],[مجمع إهلاك المستبعد 
بتاريخ الأستبعاد]])&lt;=0,0,((AE182+AG182)-Table51013454[[#This Row],[مجمع إهلاك المستبعد 
بتاريخ الأستبعاد]])))</f>
        <v>326.38356164383561</v>
      </c>
      <c r="AM182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الشراء-الاستلام]]&gt;DATE(2017,12,31),0,AA182-AL182)))</f>
        <v>1873.6164383561645</v>
      </c>
    </row>
    <row r="183" spans="1:39" ht="77.25">
      <c r="A183" s="226">
        <f>IF(B183="","",SUBTOTAL(3,$B$6:B280))</f>
        <v>23</v>
      </c>
      <c r="B183" s="198" t="s">
        <v>570</v>
      </c>
      <c r="C183" s="215" t="s">
        <v>12</v>
      </c>
      <c r="D183" s="215"/>
      <c r="E183" s="230" t="s">
        <v>1529</v>
      </c>
      <c r="F183" s="198" t="s">
        <v>52</v>
      </c>
      <c r="G183" s="198" t="s">
        <v>436</v>
      </c>
      <c r="H183" s="199" t="s">
        <v>72</v>
      </c>
      <c r="I183" s="198"/>
      <c r="J183" s="213"/>
      <c r="K183" s="213">
        <v>42766</v>
      </c>
      <c r="L183" s="212" t="s">
        <v>574</v>
      </c>
      <c r="M183" s="225" t="s">
        <v>594</v>
      </c>
      <c r="N183" s="224">
        <v>42</v>
      </c>
      <c r="O183" s="223"/>
      <c r="P183" s="222">
        <v>1900</v>
      </c>
      <c r="Q183" s="221">
        <f>P183*N183</f>
        <v>79800</v>
      </c>
      <c r="R183" s="220"/>
      <c r="S183" s="219"/>
      <c r="T183" s="218"/>
      <c r="U183" s="218"/>
      <c r="V183" s="218"/>
      <c r="W183" s="218">
        <f>Table51013454[[#This Row],[العدد]]*Table51013454[[#This Row],[السعر الافرادي]]</f>
        <v>0</v>
      </c>
      <c r="X18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3" s="202">
        <f>Table51013454[[#This Row],[الكمية]]-Table51013454[[#This Row],[العدد]]</f>
        <v>42</v>
      </c>
      <c r="Z183" s="201">
        <f>Table51013454[[#This Row],[سعر/الحبة]]</f>
        <v>1900</v>
      </c>
      <c r="AA183" s="201">
        <f>Table51013454[[#This Row],[الإجمالي]]-Table51013454[[#This Row],[إجمالي المستبعد]]</f>
        <v>79800</v>
      </c>
      <c r="AB183" s="200">
        <v>0.15</v>
      </c>
      <c r="AC183" s="199"/>
      <c r="AD183" s="198" t="s">
        <v>55</v>
      </c>
      <c r="AE183" s="194"/>
      <c r="AF18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الشراء-الاستلام]]&lt;DATE(2017,1,1),Q183-AE183,0))</f>
        <v>0</v>
      </c>
      <c r="AG18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10953.369863013699</v>
      </c>
      <c r="AH18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3" s="196">
        <f>Table51013454[[#This Row],[اهلاك المستبعد
في 2017]]+Table51013454[[#This Row],[مجمع إهلاك المستبعد 
01-01-2017]]</f>
        <v>0</v>
      </c>
      <c r="AJ183" s="196">
        <f>Table51013454[[#This Row],[إجمالي المستبعد]]-Table51013454[[#This Row],[مجمع إهلاك المستبعد 
بتاريخ الأستبعاد]]</f>
        <v>0</v>
      </c>
      <c r="AK183" s="195"/>
      <c r="AL183" s="194">
        <f>IF(OR(Table51013454[[#This Row],[تاريخ الشراء-الاستلام]]="",Table51013454[[#This Row],[الإجمالي]]="",Table51013454[[#This Row],[العمر الافتراضي]]=""),"",IF(((AE183+AG183)-Table51013454[[#This Row],[مجمع إهلاك المستبعد 
بتاريخ الأستبعاد]])&lt;=0,0,((AE183+AG183)-Table51013454[[#This Row],[مجمع إهلاك المستبعد 
بتاريخ الأستبعاد]])))</f>
        <v>10953.369863013699</v>
      </c>
      <c r="AM18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الشراء-الاستلام]]&gt;DATE(2017,12,31),0,AA183-AL183)))</f>
        <v>68846.630136986307</v>
      </c>
    </row>
    <row r="184" spans="1:39" ht="77.25">
      <c r="A184" s="226">
        <f>IF(B184="","",SUBTOTAL(3,$B$6:B280))</f>
        <v>23</v>
      </c>
      <c r="B184" s="198" t="s">
        <v>595</v>
      </c>
      <c r="C184" s="215" t="s">
        <v>12</v>
      </c>
      <c r="D184" s="215"/>
      <c r="E184" s="230" t="s">
        <v>1529</v>
      </c>
      <c r="F184" s="198" t="s">
        <v>52</v>
      </c>
      <c r="G184" s="198" t="s">
        <v>436</v>
      </c>
      <c r="H184" s="199" t="s">
        <v>72</v>
      </c>
      <c r="I184" s="198"/>
      <c r="J184" s="213"/>
      <c r="K184" s="213">
        <v>42766</v>
      </c>
      <c r="L184" s="212" t="s">
        <v>574</v>
      </c>
      <c r="M184" s="225" t="s">
        <v>594</v>
      </c>
      <c r="N184" s="224">
        <v>50</v>
      </c>
      <c r="O184" s="223"/>
      <c r="P184" s="222">
        <v>1300</v>
      </c>
      <c r="Q184" s="221">
        <f>P184*N184</f>
        <v>65000</v>
      </c>
      <c r="R184" s="220"/>
      <c r="S184" s="219"/>
      <c r="T184" s="218"/>
      <c r="U184" s="218"/>
      <c r="V184" s="218"/>
      <c r="W184" s="218">
        <f>Table51013454[[#This Row],[العدد]]*Table51013454[[#This Row],[السعر الافرادي]]</f>
        <v>0</v>
      </c>
      <c r="X184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4" s="202">
        <f>Table51013454[[#This Row],[الكمية]]-Table51013454[[#This Row],[العدد]]</f>
        <v>50</v>
      </c>
      <c r="Z184" s="201">
        <f>Table51013454[[#This Row],[سعر/الحبة]]</f>
        <v>1300</v>
      </c>
      <c r="AA184" s="201">
        <f>Table51013454[[#This Row],[الإجمالي]]-Table51013454[[#This Row],[إجمالي المستبعد]]</f>
        <v>65000</v>
      </c>
      <c r="AB184" s="200">
        <v>0.15</v>
      </c>
      <c r="AC184" s="199"/>
      <c r="AD184" s="198" t="s">
        <v>55</v>
      </c>
      <c r="AE184" s="194"/>
      <c r="AF184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الشراء-الاستلام]]&lt;DATE(2017,1,1),Q184-AE184,0))</f>
        <v>0</v>
      </c>
      <c r="AG184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8921.9178082191793</v>
      </c>
      <c r="AH184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4" s="196">
        <f>Table51013454[[#This Row],[اهلاك المستبعد
في 2017]]+Table51013454[[#This Row],[مجمع إهلاك المستبعد 
01-01-2017]]</f>
        <v>0</v>
      </c>
      <c r="AJ184" s="196">
        <f>Table51013454[[#This Row],[إجمالي المستبعد]]-Table51013454[[#This Row],[مجمع إهلاك المستبعد 
بتاريخ الأستبعاد]]</f>
        <v>0</v>
      </c>
      <c r="AK184" s="195"/>
      <c r="AL184" s="194">
        <f>IF(OR(Table51013454[[#This Row],[تاريخ الشراء-الاستلام]]="",Table51013454[[#This Row],[الإجمالي]]="",Table51013454[[#This Row],[العمر الافتراضي]]=""),"",IF(((AE184+AG184)-Table51013454[[#This Row],[مجمع إهلاك المستبعد 
بتاريخ الأستبعاد]])&lt;=0,0,((AE184+AG184)-Table51013454[[#This Row],[مجمع إهلاك المستبعد 
بتاريخ الأستبعاد]])))</f>
        <v>8921.9178082191793</v>
      </c>
      <c r="AM184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الشراء-الاستلام]]&gt;DATE(2017,12,31),0,AA184-AL184)))</f>
        <v>56078.082191780821</v>
      </c>
    </row>
    <row r="185" spans="1:39" ht="77.25" hidden="1">
      <c r="A185" s="226">
        <f>IF(B185="","",SUBTOTAL(3,$B$6:B279))</f>
        <v>23</v>
      </c>
      <c r="B185" s="198" t="s">
        <v>593</v>
      </c>
      <c r="C185" s="215" t="s">
        <v>12</v>
      </c>
      <c r="D185" s="215"/>
      <c r="E185" s="198" t="s">
        <v>57</v>
      </c>
      <c r="F185" s="198" t="s">
        <v>482</v>
      </c>
      <c r="G185" s="198"/>
      <c r="H185" s="199" t="s">
        <v>72</v>
      </c>
      <c r="I185" s="198"/>
      <c r="J185" s="213"/>
      <c r="K185" s="213">
        <v>42788</v>
      </c>
      <c r="L185" s="212" t="s">
        <v>574</v>
      </c>
      <c r="M185" s="225" t="s">
        <v>588</v>
      </c>
      <c r="N185" s="224">
        <v>50</v>
      </c>
      <c r="O185" s="223"/>
      <c r="P185" s="222">
        <v>580</v>
      </c>
      <c r="Q185" s="221">
        <f>P185*N185</f>
        <v>29000</v>
      </c>
      <c r="R185" s="220"/>
      <c r="S185" s="219"/>
      <c r="T185" s="218"/>
      <c r="U185" s="218"/>
      <c r="V185" s="218"/>
      <c r="W185" s="218">
        <f>Table51013454[[#This Row],[العدد]]*Table51013454[[#This Row],[السعر الافرادي]]</f>
        <v>0</v>
      </c>
      <c r="X185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5" s="202">
        <f>Table51013454[[#This Row],[الكمية]]-Table51013454[[#This Row],[العدد]]</f>
        <v>50</v>
      </c>
      <c r="Z185" s="201">
        <f>Table51013454[[#This Row],[سعر/الحبة]]</f>
        <v>580</v>
      </c>
      <c r="AA185" s="201">
        <f>Table51013454[[#This Row],[الإجمالي]]-Table51013454[[#This Row],[إجمالي المستبعد]]</f>
        <v>29000</v>
      </c>
      <c r="AB185" s="200">
        <v>0.15</v>
      </c>
      <c r="AC185" s="199"/>
      <c r="AD185" s="198" t="s">
        <v>55</v>
      </c>
      <c r="AE185" s="194"/>
      <c r="AF18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الشراء-الاستلام]]&lt;DATE(2017,1,1),Q185-AE185,0))</f>
        <v>0</v>
      </c>
      <c r="AG18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3718.3561643835619</v>
      </c>
      <c r="AH18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5" s="196">
        <f>Table51013454[[#This Row],[اهلاك المستبعد
في 2017]]+Table51013454[[#This Row],[مجمع إهلاك المستبعد 
01-01-2017]]</f>
        <v>0</v>
      </c>
      <c r="AJ185" s="196">
        <f>Table51013454[[#This Row],[إجمالي المستبعد]]-Table51013454[[#This Row],[مجمع إهلاك المستبعد 
بتاريخ الأستبعاد]]</f>
        <v>0</v>
      </c>
      <c r="AK185" s="195"/>
      <c r="AL185" s="194">
        <f>IF(OR(Table51013454[[#This Row],[تاريخ الشراء-الاستلام]]="",Table51013454[[#This Row],[الإجمالي]]="",Table51013454[[#This Row],[العمر الافتراضي]]=""),"",IF(((AE185+AG185)-Table51013454[[#This Row],[مجمع إهلاك المستبعد 
بتاريخ الأستبعاد]])&lt;=0,0,((AE185+AG185)-Table51013454[[#This Row],[مجمع إهلاك المستبعد 
بتاريخ الأستبعاد]])))</f>
        <v>3718.3561643835619</v>
      </c>
      <c r="AM18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الشراء-الاستلام]]&gt;DATE(2017,12,31),0,AA185-AL185)))</f>
        <v>25281.643835616436</v>
      </c>
    </row>
    <row r="186" spans="1:39" ht="77.25" hidden="1">
      <c r="A186" s="239">
        <f>IF(B186="","",SUBTOTAL(3,$B$6:B186))</f>
        <v>8</v>
      </c>
      <c r="B186" s="230" t="s">
        <v>591</v>
      </c>
      <c r="C186" s="215" t="s">
        <v>12</v>
      </c>
      <c r="D186" s="215"/>
      <c r="E186" s="198" t="s">
        <v>57</v>
      </c>
      <c r="F186" s="198" t="s">
        <v>482</v>
      </c>
      <c r="G186" s="198"/>
      <c r="H186" s="199" t="s">
        <v>72</v>
      </c>
      <c r="I186" s="230"/>
      <c r="J186" s="236"/>
      <c r="K186" s="213">
        <v>42788</v>
      </c>
      <c r="L186" s="212" t="s">
        <v>574</v>
      </c>
      <c r="M186" s="225" t="s">
        <v>588</v>
      </c>
      <c r="N186" s="224">
        <v>50</v>
      </c>
      <c r="O186" s="223"/>
      <c r="P186" s="222">
        <v>73</v>
      </c>
      <c r="Q186" s="221">
        <f>P186*N186</f>
        <v>3650</v>
      </c>
      <c r="R186" s="220"/>
      <c r="S186" s="219"/>
      <c r="T186" s="218"/>
      <c r="U186" s="218"/>
      <c r="V186" s="218"/>
      <c r="W186" s="218">
        <f>Table51013454[[#This Row],[العدد]]*Table51013454[[#This Row],[السعر الافرادي]]</f>
        <v>0</v>
      </c>
      <c r="X186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6" s="234">
        <f>Table51013454[[#This Row],[الكمية]]-Table51013454[[#This Row],[العدد]]</f>
        <v>50</v>
      </c>
      <c r="Z186" s="233">
        <f>Table51013454[[#This Row],[سعر/الحبة]]</f>
        <v>73</v>
      </c>
      <c r="AA186" s="233">
        <f>Table51013454[[#This Row],[الإجمالي]]-Table51013454[[#This Row],[إجمالي المستبعد]]</f>
        <v>3650</v>
      </c>
      <c r="AB186" s="232">
        <v>0.15</v>
      </c>
      <c r="AC186" s="231"/>
      <c r="AD186" s="230" t="s">
        <v>55</v>
      </c>
      <c r="AE186" s="228"/>
      <c r="AF186" s="22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الشراء-الاستلام]]&lt;DATE(2017,1,1),Q186-AE186,0))</f>
        <v>0</v>
      </c>
      <c r="AG186" s="229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468</v>
      </c>
      <c r="AH186" s="24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6" s="245">
        <f>Table51013454[[#This Row],[اهلاك المستبعد
في 2017]]+Table51013454[[#This Row],[مجمع إهلاك المستبعد 
01-01-2017]]</f>
        <v>0</v>
      </c>
      <c r="AJ186" s="245">
        <f>Table51013454[[#This Row],[إجمالي المستبعد]]-Table51013454[[#This Row],[مجمع إهلاك المستبعد 
بتاريخ الأستبعاد]]</f>
        <v>0</v>
      </c>
      <c r="AK186" s="244"/>
      <c r="AL186" s="228">
        <f>IF(OR(Table51013454[[#This Row],[تاريخ الشراء-الاستلام]]="",Table51013454[[#This Row],[الإجمالي]]="",Table51013454[[#This Row],[العمر الافتراضي]]=""),"",IF(((AE186+AG186)-Table51013454[[#This Row],[مجمع إهلاك المستبعد 
بتاريخ الأستبعاد]])&lt;=0,0,((AE186+AG186)-Table51013454[[#This Row],[مجمع إهلاك المستبعد 
بتاريخ الأستبعاد]])))</f>
        <v>468</v>
      </c>
      <c r="AM186" s="22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الشراء-الاستلام]]&gt;DATE(2017,12,31),0,AA186-AL186)))</f>
        <v>3182</v>
      </c>
    </row>
    <row r="187" spans="1:39" ht="77.25" hidden="1">
      <c r="A187" s="226">
        <f>IF(B187="","",SUBTOTAL(3,$B$6:B279))</f>
        <v>23</v>
      </c>
      <c r="B187" s="198" t="s">
        <v>592</v>
      </c>
      <c r="C187" s="215" t="s">
        <v>12</v>
      </c>
      <c r="D187" s="215"/>
      <c r="E187" s="198" t="s">
        <v>57</v>
      </c>
      <c r="F187" s="198" t="s">
        <v>96</v>
      </c>
      <c r="G187" s="198"/>
      <c r="H187" s="199" t="s">
        <v>72</v>
      </c>
      <c r="I187" s="198"/>
      <c r="J187" s="213"/>
      <c r="K187" s="213">
        <v>42788</v>
      </c>
      <c r="L187" s="212" t="s">
        <v>574</v>
      </c>
      <c r="M187" s="225" t="s">
        <v>588</v>
      </c>
      <c r="N187" s="224">
        <v>30</v>
      </c>
      <c r="O187" s="223"/>
      <c r="P187" s="222">
        <v>580</v>
      </c>
      <c r="Q187" s="221">
        <f>P187*N187</f>
        <v>17400</v>
      </c>
      <c r="R187" s="220"/>
      <c r="S187" s="219"/>
      <c r="T187" s="218"/>
      <c r="U187" s="218"/>
      <c r="V187" s="218"/>
      <c r="W187" s="218">
        <f>Table51013454[[#This Row],[العدد]]*Table51013454[[#This Row],[السعر الافرادي]]</f>
        <v>0</v>
      </c>
      <c r="X18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7" s="202">
        <f>Table51013454[[#This Row],[الكمية]]-Table51013454[[#This Row],[العدد]]</f>
        <v>30</v>
      </c>
      <c r="Z187" s="201">
        <f>Table51013454[[#This Row],[سعر/الحبة]]</f>
        <v>580</v>
      </c>
      <c r="AA187" s="201">
        <f>Table51013454[[#This Row],[الإجمالي]]-Table51013454[[#This Row],[إجمالي المستبعد]]</f>
        <v>17400</v>
      </c>
      <c r="AB187" s="200">
        <v>0.15</v>
      </c>
      <c r="AC187" s="199"/>
      <c r="AD187" s="198" t="s">
        <v>55</v>
      </c>
      <c r="AE187" s="194"/>
      <c r="AF187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الشراء-الاستلام]]&lt;DATE(2017,1,1),Q187-AE187,0))</f>
        <v>0</v>
      </c>
      <c r="AG187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2231.0136986301372</v>
      </c>
      <c r="AH18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7" s="196">
        <f>Table51013454[[#This Row],[اهلاك المستبعد
في 2017]]+Table51013454[[#This Row],[مجمع إهلاك المستبعد 
01-01-2017]]</f>
        <v>0</v>
      </c>
      <c r="AJ187" s="196">
        <f>Table51013454[[#This Row],[إجمالي المستبعد]]-Table51013454[[#This Row],[مجمع إهلاك المستبعد 
بتاريخ الأستبعاد]]</f>
        <v>0</v>
      </c>
      <c r="AK187" s="195"/>
      <c r="AL187" s="194">
        <f>IF(OR(Table51013454[[#This Row],[تاريخ الشراء-الاستلام]]="",Table51013454[[#This Row],[الإجمالي]]="",Table51013454[[#This Row],[العمر الافتراضي]]=""),"",IF(((AE187+AG187)-Table51013454[[#This Row],[مجمع إهلاك المستبعد 
بتاريخ الأستبعاد]])&lt;=0,0,((AE187+AG187)-Table51013454[[#This Row],[مجمع إهلاك المستبعد 
بتاريخ الأستبعاد]])))</f>
        <v>2231.0136986301372</v>
      </c>
      <c r="AM187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الشراء-الاستلام]]&gt;DATE(2017,12,31),0,AA187-AL187)))</f>
        <v>15168.986301369863</v>
      </c>
    </row>
    <row r="188" spans="1:39" ht="77.25" hidden="1">
      <c r="A188" s="239">
        <f>IF(B188="","",SUBTOTAL(3,$B$6:B188))</f>
        <v>8</v>
      </c>
      <c r="B188" s="198" t="s">
        <v>591</v>
      </c>
      <c r="C188" s="215" t="s">
        <v>12</v>
      </c>
      <c r="D188" s="215"/>
      <c r="E188" s="198" t="s">
        <v>57</v>
      </c>
      <c r="F188" s="198" t="s">
        <v>96</v>
      </c>
      <c r="G188" s="198"/>
      <c r="H188" s="199" t="s">
        <v>72</v>
      </c>
      <c r="I188" s="230"/>
      <c r="J188" s="236"/>
      <c r="K188" s="213">
        <v>42788</v>
      </c>
      <c r="L188" s="212" t="s">
        <v>574</v>
      </c>
      <c r="M188" s="225" t="s">
        <v>588</v>
      </c>
      <c r="N188" s="224">
        <v>1</v>
      </c>
      <c r="O188" s="223"/>
      <c r="P188" s="222">
        <v>800</v>
      </c>
      <c r="Q188" s="221">
        <f>P188*N188</f>
        <v>800</v>
      </c>
      <c r="R188" s="220"/>
      <c r="S188" s="219"/>
      <c r="T188" s="218"/>
      <c r="U188" s="218"/>
      <c r="V188" s="218"/>
      <c r="W188" s="218">
        <f>Table51013454[[#This Row],[العدد]]*Table51013454[[#This Row],[السعر الافرادي]]</f>
        <v>0</v>
      </c>
      <c r="X18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8" s="234">
        <f>Table51013454[[#This Row],[الكمية]]-Table51013454[[#This Row],[العدد]]</f>
        <v>1</v>
      </c>
      <c r="Z188" s="233">
        <f>Table51013454[[#This Row],[سعر/الحبة]]</f>
        <v>800</v>
      </c>
      <c r="AA188" s="233">
        <f>Table51013454[[#This Row],[الإجمالي]]-Table51013454[[#This Row],[إجمالي المستبعد]]</f>
        <v>800</v>
      </c>
      <c r="AB188" s="232">
        <v>0.15</v>
      </c>
      <c r="AC188" s="231"/>
      <c r="AD188" s="230" t="s">
        <v>55</v>
      </c>
      <c r="AE188" s="228"/>
      <c r="AF188" s="22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الشراء-الاستلام]]&lt;DATE(2017,1,1),Q188-AE188,0))</f>
        <v>0</v>
      </c>
      <c r="AG188" s="229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102.57534246575342</v>
      </c>
      <c r="AH188" s="24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8" s="245">
        <f>Table51013454[[#This Row],[اهلاك المستبعد
في 2017]]+Table51013454[[#This Row],[مجمع إهلاك المستبعد 
01-01-2017]]</f>
        <v>0</v>
      </c>
      <c r="AJ188" s="245">
        <f>Table51013454[[#This Row],[إجمالي المستبعد]]-Table51013454[[#This Row],[مجمع إهلاك المستبعد 
بتاريخ الأستبعاد]]</f>
        <v>0</v>
      </c>
      <c r="AK188" s="244"/>
      <c r="AL188" s="228">
        <f>IF(OR(Table51013454[[#This Row],[تاريخ الشراء-الاستلام]]="",Table51013454[[#This Row],[الإجمالي]]="",Table51013454[[#This Row],[العمر الافتراضي]]=""),"",IF(((AE188+AG188)-Table51013454[[#This Row],[مجمع إهلاك المستبعد 
بتاريخ الأستبعاد]])&lt;=0,0,((AE188+AG188)-Table51013454[[#This Row],[مجمع إهلاك المستبعد 
بتاريخ الأستبعاد]])))</f>
        <v>102.57534246575342</v>
      </c>
      <c r="AM188" s="22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الشراء-الاستلام]]&gt;DATE(2017,12,31),0,AA188-AL188)))</f>
        <v>697.42465753424653</v>
      </c>
    </row>
    <row r="189" spans="1:39" ht="77.25" hidden="1">
      <c r="A189" s="226">
        <f>IF(B189="","",SUBTOTAL(3,$B$6:B279))</f>
        <v>23</v>
      </c>
      <c r="B189" s="198" t="s">
        <v>590</v>
      </c>
      <c r="C189" s="215" t="s">
        <v>12</v>
      </c>
      <c r="D189" s="215"/>
      <c r="E189" s="198" t="s">
        <v>57</v>
      </c>
      <c r="F189" s="198" t="s">
        <v>96</v>
      </c>
      <c r="G189" s="198"/>
      <c r="H189" s="199" t="s">
        <v>72</v>
      </c>
      <c r="I189" s="198"/>
      <c r="J189" s="213"/>
      <c r="K189" s="213">
        <v>42792</v>
      </c>
      <c r="L189" s="212" t="s">
        <v>574</v>
      </c>
      <c r="M189" s="225" t="s">
        <v>588</v>
      </c>
      <c r="N189" s="224">
        <v>50</v>
      </c>
      <c r="O189" s="223"/>
      <c r="P189" s="222">
        <v>1000</v>
      </c>
      <c r="Q189" s="221">
        <f>P189*N189</f>
        <v>50000</v>
      </c>
      <c r="R189" s="220"/>
      <c r="S189" s="219"/>
      <c r="T189" s="218"/>
      <c r="U189" s="218"/>
      <c r="V189" s="218"/>
      <c r="W189" s="218">
        <f>Table51013454[[#This Row],[العدد]]*Table51013454[[#This Row],[السعر الافرادي]]</f>
        <v>0</v>
      </c>
      <c r="X189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89" s="202">
        <f>Table51013454[[#This Row],[الكمية]]-Table51013454[[#This Row],[العدد]]</f>
        <v>50</v>
      </c>
      <c r="Z189" s="201">
        <f>Table51013454[[#This Row],[سعر/الحبة]]</f>
        <v>1000</v>
      </c>
      <c r="AA189" s="201">
        <f>Table51013454[[#This Row],[الإجمالي]]-Table51013454[[#This Row],[إجمالي المستبعد]]</f>
        <v>50000</v>
      </c>
      <c r="AB189" s="200">
        <v>0.15</v>
      </c>
      <c r="AC189" s="199"/>
      <c r="AD189" s="198" t="s">
        <v>55</v>
      </c>
      <c r="AE189" s="194"/>
      <c r="AF18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الشراء-الاستلام]]&lt;DATE(2017,1,1),Q189-AE189,0))</f>
        <v>0</v>
      </c>
      <c r="AG18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6328.767123287671</v>
      </c>
      <c r="AH18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89" s="196">
        <f>Table51013454[[#This Row],[اهلاك المستبعد
في 2017]]+Table51013454[[#This Row],[مجمع إهلاك المستبعد 
01-01-2017]]</f>
        <v>0</v>
      </c>
      <c r="AJ189" s="196">
        <f>Table51013454[[#This Row],[إجمالي المستبعد]]-Table51013454[[#This Row],[مجمع إهلاك المستبعد 
بتاريخ الأستبعاد]]</f>
        <v>0</v>
      </c>
      <c r="AK189" s="195"/>
      <c r="AL189" s="194">
        <f>IF(OR(Table51013454[[#This Row],[تاريخ الشراء-الاستلام]]="",Table51013454[[#This Row],[الإجمالي]]="",Table51013454[[#This Row],[العمر الافتراضي]]=""),"",IF(((AE189+AG189)-Table51013454[[#This Row],[مجمع إهلاك المستبعد 
بتاريخ الأستبعاد]])&lt;=0,0,((AE189+AG189)-Table51013454[[#This Row],[مجمع إهلاك المستبعد 
بتاريخ الأستبعاد]])))</f>
        <v>6328.767123287671</v>
      </c>
      <c r="AM18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الشراء-الاستلام]]&gt;DATE(2017,12,31),0,AA189-AL189)))</f>
        <v>43671.232876712325</v>
      </c>
    </row>
    <row r="190" spans="1:39" ht="77.25" hidden="1">
      <c r="A190" s="226">
        <f>IF(B190="","",SUBTOTAL(3,$B$6:B279))</f>
        <v>23</v>
      </c>
      <c r="B190" s="198" t="s">
        <v>590</v>
      </c>
      <c r="C190" s="215" t="s">
        <v>12</v>
      </c>
      <c r="D190" s="215"/>
      <c r="E190" s="198" t="s">
        <v>57</v>
      </c>
      <c r="F190" s="198" t="s">
        <v>482</v>
      </c>
      <c r="G190" s="198"/>
      <c r="H190" s="199" t="s">
        <v>72</v>
      </c>
      <c r="I190" s="198"/>
      <c r="J190" s="213"/>
      <c r="K190" s="213">
        <v>42788</v>
      </c>
      <c r="L190" s="212" t="s">
        <v>574</v>
      </c>
      <c r="M190" s="225" t="s">
        <v>588</v>
      </c>
      <c r="N190" s="224">
        <v>10</v>
      </c>
      <c r="O190" s="223"/>
      <c r="P190" s="222">
        <v>1000</v>
      </c>
      <c r="Q190" s="221">
        <f>P190*N190</f>
        <v>10000</v>
      </c>
      <c r="R190" s="220"/>
      <c r="S190" s="219"/>
      <c r="T190" s="218"/>
      <c r="U190" s="218"/>
      <c r="V190" s="218"/>
      <c r="W190" s="218">
        <f>Table51013454[[#This Row],[العدد]]*Table51013454[[#This Row],[السعر الافرادي]]</f>
        <v>0</v>
      </c>
      <c r="X190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0" s="202">
        <f>Table51013454[[#This Row],[الكمية]]-Table51013454[[#This Row],[العدد]]</f>
        <v>10</v>
      </c>
      <c r="Z190" s="201">
        <f>Table51013454[[#This Row],[سعر/الحبة]]</f>
        <v>1000</v>
      </c>
      <c r="AA190" s="201">
        <f>Table51013454[[#This Row],[الإجمالي]]-Table51013454[[#This Row],[إجمالي المستبعد]]</f>
        <v>10000</v>
      </c>
      <c r="AB190" s="200">
        <v>0.15</v>
      </c>
      <c r="AC190" s="199"/>
      <c r="AD190" s="198" t="s">
        <v>55</v>
      </c>
      <c r="AE190" s="194"/>
      <c r="AF190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الشراء-الاستلام]]&lt;DATE(2017,1,1),Q190-AE190,0))</f>
        <v>0</v>
      </c>
      <c r="AG190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1282.191780821918</v>
      </c>
      <c r="AH19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0" s="196">
        <f>Table51013454[[#This Row],[اهلاك المستبعد
في 2017]]+Table51013454[[#This Row],[مجمع إهلاك المستبعد 
01-01-2017]]</f>
        <v>0</v>
      </c>
      <c r="AJ190" s="196">
        <f>Table51013454[[#This Row],[إجمالي المستبعد]]-Table51013454[[#This Row],[مجمع إهلاك المستبعد 
بتاريخ الأستبعاد]]</f>
        <v>0</v>
      </c>
      <c r="AK190" s="195"/>
      <c r="AL190" s="194">
        <f>IF(OR(Table51013454[[#This Row],[تاريخ الشراء-الاستلام]]="",Table51013454[[#This Row],[الإجمالي]]="",Table51013454[[#This Row],[العمر الافتراضي]]=""),"",IF(((AE190+AG190)-Table51013454[[#This Row],[مجمع إهلاك المستبعد 
بتاريخ الأستبعاد]])&lt;=0,0,((AE190+AG190)-Table51013454[[#This Row],[مجمع إهلاك المستبعد 
بتاريخ الأستبعاد]])))</f>
        <v>1282.191780821918</v>
      </c>
      <c r="AM190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الشراء-الاستلام]]&gt;DATE(2017,12,31),0,AA190-AL190)))</f>
        <v>8717.8082191780813</v>
      </c>
    </row>
    <row r="191" spans="1:39" ht="77.25">
      <c r="A191" s="226">
        <f>IF(B191="","",SUBTOTAL(3,$B$6:B276))</f>
        <v>23</v>
      </c>
      <c r="B191" s="198" t="s">
        <v>570</v>
      </c>
      <c r="C191" s="215" t="s">
        <v>12</v>
      </c>
      <c r="D191" s="215"/>
      <c r="E191" s="230" t="s">
        <v>1529</v>
      </c>
      <c r="F191" s="198" t="s">
        <v>52</v>
      </c>
      <c r="G191" s="198" t="s">
        <v>436</v>
      </c>
      <c r="H191" s="199" t="s">
        <v>72</v>
      </c>
      <c r="I191" s="198"/>
      <c r="J191" s="213"/>
      <c r="K191" s="213">
        <v>42771</v>
      </c>
      <c r="L191" s="212" t="s">
        <v>574</v>
      </c>
      <c r="M191" s="225" t="s">
        <v>588</v>
      </c>
      <c r="N191" s="224">
        <v>8</v>
      </c>
      <c r="O191" s="223"/>
      <c r="P191" s="222">
        <v>1900</v>
      </c>
      <c r="Q191" s="221">
        <f>P191*N191</f>
        <v>15200</v>
      </c>
      <c r="R191" s="220"/>
      <c r="S191" s="219"/>
      <c r="T191" s="218"/>
      <c r="U191" s="218"/>
      <c r="V191" s="218"/>
      <c r="W191" s="218">
        <f>Table51013454[[#This Row],[العدد]]*Table51013454[[#This Row],[السعر الافرادي]]</f>
        <v>0</v>
      </c>
      <c r="X191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1" s="202">
        <f>Table51013454[[#This Row],[الكمية]]-Table51013454[[#This Row],[العدد]]</f>
        <v>8</v>
      </c>
      <c r="Z191" s="201">
        <f>Table51013454[[#This Row],[سعر/الحبة]]</f>
        <v>1900</v>
      </c>
      <c r="AA191" s="201">
        <f>Table51013454[[#This Row],[الإجمالي]]-Table51013454[[#This Row],[إجمالي المستبعد]]</f>
        <v>15200</v>
      </c>
      <c r="AB191" s="200">
        <v>0.15</v>
      </c>
      <c r="AC191" s="199"/>
      <c r="AD191" s="198" t="s">
        <v>55</v>
      </c>
      <c r="AE191" s="194"/>
      <c r="AF191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الشراء-الاستلام]]&lt;DATE(2017,1,1),Q191-AE191,0))</f>
        <v>0</v>
      </c>
      <c r="AG191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2055.1232876712329</v>
      </c>
      <c r="AH19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1" s="196">
        <f>Table51013454[[#This Row],[اهلاك المستبعد
في 2017]]+Table51013454[[#This Row],[مجمع إهلاك المستبعد 
01-01-2017]]</f>
        <v>0</v>
      </c>
      <c r="AJ191" s="196">
        <f>Table51013454[[#This Row],[إجمالي المستبعد]]-Table51013454[[#This Row],[مجمع إهلاك المستبعد 
بتاريخ الأستبعاد]]</f>
        <v>0</v>
      </c>
      <c r="AK191" s="195"/>
      <c r="AL191" s="194">
        <f>IF(OR(Table51013454[[#This Row],[تاريخ الشراء-الاستلام]]="",Table51013454[[#This Row],[الإجمالي]]="",Table51013454[[#This Row],[العمر الافتراضي]]=""),"",IF(((AE191+AG191)-Table51013454[[#This Row],[مجمع إهلاك المستبعد 
بتاريخ الأستبعاد]])&lt;=0,0,((AE191+AG191)-Table51013454[[#This Row],[مجمع إهلاك المستبعد 
بتاريخ الأستبعاد]])))</f>
        <v>2055.1232876712329</v>
      </c>
      <c r="AM191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الشراء-الاستلام]]&gt;DATE(2017,12,31),0,AA191-AL191)))</f>
        <v>13144.876712328767</v>
      </c>
    </row>
    <row r="192" spans="1:39" ht="77.25" hidden="1">
      <c r="A192" s="239">
        <f>IF(B192="","",SUBTOTAL(3,$B$6:B192))</f>
        <v>9</v>
      </c>
      <c r="B192" s="230" t="s">
        <v>589</v>
      </c>
      <c r="C192" s="238" t="s">
        <v>91</v>
      </c>
      <c r="D192" s="215"/>
      <c r="E192" s="230" t="s">
        <v>57</v>
      </c>
      <c r="F192" s="230" t="s">
        <v>482</v>
      </c>
      <c r="G192" s="198"/>
      <c r="H192" s="231" t="s">
        <v>72</v>
      </c>
      <c r="I192" s="231"/>
      <c r="J192" s="236"/>
      <c r="K192" s="236">
        <v>42768</v>
      </c>
      <c r="L192" s="235"/>
      <c r="M192" s="225"/>
      <c r="N192" s="224">
        <v>2</v>
      </c>
      <c r="O192" s="223"/>
      <c r="P192" s="222">
        <v>1200</v>
      </c>
      <c r="Q192" s="221">
        <f>P192*N192</f>
        <v>2400</v>
      </c>
      <c r="R192" s="220"/>
      <c r="S192" s="219"/>
      <c r="T192" s="218"/>
      <c r="U192" s="218"/>
      <c r="V192" s="218"/>
      <c r="W192" s="218">
        <f>Table51013454[[#This Row],[العدد]]*Table51013454[[#This Row],[السعر الافرادي]]</f>
        <v>0</v>
      </c>
      <c r="X192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2" s="234">
        <f>Table51013454[[#This Row],[الكمية]]-Table51013454[[#This Row],[العدد]]</f>
        <v>2</v>
      </c>
      <c r="Z192" s="233">
        <f>Table51013454[[#This Row],[سعر/الحبة]]</f>
        <v>1200</v>
      </c>
      <c r="AA192" s="233">
        <f>Table51013454[[#This Row],[الإجمالي]]-Table51013454[[#This Row],[إجمالي المستبعد]]</f>
        <v>2400</v>
      </c>
      <c r="AB192" s="232">
        <v>0.15</v>
      </c>
      <c r="AC192" s="231"/>
      <c r="AD192" s="230" t="s">
        <v>55</v>
      </c>
      <c r="AE192" s="228"/>
      <c r="AF192" s="22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الشراء-الاستلام]]&lt;DATE(2017,1,1),Q192-AE192,0))</f>
        <v>0</v>
      </c>
      <c r="AG192" s="229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327.45205479452051</v>
      </c>
      <c r="AH19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2" s="196">
        <f>Table51013454[[#This Row],[اهلاك المستبعد
في 2017]]+Table51013454[[#This Row],[مجمع إهلاك المستبعد 
01-01-2017]]</f>
        <v>0</v>
      </c>
      <c r="AJ192" s="196">
        <f>Table51013454[[#This Row],[إجمالي المستبعد]]-Table51013454[[#This Row],[مجمع إهلاك المستبعد 
بتاريخ الأستبعاد]]</f>
        <v>0</v>
      </c>
      <c r="AK192" s="195"/>
      <c r="AL192" s="228">
        <f>IF(OR(Table51013454[[#This Row],[تاريخ الشراء-الاستلام]]="",Table51013454[[#This Row],[الإجمالي]]="",Table51013454[[#This Row],[العمر الافتراضي]]=""),"",IF(((AE192+AG192)-Table51013454[[#This Row],[مجمع إهلاك المستبعد 
بتاريخ الأستبعاد]])&lt;=0,0,((AE192+AG192)-Table51013454[[#This Row],[مجمع إهلاك المستبعد 
بتاريخ الأستبعاد]])))</f>
        <v>327.45205479452051</v>
      </c>
      <c r="AM192" s="22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الشراء-الاستلام]]&gt;DATE(2017,12,31),0,AA192-AL192)))</f>
        <v>2072.5479452054797</v>
      </c>
    </row>
    <row r="193" spans="1:39" ht="77.25" hidden="1">
      <c r="A193" s="226">
        <f>IF(B193="","",SUBTOTAL(3,$B$6:B279))</f>
        <v>23</v>
      </c>
      <c r="B193" s="198" t="s">
        <v>585</v>
      </c>
      <c r="C193" s="215" t="s">
        <v>12</v>
      </c>
      <c r="D193" s="215"/>
      <c r="E193" s="198" t="s">
        <v>57</v>
      </c>
      <c r="F193" s="198" t="s">
        <v>482</v>
      </c>
      <c r="G193" s="198"/>
      <c r="H193" s="199" t="s">
        <v>72</v>
      </c>
      <c r="I193" s="198"/>
      <c r="J193" s="213"/>
      <c r="K193" s="213">
        <v>42768</v>
      </c>
      <c r="L193" s="212" t="s">
        <v>574</v>
      </c>
      <c r="M193" s="225" t="s">
        <v>588</v>
      </c>
      <c r="N193" s="224">
        <v>10</v>
      </c>
      <c r="O193" s="223"/>
      <c r="P193" s="222">
        <v>1200</v>
      </c>
      <c r="Q193" s="221">
        <f>P193*N193</f>
        <v>12000</v>
      </c>
      <c r="R193" s="220"/>
      <c r="S193" s="219"/>
      <c r="T193" s="218"/>
      <c r="U193" s="218"/>
      <c r="V193" s="218"/>
      <c r="W193" s="218">
        <f>Table51013454[[#This Row],[العدد]]*Table51013454[[#This Row],[السعر الافرادي]]</f>
        <v>0</v>
      </c>
      <c r="X19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3" s="202">
        <f>Table51013454[[#This Row],[الكمية]]-Table51013454[[#This Row],[العدد]]</f>
        <v>10</v>
      </c>
      <c r="Z193" s="201">
        <f>Table51013454[[#This Row],[سعر/الحبة]]</f>
        <v>1200</v>
      </c>
      <c r="AA193" s="201">
        <f>Table51013454[[#This Row],[الإجمالي]]-Table51013454[[#This Row],[إجمالي المستبعد]]</f>
        <v>12000</v>
      </c>
      <c r="AB193" s="200">
        <v>0.15</v>
      </c>
      <c r="AC193" s="199"/>
      <c r="AD193" s="198" t="s">
        <v>55</v>
      </c>
      <c r="AE193" s="194"/>
      <c r="AF19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الشراء-الاستلام]]&lt;DATE(2017,1,1),Q193-AE193,0))</f>
        <v>0</v>
      </c>
      <c r="AG19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1637.2602739726028</v>
      </c>
      <c r="AH19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3" s="196">
        <f>Table51013454[[#This Row],[اهلاك المستبعد
في 2017]]+Table51013454[[#This Row],[مجمع إهلاك المستبعد 
01-01-2017]]</f>
        <v>0</v>
      </c>
      <c r="AJ193" s="196">
        <f>Table51013454[[#This Row],[إجمالي المستبعد]]-Table51013454[[#This Row],[مجمع إهلاك المستبعد 
بتاريخ الأستبعاد]]</f>
        <v>0</v>
      </c>
      <c r="AK193" s="195"/>
      <c r="AL193" s="194">
        <f>IF(OR(Table51013454[[#This Row],[تاريخ الشراء-الاستلام]]="",Table51013454[[#This Row],[الإجمالي]]="",Table51013454[[#This Row],[العمر الافتراضي]]=""),"",IF(((AE193+AG193)-Table51013454[[#This Row],[مجمع إهلاك المستبعد 
بتاريخ الأستبعاد]])&lt;=0,0,((AE193+AG193)-Table51013454[[#This Row],[مجمع إهلاك المستبعد 
بتاريخ الأستبعاد]])))</f>
        <v>1637.2602739726028</v>
      </c>
      <c r="AM19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الشراء-الاستلام]]&gt;DATE(2017,12,31),0,AA193-AL193)))</f>
        <v>10362.739726027397</v>
      </c>
    </row>
    <row r="194" spans="1:39" ht="77.25">
      <c r="A194" s="226">
        <f>IF(B194="","",SUBTOTAL(3,$B$6:B289))</f>
        <v>23</v>
      </c>
      <c r="B194" s="198" t="s">
        <v>119</v>
      </c>
      <c r="C194" s="215" t="s">
        <v>12</v>
      </c>
      <c r="D194" s="215"/>
      <c r="E194" s="230" t="s">
        <v>1529</v>
      </c>
      <c r="F194" s="198" t="s">
        <v>52</v>
      </c>
      <c r="G194" s="198" t="s">
        <v>436</v>
      </c>
      <c r="H194" s="199" t="s">
        <v>72</v>
      </c>
      <c r="I194" s="198"/>
      <c r="J194" s="213"/>
      <c r="K194" s="213">
        <v>42788</v>
      </c>
      <c r="L194" s="212" t="s">
        <v>574</v>
      </c>
      <c r="M194" s="225" t="s">
        <v>588</v>
      </c>
      <c r="N194" s="224">
        <v>2</v>
      </c>
      <c r="O194" s="223"/>
      <c r="P194" s="222">
        <v>400</v>
      </c>
      <c r="Q194" s="221">
        <f>P194*N194</f>
        <v>800</v>
      </c>
      <c r="R194" s="220"/>
      <c r="S194" s="219"/>
      <c r="T194" s="218"/>
      <c r="U194" s="218"/>
      <c r="V194" s="218"/>
      <c r="W194" s="218">
        <f>Table51013454[[#This Row],[العدد]]*Table51013454[[#This Row],[السعر الافرادي]]</f>
        <v>0</v>
      </c>
      <c r="X194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4" s="202">
        <f>Table51013454[[#This Row],[الكمية]]-Table51013454[[#This Row],[العدد]]</f>
        <v>2</v>
      </c>
      <c r="Z194" s="201">
        <f>Table51013454[[#This Row],[سعر/الحبة]]</f>
        <v>400</v>
      </c>
      <c r="AA194" s="201">
        <f>Table51013454[[#This Row],[الإجمالي]]-Table51013454[[#This Row],[إجمالي المستبعد]]</f>
        <v>800</v>
      </c>
      <c r="AB194" s="200">
        <v>0.15</v>
      </c>
      <c r="AC194" s="199"/>
      <c r="AD194" s="198" t="s">
        <v>55</v>
      </c>
      <c r="AE194" s="194"/>
      <c r="AF194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الشراء-الاستلام]]&lt;DATE(2017,1,1),Q194-AE194,0))</f>
        <v>0</v>
      </c>
      <c r="AG194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102.57534246575342</v>
      </c>
      <c r="AH194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4" s="196">
        <f>Table51013454[[#This Row],[اهلاك المستبعد
في 2017]]+Table51013454[[#This Row],[مجمع إهلاك المستبعد 
01-01-2017]]</f>
        <v>0</v>
      </c>
      <c r="AJ194" s="196">
        <f>Table51013454[[#This Row],[إجمالي المستبعد]]-Table51013454[[#This Row],[مجمع إهلاك المستبعد 
بتاريخ الأستبعاد]]</f>
        <v>0</v>
      </c>
      <c r="AK194" s="195"/>
      <c r="AL194" s="194">
        <f>IF(OR(Table51013454[[#This Row],[تاريخ الشراء-الاستلام]]="",Table51013454[[#This Row],[الإجمالي]]="",Table51013454[[#This Row],[العمر الافتراضي]]=""),"",IF(((AE194+AG194)-Table51013454[[#This Row],[مجمع إهلاك المستبعد 
بتاريخ الأستبعاد]])&lt;=0,0,((AE194+AG194)-Table51013454[[#This Row],[مجمع إهلاك المستبعد 
بتاريخ الأستبعاد]])))</f>
        <v>102.57534246575342</v>
      </c>
      <c r="AM194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الشراء-الاستلام]]&gt;DATE(2017,12,31),0,AA194-AL194)))</f>
        <v>697.42465753424653</v>
      </c>
    </row>
    <row r="195" spans="1:39" ht="77.25">
      <c r="A195" s="226">
        <f>IF(B195="","",SUBTOTAL(3,$B$6:B283))</f>
        <v>23</v>
      </c>
      <c r="B195" s="198" t="s">
        <v>585</v>
      </c>
      <c r="C195" s="215" t="s">
        <v>12</v>
      </c>
      <c r="D195" s="215"/>
      <c r="E195" s="230" t="s">
        <v>1529</v>
      </c>
      <c r="F195" s="198" t="s">
        <v>52</v>
      </c>
      <c r="G195" s="198" t="s">
        <v>436</v>
      </c>
      <c r="H195" s="199" t="s">
        <v>72</v>
      </c>
      <c r="I195" s="198"/>
      <c r="J195" s="213"/>
      <c r="K195" s="213">
        <v>42792</v>
      </c>
      <c r="L195" s="212" t="s">
        <v>574</v>
      </c>
      <c r="M195" s="225" t="s">
        <v>588</v>
      </c>
      <c r="N195" s="224">
        <v>50</v>
      </c>
      <c r="O195" s="223"/>
      <c r="P195" s="222">
        <v>1150</v>
      </c>
      <c r="Q195" s="221">
        <f>P195*N195</f>
        <v>57500</v>
      </c>
      <c r="R195" s="220"/>
      <c r="S195" s="219"/>
      <c r="T195" s="218"/>
      <c r="U195" s="218"/>
      <c r="V195" s="218"/>
      <c r="W195" s="218">
        <f>Table51013454[[#This Row],[العدد]]*Table51013454[[#This Row],[السعر الافرادي]]</f>
        <v>0</v>
      </c>
      <c r="X195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5" s="202">
        <f>Table51013454[[#This Row],[الكمية]]-Table51013454[[#This Row],[العدد]]</f>
        <v>50</v>
      </c>
      <c r="Z195" s="201">
        <f>Table51013454[[#This Row],[سعر/الحبة]]</f>
        <v>1150</v>
      </c>
      <c r="AA195" s="201">
        <f>Table51013454[[#This Row],[الإجمالي]]-Table51013454[[#This Row],[إجمالي المستبعد]]</f>
        <v>57500</v>
      </c>
      <c r="AB195" s="200">
        <v>0.15</v>
      </c>
      <c r="AC195" s="199"/>
      <c r="AD195" s="198" t="s">
        <v>55</v>
      </c>
      <c r="AE195" s="194"/>
      <c r="AF19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الشراء-الاستلام]]&lt;DATE(2017,1,1),Q195-AE195,0))</f>
        <v>0</v>
      </c>
      <c r="AG19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7278.0821917808216</v>
      </c>
      <c r="AH19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5" s="196">
        <f>Table51013454[[#This Row],[اهلاك المستبعد
في 2017]]+Table51013454[[#This Row],[مجمع إهلاك المستبعد 
01-01-2017]]</f>
        <v>0</v>
      </c>
      <c r="AJ195" s="196">
        <f>Table51013454[[#This Row],[إجمالي المستبعد]]-Table51013454[[#This Row],[مجمع إهلاك المستبعد 
بتاريخ الأستبعاد]]</f>
        <v>0</v>
      </c>
      <c r="AK195" s="195"/>
      <c r="AL195" s="194">
        <f>IF(OR(Table51013454[[#This Row],[تاريخ الشراء-الاستلام]]="",Table51013454[[#This Row],[الإجمالي]]="",Table51013454[[#This Row],[العمر الافتراضي]]=""),"",IF(((AE195+AG195)-Table51013454[[#This Row],[مجمع إهلاك المستبعد 
بتاريخ الأستبعاد]])&lt;=0,0,((AE195+AG195)-Table51013454[[#This Row],[مجمع إهلاك المستبعد 
بتاريخ الأستبعاد]])))</f>
        <v>7278.0821917808216</v>
      </c>
      <c r="AM19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الشراء-الاستلام]]&gt;DATE(2017,12,31),0,AA195-AL195)))</f>
        <v>50221.917808219179</v>
      </c>
    </row>
    <row r="196" spans="1:39" ht="77.25">
      <c r="A196" s="226">
        <f>IF(B196="","",SUBTOTAL(3,$B$6:B279))</f>
        <v>23</v>
      </c>
      <c r="B196" s="198" t="s">
        <v>119</v>
      </c>
      <c r="C196" s="215" t="s">
        <v>12</v>
      </c>
      <c r="D196" s="215"/>
      <c r="E196" s="230" t="s">
        <v>1529</v>
      </c>
      <c r="F196" s="198" t="s">
        <v>52</v>
      </c>
      <c r="G196" s="198" t="s">
        <v>436</v>
      </c>
      <c r="H196" s="199" t="s">
        <v>72</v>
      </c>
      <c r="I196" s="198"/>
      <c r="J196" s="213"/>
      <c r="K196" s="213">
        <v>42802</v>
      </c>
      <c r="L196" s="212" t="s">
        <v>574</v>
      </c>
      <c r="M196" s="225" t="s">
        <v>580</v>
      </c>
      <c r="N196" s="224">
        <v>2</v>
      </c>
      <c r="O196" s="223"/>
      <c r="P196" s="222">
        <v>400</v>
      </c>
      <c r="Q196" s="221">
        <f>P196*N196</f>
        <v>800</v>
      </c>
      <c r="R196" s="220"/>
      <c r="S196" s="219"/>
      <c r="T196" s="218"/>
      <c r="U196" s="218"/>
      <c r="V196" s="218"/>
      <c r="W196" s="218">
        <f>Table51013454[[#This Row],[العدد]]*Table51013454[[#This Row],[السعر الافرادي]]</f>
        <v>0</v>
      </c>
      <c r="X196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6" s="202">
        <f>Table51013454[[#This Row],[الكمية]]-Table51013454[[#This Row],[العدد]]</f>
        <v>2</v>
      </c>
      <c r="Z196" s="201">
        <f>Table51013454[[#This Row],[سعر/الحبة]]</f>
        <v>400</v>
      </c>
      <c r="AA196" s="201">
        <f>Table51013454[[#This Row],[الإجمالي]]-Table51013454[[#This Row],[إجمالي المستبعد]]</f>
        <v>800</v>
      </c>
      <c r="AB196" s="200">
        <v>0.15</v>
      </c>
      <c r="AC196" s="199"/>
      <c r="AD196" s="198" t="s">
        <v>55</v>
      </c>
      <c r="AE196" s="194"/>
      <c r="AF196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الشراء-الاستلام]]&lt;DATE(2017,1,1),Q196-AE196,0))</f>
        <v>0</v>
      </c>
      <c r="AG196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97.972602739726028</v>
      </c>
      <c r="AH196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6" s="196">
        <f>Table51013454[[#This Row],[اهلاك المستبعد
في 2017]]+Table51013454[[#This Row],[مجمع إهلاك المستبعد 
01-01-2017]]</f>
        <v>0</v>
      </c>
      <c r="AJ196" s="196">
        <f>Table51013454[[#This Row],[إجمالي المستبعد]]-Table51013454[[#This Row],[مجمع إهلاك المستبعد 
بتاريخ الأستبعاد]]</f>
        <v>0</v>
      </c>
      <c r="AK196" s="195"/>
      <c r="AL196" s="194">
        <f>IF(OR(Table51013454[[#This Row],[تاريخ الشراء-الاستلام]]="",Table51013454[[#This Row],[الإجمالي]]="",Table51013454[[#This Row],[العمر الافتراضي]]=""),"",IF(((AE196+AG196)-Table51013454[[#This Row],[مجمع إهلاك المستبعد 
بتاريخ الأستبعاد]])&lt;=0,0,((AE196+AG196)-Table51013454[[#This Row],[مجمع إهلاك المستبعد 
بتاريخ الأستبعاد]])))</f>
        <v>97.972602739726028</v>
      </c>
      <c r="AM196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الشراء-الاستلام]]&gt;DATE(2017,12,31),0,AA196-AL196)))</f>
        <v>702.02739726027403</v>
      </c>
    </row>
    <row r="197" spans="1:39" ht="77.25">
      <c r="A197" s="226">
        <f>IF(B197="","",SUBTOTAL(3,$B$6:B279))</f>
        <v>23</v>
      </c>
      <c r="B197" s="198" t="s">
        <v>585</v>
      </c>
      <c r="C197" s="215" t="s">
        <v>12</v>
      </c>
      <c r="D197" s="215"/>
      <c r="E197" s="230" t="s">
        <v>1529</v>
      </c>
      <c r="F197" s="198" t="s">
        <v>52</v>
      </c>
      <c r="G197" s="198" t="s">
        <v>436</v>
      </c>
      <c r="H197" s="199" t="s">
        <v>72</v>
      </c>
      <c r="I197" s="198"/>
      <c r="J197" s="213"/>
      <c r="K197" s="213">
        <v>42831</v>
      </c>
      <c r="L197" s="212" t="s">
        <v>574</v>
      </c>
      <c r="M197" s="225" t="s">
        <v>580</v>
      </c>
      <c r="N197" s="224">
        <v>31</v>
      </c>
      <c r="O197" s="223"/>
      <c r="P197" s="222">
        <v>1150</v>
      </c>
      <c r="Q197" s="221">
        <f>P197*N197</f>
        <v>35650</v>
      </c>
      <c r="R197" s="220"/>
      <c r="S197" s="219"/>
      <c r="T197" s="218"/>
      <c r="U197" s="218"/>
      <c r="V197" s="218"/>
      <c r="W197" s="218">
        <f>Table51013454[[#This Row],[العدد]]*Table51013454[[#This Row],[السعر الافرادي]]</f>
        <v>0</v>
      </c>
      <c r="X19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7" s="202">
        <f>Table51013454[[#This Row],[الكمية]]-Table51013454[[#This Row],[العدد]]</f>
        <v>31</v>
      </c>
      <c r="Z197" s="201">
        <f>Table51013454[[#This Row],[سعر/الحبة]]</f>
        <v>1150</v>
      </c>
      <c r="AA197" s="201">
        <f>Table51013454[[#This Row],[الإجمالي]]-Table51013454[[#This Row],[إجمالي المستبعد]]</f>
        <v>35650</v>
      </c>
      <c r="AB197" s="200">
        <v>0.15</v>
      </c>
      <c r="AC197" s="199"/>
      <c r="AD197" s="198" t="s">
        <v>55</v>
      </c>
      <c r="AE197" s="194"/>
      <c r="AF197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الشراء-الاستلام]]&lt;DATE(2017,1,1),Q197-AE197,0))</f>
        <v>0</v>
      </c>
      <c r="AG197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3941.0342465753424</v>
      </c>
      <c r="AH19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7" s="196">
        <f>Table51013454[[#This Row],[اهلاك المستبعد
في 2017]]+Table51013454[[#This Row],[مجمع إهلاك المستبعد 
01-01-2017]]</f>
        <v>0</v>
      </c>
      <c r="AJ197" s="196">
        <f>Table51013454[[#This Row],[إجمالي المستبعد]]-Table51013454[[#This Row],[مجمع إهلاك المستبعد 
بتاريخ الأستبعاد]]</f>
        <v>0</v>
      </c>
      <c r="AK197" s="195"/>
      <c r="AL197" s="194">
        <f>IF(OR(Table51013454[[#This Row],[تاريخ الشراء-الاستلام]]="",Table51013454[[#This Row],[الإجمالي]]="",Table51013454[[#This Row],[العمر الافتراضي]]=""),"",IF(((AE197+AG197)-Table51013454[[#This Row],[مجمع إهلاك المستبعد 
بتاريخ الأستبعاد]])&lt;=0,0,((AE197+AG197)-Table51013454[[#This Row],[مجمع إهلاك المستبعد 
بتاريخ الأستبعاد]])))</f>
        <v>3941.0342465753424</v>
      </c>
      <c r="AM197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الشراء-الاستلام]]&gt;DATE(2017,12,31),0,AA197-AL197)))</f>
        <v>31708.965753424658</v>
      </c>
    </row>
    <row r="198" spans="1:39" ht="77.25">
      <c r="A198" s="226">
        <f>IF(B198="","",SUBTOTAL(3,$B$6:B282))</f>
        <v>23</v>
      </c>
      <c r="B198" s="198" t="s">
        <v>570</v>
      </c>
      <c r="C198" s="215" t="s">
        <v>12</v>
      </c>
      <c r="D198" s="215"/>
      <c r="E198" s="230" t="s">
        <v>1529</v>
      </c>
      <c r="F198" s="198" t="s">
        <v>52</v>
      </c>
      <c r="G198" s="198" t="s">
        <v>436</v>
      </c>
      <c r="H198" s="199" t="s">
        <v>72</v>
      </c>
      <c r="I198" s="198"/>
      <c r="J198" s="213"/>
      <c r="K198" s="213">
        <v>42843</v>
      </c>
      <c r="L198" s="212" t="s">
        <v>587</v>
      </c>
      <c r="M198" s="242" t="s">
        <v>586</v>
      </c>
      <c r="N198" s="224">
        <v>15</v>
      </c>
      <c r="O198" s="223"/>
      <c r="P198" s="222">
        <v>1350</v>
      </c>
      <c r="Q198" s="221">
        <f>P198*N198</f>
        <v>20250</v>
      </c>
      <c r="R198" s="220"/>
      <c r="S198" s="219"/>
      <c r="T198" s="218"/>
      <c r="U198" s="218"/>
      <c r="V198" s="218"/>
      <c r="W198" s="218">
        <f>Table51013454[[#This Row],[العدد]]*Table51013454[[#This Row],[السعر الافرادي]]</f>
        <v>0</v>
      </c>
      <c r="X19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8" s="202">
        <f>Table51013454[[#This Row],[الكمية]]-Table51013454[[#This Row],[العدد]]</f>
        <v>15</v>
      </c>
      <c r="Z198" s="201">
        <f>Table51013454[[#This Row],[سعر/الحبة]]</f>
        <v>1350</v>
      </c>
      <c r="AA198" s="201">
        <f>Table51013454[[#This Row],[الإجمالي]]-Table51013454[[#This Row],[إجمالي المستبعد]]</f>
        <v>20250</v>
      </c>
      <c r="AB198" s="200">
        <v>0.15</v>
      </c>
      <c r="AC198" s="199"/>
      <c r="AD198" s="198" t="s">
        <v>55</v>
      </c>
      <c r="AE198" s="194"/>
      <c r="AF19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الشراء-الاستلام]]&lt;DATE(2017,1,1),Q198-AE198,0))</f>
        <v>0</v>
      </c>
      <c r="AG19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2138.7328767123286</v>
      </c>
      <c r="AH19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8" s="196">
        <f>Table51013454[[#This Row],[اهلاك المستبعد
في 2017]]+Table51013454[[#This Row],[مجمع إهلاك المستبعد 
01-01-2017]]</f>
        <v>0</v>
      </c>
      <c r="AJ198" s="196">
        <f>Table51013454[[#This Row],[إجمالي المستبعد]]-Table51013454[[#This Row],[مجمع إهلاك المستبعد 
بتاريخ الأستبعاد]]</f>
        <v>0</v>
      </c>
      <c r="AK198" s="195"/>
      <c r="AL198" s="194">
        <f>IF(OR(Table51013454[[#This Row],[تاريخ الشراء-الاستلام]]="",Table51013454[[#This Row],[الإجمالي]]="",Table51013454[[#This Row],[العمر الافتراضي]]=""),"",IF(((AE198+AG198)-Table51013454[[#This Row],[مجمع إهلاك المستبعد 
بتاريخ الأستبعاد]])&lt;=0,0,((AE198+AG198)-Table51013454[[#This Row],[مجمع إهلاك المستبعد 
بتاريخ الأستبعاد]])))</f>
        <v>2138.7328767123286</v>
      </c>
      <c r="AM19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الشراء-الاستلام]]&gt;DATE(2017,12,31),0,AA198-AL198)))</f>
        <v>18111.267123287671</v>
      </c>
    </row>
    <row r="199" spans="1:39" ht="77.25" hidden="1">
      <c r="A199" s="239">
        <f>IF(B199="","",SUBTOTAL(3,$B$6:B199))</f>
        <v>14</v>
      </c>
      <c r="B199" s="230" t="s">
        <v>584</v>
      </c>
      <c r="C199" s="238" t="s">
        <v>582</v>
      </c>
      <c r="D199" s="215"/>
      <c r="E199" s="230" t="s">
        <v>57</v>
      </c>
      <c r="F199" s="230" t="s">
        <v>81</v>
      </c>
      <c r="G199" s="198"/>
      <c r="H199" s="231" t="s">
        <v>72</v>
      </c>
      <c r="I199" s="231"/>
      <c r="J199" s="236"/>
      <c r="K199" s="236">
        <v>40951</v>
      </c>
      <c r="L199" s="235"/>
      <c r="M199" s="225"/>
      <c r="N199" s="224">
        <v>95</v>
      </c>
      <c r="O199" s="223"/>
      <c r="P199" s="222">
        <v>650</v>
      </c>
      <c r="Q199" s="221">
        <f>P199*N199</f>
        <v>61750</v>
      </c>
      <c r="R199" s="220"/>
      <c r="S199" s="219"/>
      <c r="T199" s="218"/>
      <c r="U199" s="218"/>
      <c r="V199" s="218"/>
      <c r="W199" s="218">
        <f>Table51013454[[#This Row],[العدد]]*Table51013454[[#This Row],[السعر الافرادي]]</f>
        <v>0</v>
      </c>
      <c r="X199" s="217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199" s="234">
        <f>Table51013454[[#This Row],[الكمية]]-Table51013454[[#This Row],[العدد]]</f>
        <v>95</v>
      </c>
      <c r="Z199" s="233">
        <f>Table51013454[[#This Row],[سعر/الحبة]]</f>
        <v>650</v>
      </c>
      <c r="AA199" s="233">
        <f>Table51013454[[#This Row],[الإجمالي]]-Table51013454[[#This Row],[إجمالي المستبعد]]</f>
        <v>61750</v>
      </c>
      <c r="AB199" s="232">
        <v>0.15</v>
      </c>
      <c r="AC199" s="231"/>
      <c r="AD199" s="230" t="s">
        <v>55</v>
      </c>
      <c r="AE199" s="228">
        <v>61750</v>
      </c>
      <c r="AF199" s="22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الشراء-الاستلام]]&lt;DATE(2017,1,1),Q199-AE199,0))</f>
        <v>0</v>
      </c>
      <c r="AG199" s="229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19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199" s="196">
        <f>Table51013454[[#This Row],[اهلاك المستبعد
في 2017]]+Table51013454[[#This Row],[مجمع إهلاك المستبعد 
01-01-2017]]</f>
        <v>0</v>
      </c>
      <c r="AJ199" s="196">
        <f>Table51013454[[#This Row],[إجمالي المستبعد]]-Table51013454[[#This Row],[مجمع إهلاك المستبعد 
بتاريخ الأستبعاد]]</f>
        <v>0</v>
      </c>
      <c r="AK199" s="195"/>
      <c r="AL199" s="228">
        <f>IF(OR(Table51013454[[#This Row],[تاريخ الشراء-الاستلام]]="",Table51013454[[#This Row],[الإجمالي]]="",Table51013454[[#This Row],[العمر الافتراضي]]=""),"",IF(((AE199+AG199)-Table51013454[[#This Row],[مجمع إهلاك المستبعد 
بتاريخ الأستبعاد]])&lt;=0,0,((AE199+AG199)-Table51013454[[#This Row],[مجمع إهلاك المستبعد 
بتاريخ الأستبعاد]])))</f>
        <v>61750</v>
      </c>
      <c r="AM199" s="22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الشراء-الاستلام]]&gt;DATE(2017,12,31),0,AA199-AL199)))</f>
        <v>0</v>
      </c>
    </row>
    <row r="200" spans="1:39" ht="77.25" hidden="1">
      <c r="A200" s="239">
        <f>IF(B200="","",SUBTOTAL(3,$B$6:B200))</f>
        <v>14</v>
      </c>
      <c r="B200" s="230" t="s">
        <v>583</v>
      </c>
      <c r="C200" s="238" t="s">
        <v>582</v>
      </c>
      <c r="D200" s="215"/>
      <c r="E200" s="230" t="s">
        <v>57</v>
      </c>
      <c r="F200" s="230" t="s">
        <v>81</v>
      </c>
      <c r="G200" s="198"/>
      <c r="H200" s="231" t="s">
        <v>72</v>
      </c>
      <c r="I200" s="231"/>
      <c r="J200" s="236"/>
      <c r="K200" s="236">
        <v>40951</v>
      </c>
      <c r="L200" s="235"/>
      <c r="M200" s="225"/>
      <c r="N200" s="224">
        <v>73</v>
      </c>
      <c r="O200" s="223"/>
      <c r="P200" s="222">
        <v>1200</v>
      </c>
      <c r="Q200" s="221">
        <f>P200*N200</f>
        <v>87600</v>
      </c>
      <c r="R200" s="220"/>
      <c r="S200" s="219"/>
      <c r="T200" s="218"/>
      <c r="U200" s="218"/>
      <c r="V200" s="218"/>
      <c r="W200" s="218">
        <f>Table51013454[[#This Row],[العدد]]*Table51013454[[#This Row],[السعر الافرادي]]</f>
        <v>0</v>
      </c>
      <c r="X200" s="217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0" s="234">
        <f>Table51013454[[#This Row],[الكمية]]-Table51013454[[#This Row],[العدد]]</f>
        <v>73</v>
      </c>
      <c r="Z200" s="233">
        <f>Table51013454[[#This Row],[سعر/الحبة]]</f>
        <v>1200</v>
      </c>
      <c r="AA200" s="233">
        <f>Table51013454[[#This Row],[الإجمالي]]-Table51013454[[#This Row],[إجمالي المستبعد]]</f>
        <v>87600</v>
      </c>
      <c r="AB200" s="232">
        <v>0.15</v>
      </c>
      <c r="AC200" s="231"/>
      <c r="AD200" s="230" t="s">
        <v>55</v>
      </c>
      <c r="AE200" s="228">
        <v>87600</v>
      </c>
      <c r="AF200" s="22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الشراء-الاستلام]]&lt;DATE(2017,1,1),Q200-AE200,0))</f>
        <v>0</v>
      </c>
      <c r="AG200" s="229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0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0" s="196">
        <f>Table51013454[[#This Row],[اهلاك المستبعد
في 2017]]+Table51013454[[#This Row],[مجمع إهلاك المستبعد 
01-01-2017]]</f>
        <v>0</v>
      </c>
      <c r="AJ200" s="196">
        <f>Table51013454[[#This Row],[إجمالي المستبعد]]-Table51013454[[#This Row],[مجمع إهلاك المستبعد 
بتاريخ الأستبعاد]]</f>
        <v>0</v>
      </c>
      <c r="AK200" s="195"/>
      <c r="AL200" s="228">
        <f>IF(OR(Table51013454[[#This Row],[تاريخ الشراء-الاستلام]]="",Table51013454[[#This Row],[الإجمالي]]="",Table51013454[[#This Row],[العمر الافتراضي]]=""),"",IF(((AE200+AG200)-Table51013454[[#This Row],[مجمع إهلاك المستبعد 
بتاريخ الأستبعاد]])&lt;=0,0,((AE200+AG200)-Table51013454[[#This Row],[مجمع إهلاك المستبعد 
بتاريخ الأستبعاد]])))</f>
        <v>87600</v>
      </c>
      <c r="AM200" s="22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الشراء-الاستلام]]&gt;DATE(2017,12,31),0,AA200-AL200)))</f>
        <v>0</v>
      </c>
    </row>
    <row r="201" spans="1:39" ht="77.25" hidden="1">
      <c r="A201" s="239">
        <f>IF(B201="","",SUBTOTAL(3,$B$6:B201))</f>
        <v>14</v>
      </c>
      <c r="B201" s="230" t="s">
        <v>575</v>
      </c>
      <c r="C201" s="238" t="s">
        <v>582</v>
      </c>
      <c r="D201" s="215"/>
      <c r="E201" s="230" t="s">
        <v>450</v>
      </c>
      <c r="F201" s="230" t="s">
        <v>81</v>
      </c>
      <c r="G201" s="198"/>
      <c r="H201" s="231" t="s">
        <v>72</v>
      </c>
      <c r="I201" s="231"/>
      <c r="J201" s="236"/>
      <c r="K201" s="236">
        <v>40951</v>
      </c>
      <c r="L201" s="235"/>
      <c r="M201" s="225"/>
      <c r="N201" s="224">
        <v>4</v>
      </c>
      <c r="O201" s="223"/>
      <c r="P201" s="222">
        <v>7500</v>
      </c>
      <c r="Q201" s="221">
        <f>P201*N201</f>
        <v>30000</v>
      </c>
      <c r="R201" s="220"/>
      <c r="S201" s="219"/>
      <c r="T201" s="218"/>
      <c r="U201" s="218"/>
      <c r="V201" s="218"/>
      <c r="W201" s="218">
        <f>Table51013454[[#This Row],[العدد]]*Table51013454[[#This Row],[السعر الافرادي]]</f>
        <v>0</v>
      </c>
      <c r="X201" s="217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1" s="234">
        <f>Table51013454[[#This Row],[الكمية]]-Table51013454[[#This Row],[العدد]]</f>
        <v>4</v>
      </c>
      <c r="Z201" s="233">
        <f>Table51013454[[#This Row],[سعر/الحبة]]</f>
        <v>7500</v>
      </c>
      <c r="AA201" s="233">
        <f>Table51013454[[#This Row],[الإجمالي]]-Table51013454[[#This Row],[إجمالي المستبعد]]</f>
        <v>30000</v>
      </c>
      <c r="AB201" s="232">
        <v>0.15</v>
      </c>
      <c r="AC201" s="231"/>
      <c r="AD201" s="230" t="s">
        <v>55</v>
      </c>
      <c r="AE201" s="228">
        <v>30000</v>
      </c>
      <c r="AF201" s="22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الشراء-الاستلام]]&lt;DATE(2017,1,1),Q201-AE201,0))</f>
        <v>0</v>
      </c>
      <c r="AG201" s="229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0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1" s="196">
        <f>Table51013454[[#This Row],[اهلاك المستبعد
في 2017]]+Table51013454[[#This Row],[مجمع إهلاك المستبعد 
01-01-2017]]</f>
        <v>0</v>
      </c>
      <c r="AJ201" s="196">
        <f>Table51013454[[#This Row],[إجمالي المستبعد]]-Table51013454[[#This Row],[مجمع إهلاك المستبعد 
بتاريخ الأستبعاد]]</f>
        <v>0</v>
      </c>
      <c r="AK201" s="195"/>
      <c r="AL201" s="228">
        <f>IF(OR(Table51013454[[#This Row],[تاريخ الشراء-الاستلام]]="",Table51013454[[#This Row],[الإجمالي]]="",Table51013454[[#This Row],[العمر الافتراضي]]=""),"",IF(((AE201+AG201)-Table51013454[[#This Row],[مجمع إهلاك المستبعد 
بتاريخ الأستبعاد]])&lt;=0,0,((AE201+AG201)-Table51013454[[#This Row],[مجمع إهلاك المستبعد 
بتاريخ الأستبعاد]])))</f>
        <v>30000</v>
      </c>
      <c r="AM201" s="22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الشراء-الاستلام]]&gt;DATE(2017,12,31),0,AA201-AL201)))</f>
        <v>0</v>
      </c>
    </row>
    <row r="202" spans="1:39" ht="77.25" hidden="1">
      <c r="A202" s="226">
        <f>IF(B202="","",SUBTOTAL(3,$B$6:B279))</f>
        <v>23</v>
      </c>
      <c r="B202" s="198" t="s">
        <v>575</v>
      </c>
      <c r="C202" s="215" t="s">
        <v>12</v>
      </c>
      <c r="D202" s="215"/>
      <c r="E202" s="198" t="s">
        <v>450</v>
      </c>
      <c r="F202" s="198" t="s">
        <v>81</v>
      </c>
      <c r="G202" s="198"/>
      <c r="H202" s="199" t="s">
        <v>72</v>
      </c>
      <c r="I202" s="198"/>
      <c r="J202" s="213"/>
      <c r="K202" s="213">
        <v>42836</v>
      </c>
      <c r="L202" s="212" t="s">
        <v>574</v>
      </c>
      <c r="M202" s="225" t="s">
        <v>580</v>
      </c>
      <c r="N202" s="224">
        <v>6</v>
      </c>
      <c r="O202" s="223"/>
      <c r="P202" s="222">
        <v>7500</v>
      </c>
      <c r="Q202" s="221">
        <f>P202*N202</f>
        <v>45000</v>
      </c>
      <c r="R202" s="220"/>
      <c r="S202" s="219"/>
      <c r="T202" s="218"/>
      <c r="U202" s="218"/>
      <c r="V202" s="218"/>
      <c r="W202" s="218">
        <f>Table51013454[[#This Row],[العدد]]*Table51013454[[#This Row],[السعر الافرادي]]</f>
        <v>0</v>
      </c>
      <c r="X202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2" s="202">
        <f>Table51013454[[#This Row],[الكمية]]-Table51013454[[#This Row],[العدد]]</f>
        <v>6</v>
      </c>
      <c r="Z202" s="201">
        <f>Table51013454[[#This Row],[سعر/الحبة]]</f>
        <v>7500</v>
      </c>
      <c r="AA202" s="201">
        <f>Table51013454[[#This Row],[الإجمالي]]-Table51013454[[#This Row],[إجمالي المستبعد]]</f>
        <v>45000</v>
      </c>
      <c r="AB202" s="200">
        <v>0.15</v>
      </c>
      <c r="AC202" s="199"/>
      <c r="AD202" s="198" t="s">
        <v>55</v>
      </c>
      <c r="AE202" s="194"/>
      <c r="AF202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الشراء-الاستلام]]&lt;DATE(2017,1,1),Q202-AE202,0))</f>
        <v>0</v>
      </c>
      <c r="AG202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4882.1917808219177</v>
      </c>
      <c r="AH20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2" s="196">
        <f>Table51013454[[#This Row],[اهلاك المستبعد
في 2017]]+Table51013454[[#This Row],[مجمع إهلاك المستبعد 
01-01-2017]]</f>
        <v>0</v>
      </c>
      <c r="AJ202" s="196">
        <f>Table51013454[[#This Row],[إجمالي المستبعد]]-Table51013454[[#This Row],[مجمع إهلاك المستبعد 
بتاريخ الأستبعاد]]</f>
        <v>0</v>
      </c>
      <c r="AK202" s="195"/>
      <c r="AL202" s="194">
        <f>IF(OR(Table51013454[[#This Row],[تاريخ الشراء-الاستلام]]="",Table51013454[[#This Row],[الإجمالي]]="",Table51013454[[#This Row],[العمر الافتراضي]]=""),"",IF(((AE202+AG202)-Table51013454[[#This Row],[مجمع إهلاك المستبعد 
بتاريخ الأستبعاد]])&lt;=0,0,((AE202+AG202)-Table51013454[[#This Row],[مجمع إهلاك المستبعد 
بتاريخ الأستبعاد]])))</f>
        <v>4882.1917808219177</v>
      </c>
      <c r="AM202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الشراء-الاستلام]]&gt;DATE(2017,12,31),0,AA202-AL202)))</f>
        <v>40117.808219178085</v>
      </c>
    </row>
    <row r="203" spans="1:39" ht="77.25" hidden="1">
      <c r="A203" s="226">
        <f>IF(B203="","",SUBTOTAL(3,$B$6:B279))</f>
        <v>23</v>
      </c>
      <c r="B203" s="198" t="s">
        <v>581</v>
      </c>
      <c r="C203" s="215" t="s">
        <v>12</v>
      </c>
      <c r="D203" s="215"/>
      <c r="E203" s="198" t="s">
        <v>450</v>
      </c>
      <c r="F203" s="198" t="s">
        <v>52</v>
      </c>
      <c r="G203" s="198" t="s">
        <v>439</v>
      </c>
      <c r="H203" s="199" t="s">
        <v>72</v>
      </c>
      <c r="I203" s="198"/>
      <c r="J203" s="213"/>
      <c r="K203" s="213">
        <v>42802</v>
      </c>
      <c r="L203" s="212" t="s">
        <v>574</v>
      </c>
      <c r="M203" s="225" t="s">
        <v>580</v>
      </c>
      <c r="N203" s="224">
        <v>28</v>
      </c>
      <c r="O203" s="223"/>
      <c r="P203" s="222">
        <v>100</v>
      </c>
      <c r="Q203" s="221">
        <f>P203*N203</f>
        <v>2800</v>
      </c>
      <c r="R203" s="220"/>
      <c r="S203" s="219"/>
      <c r="T203" s="218"/>
      <c r="U203" s="218"/>
      <c r="V203" s="218"/>
      <c r="W203" s="218">
        <f>Table51013454[[#This Row],[العدد]]*Table51013454[[#This Row],[السعر الافرادي]]</f>
        <v>0</v>
      </c>
      <c r="X20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3" s="202">
        <f>Table51013454[[#This Row],[الكمية]]-Table51013454[[#This Row],[العدد]]</f>
        <v>28</v>
      </c>
      <c r="Z203" s="201">
        <f>Table51013454[[#This Row],[سعر/الحبة]]</f>
        <v>100</v>
      </c>
      <c r="AA203" s="201">
        <f>Table51013454[[#This Row],[الإجمالي]]-Table51013454[[#This Row],[إجمالي المستبعد]]</f>
        <v>2800</v>
      </c>
      <c r="AB203" s="200">
        <v>0.15</v>
      </c>
      <c r="AC203" s="199"/>
      <c r="AD203" s="198" t="s">
        <v>55</v>
      </c>
      <c r="AE203" s="194"/>
      <c r="AF20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الشراء-الاستلام]]&lt;DATE(2017,1,1),Q203-AE203,0))</f>
        <v>0</v>
      </c>
      <c r="AG20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342.90410958904107</v>
      </c>
      <c r="AH20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3" s="196">
        <f>Table51013454[[#This Row],[اهلاك المستبعد
في 2017]]+Table51013454[[#This Row],[مجمع إهلاك المستبعد 
01-01-2017]]</f>
        <v>0</v>
      </c>
      <c r="AJ203" s="196">
        <f>Table51013454[[#This Row],[إجمالي المستبعد]]-Table51013454[[#This Row],[مجمع إهلاك المستبعد 
بتاريخ الأستبعاد]]</f>
        <v>0</v>
      </c>
      <c r="AK203" s="195"/>
      <c r="AL203" s="194">
        <f>IF(OR(Table51013454[[#This Row],[تاريخ الشراء-الاستلام]]="",Table51013454[[#This Row],[الإجمالي]]="",Table51013454[[#This Row],[العمر الافتراضي]]=""),"",IF(((AE203+AG203)-Table51013454[[#This Row],[مجمع إهلاك المستبعد 
بتاريخ الأستبعاد]])&lt;=0,0,((AE203+AG203)-Table51013454[[#This Row],[مجمع إهلاك المستبعد 
بتاريخ الأستبعاد]])))</f>
        <v>342.90410958904107</v>
      </c>
      <c r="AM20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الشراء-الاستلام]]&gt;DATE(2017,12,31),0,AA203-AL203)))</f>
        <v>2457.0958904109589</v>
      </c>
    </row>
    <row r="204" spans="1:39" ht="77.25">
      <c r="A204" s="226">
        <f>IF(B204="","",SUBTOTAL(3,$B$6:B285))</f>
        <v>23</v>
      </c>
      <c r="B204" s="198" t="s">
        <v>585</v>
      </c>
      <c r="C204" s="215" t="s">
        <v>12</v>
      </c>
      <c r="D204" s="215"/>
      <c r="E204" s="230" t="s">
        <v>1529</v>
      </c>
      <c r="F204" s="198" t="s">
        <v>52</v>
      </c>
      <c r="G204" s="198" t="s">
        <v>436</v>
      </c>
      <c r="H204" s="199" t="s">
        <v>72</v>
      </c>
      <c r="I204" s="198"/>
      <c r="J204" s="213"/>
      <c r="K204" s="213">
        <v>42848</v>
      </c>
      <c r="L204" s="212" t="s">
        <v>574</v>
      </c>
      <c r="M204" s="225" t="s">
        <v>580</v>
      </c>
      <c r="N204" s="224">
        <v>14</v>
      </c>
      <c r="O204" s="223"/>
      <c r="P204" s="222">
        <v>1200</v>
      </c>
      <c r="Q204" s="221">
        <f>P204*N204</f>
        <v>16800</v>
      </c>
      <c r="R204" s="220"/>
      <c r="S204" s="219"/>
      <c r="T204" s="218"/>
      <c r="U204" s="218"/>
      <c r="V204" s="218"/>
      <c r="W204" s="218">
        <f>Table51013454[[#This Row],[العدد]]*Table51013454[[#This Row],[السعر الافرادي]]</f>
        <v>0</v>
      </c>
      <c r="X204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4" s="202">
        <f>Table51013454[[#This Row],[الكمية]]-Table51013454[[#This Row],[العدد]]</f>
        <v>14</v>
      </c>
      <c r="Z204" s="201">
        <f>Table51013454[[#This Row],[سعر/الحبة]]</f>
        <v>1200</v>
      </c>
      <c r="AA204" s="201">
        <f>Table51013454[[#This Row],[الإجمالي]]-Table51013454[[#This Row],[إجمالي المستبعد]]</f>
        <v>16800</v>
      </c>
      <c r="AB204" s="200">
        <v>0.15</v>
      </c>
      <c r="AC204" s="199"/>
      <c r="AD204" s="198" t="s">
        <v>55</v>
      </c>
      <c r="AE204" s="194"/>
      <c r="AF204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الشراء-الاستلام]]&lt;DATE(2017,1,1),Q204-AE204,0))</f>
        <v>0</v>
      </c>
      <c r="AG204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1739.8356164383563</v>
      </c>
      <c r="AH204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4" s="196">
        <f>Table51013454[[#This Row],[اهلاك المستبعد
في 2017]]+Table51013454[[#This Row],[مجمع إهلاك المستبعد 
01-01-2017]]</f>
        <v>0</v>
      </c>
      <c r="AJ204" s="196">
        <f>Table51013454[[#This Row],[إجمالي المستبعد]]-Table51013454[[#This Row],[مجمع إهلاك المستبعد 
بتاريخ الأستبعاد]]</f>
        <v>0</v>
      </c>
      <c r="AK204" s="195"/>
      <c r="AL204" s="194">
        <f>IF(OR(Table51013454[[#This Row],[تاريخ الشراء-الاستلام]]="",Table51013454[[#This Row],[الإجمالي]]="",Table51013454[[#This Row],[العمر الافتراضي]]=""),"",IF(((AE204+AG204)-Table51013454[[#This Row],[مجمع إهلاك المستبعد 
بتاريخ الأستبعاد]])&lt;=0,0,((AE204+AG204)-Table51013454[[#This Row],[مجمع إهلاك المستبعد 
بتاريخ الأستبعاد]])))</f>
        <v>1739.8356164383563</v>
      </c>
      <c r="AM204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الشراء-الاستلام]]&gt;DATE(2017,12,31),0,AA204-AL204)))</f>
        <v>15060.164383561643</v>
      </c>
    </row>
    <row r="205" spans="1:39" ht="77.25">
      <c r="A205" s="226">
        <f>IF(B205="","",SUBTOTAL(3,$B$6:B280))</f>
        <v>23</v>
      </c>
      <c r="B205" s="198" t="s">
        <v>568</v>
      </c>
      <c r="C205" s="215" t="s">
        <v>12</v>
      </c>
      <c r="D205" s="215"/>
      <c r="E205" s="230" t="s">
        <v>1529</v>
      </c>
      <c r="F205" s="198" t="s">
        <v>52</v>
      </c>
      <c r="G205" s="198" t="s">
        <v>436</v>
      </c>
      <c r="H205" s="199" t="s">
        <v>72</v>
      </c>
      <c r="I205" s="198"/>
      <c r="J205" s="213"/>
      <c r="K205" s="213">
        <v>42866</v>
      </c>
      <c r="L205" s="212" t="s">
        <v>574</v>
      </c>
      <c r="M205" s="225" t="s">
        <v>579</v>
      </c>
      <c r="N205" s="224">
        <v>16</v>
      </c>
      <c r="O205" s="223"/>
      <c r="P205" s="222">
        <v>1150</v>
      </c>
      <c r="Q205" s="221">
        <f>P205*N205</f>
        <v>18400</v>
      </c>
      <c r="R205" s="220"/>
      <c r="S205" s="219"/>
      <c r="T205" s="218"/>
      <c r="U205" s="218"/>
      <c r="V205" s="218"/>
      <c r="W205" s="218">
        <f>Table51013454[[#This Row],[العدد]]*Table51013454[[#This Row],[السعر الافرادي]]</f>
        <v>0</v>
      </c>
      <c r="X205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5" s="202">
        <f>Table51013454[[#This Row],[الكمية]]-Table51013454[[#This Row],[العدد]]</f>
        <v>16</v>
      </c>
      <c r="Z205" s="201">
        <f>Table51013454[[#This Row],[سعر/الحبة]]</f>
        <v>1150</v>
      </c>
      <c r="AA205" s="201">
        <f>Table51013454[[#This Row],[الإجمالي]]-Table51013454[[#This Row],[إجمالي المستبعد]]</f>
        <v>18400</v>
      </c>
      <c r="AB205" s="200">
        <v>0.15</v>
      </c>
      <c r="AC205" s="199"/>
      <c r="AD205" s="198" t="s">
        <v>55</v>
      </c>
      <c r="AE205" s="194"/>
      <c r="AF20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الشراء-الاستلام]]&lt;DATE(2017,1,1),Q205-AE205,0))</f>
        <v>0</v>
      </c>
      <c r="AG20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1769.4246575342465</v>
      </c>
      <c r="AH20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5" s="196">
        <f>Table51013454[[#This Row],[اهلاك المستبعد
في 2017]]+Table51013454[[#This Row],[مجمع إهلاك المستبعد 
01-01-2017]]</f>
        <v>0</v>
      </c>
      <c r="AJ205" s="196">
        <f>Table51013454[[#This Row],[إجمالي المستبعد]]-Table51013454[[#This Row],[مجمع إهلاك المستبعد 
بتاريخ الأستبعاد]]</f>
        <v>0</v>
      </c>
      <c r="AK205" s="195"/>
      <c r="AL205" s="194">
        <f>IF(OR(Table51013454[[#This Row],[تاريخ الشراء-الاستلام]]="",Table51013454[[#This Row],[الإجمالي]]="",Table51013454[[#This Row],[العمر الافتراضي]]=""),"",IF(((AE205+AG205)-Table51013454[[#This Row],[مجمع إهلاك المستبعد 
بتاريخ الأستبعاد]])&lt;=0,0,((AE205+AG205)-Table51013454[[#This Row],[مجمع إهلاك المستبعد 
بتاريخ الأستبعاد]])))</f>
        <v>1769.4246575342465</v>
      </c>
      <c r="AM20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الشراء-الاستلام]]&gt;DATE(2017,12,31),0,AA205-AL205)))</f>
        <v>16630.575342465752</v>
      </c>
    </row>
    <row r="206" spans="1:39" ht="77.25" hidden="1">
      <c r="A206" s="226">
        <f>IF(B206="","",SUBTOTAL(3,$B$6:B279))</f>
        <v>23</v>
      </c>
      <c r="B206" s="198" t="s">
        <v>575</v>
      </c>
      <c r="C206" s="215" t="s">
        <v>12</v>
      </c>
      <c r="D206" s="215"/>
      <c r="E206" s="198" t="s">
        <v>450</v>
      </c>
      <c r="F206" s="198" t="s">
        <v>52</v>
      </c>
      <c r="G206" s="198" t="s">
        <v>439</v>
      </c>
      <c r="H206" s="199" t="s">
        <v>72</v>
      </c>
      <c r="I206" s="198"/>
      <c r="J206" s="213"/>
      <c r="K206" s="213">
        <v>42900</v>
      </c>
      <c r="L206" s="212" t="s">
        <v>578</v>
      </c>
      <c r="M206" s="225" t="s">
        <v>577</v>
      </c>
      <c r="N206" s="224">
        <v>8</v>
      </c>
      <c r="O206" s="223"/>
      <c r="P206" s="222">
        <v>4500</v>
      </c>
      <c r="Q206" s="221">
        <f>P206*N206</f>
        <v>36000</v>
      </c>
      <c r="R206" s="220"/>
      <c r="S206" s="219"/>
      <c r="T206" s="218"/>
      <c r="U206" s="218"/>
      <c r="V206" s="218"/>
      <c r="W206" s="218">
        <f>Table51013454[[#This Row],[العدد]]*Table51013454[[#This Row],[السعر الافرادي]]</f>
        <v>0</v>
      </c>
      <c r="X206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6" s="202">
        <f>Table51013454[[#This Row],[الكمية]]-Table51013454[[#This Row],[العدد]]</f>
        <v>8</v>
      </c>
      <c r="Z206" s="201">
        <f>Table51013454[[#This Row],[سعر/الحبة]]</f>
        <v>4500</v>
      </c>
      <c r="AA206" s="201">
        <f>Table51013454[[#This Row],[الإجمالي]]-Table51013454[[#This Row],[إجمالي المستبعد]]</f>
        <v>36000</v>
      </c>
      <c r="AB206" s="200">
        <v>0.15</v>
      </c>
      <c r="AC206" s="199"/>
      <c r="AD206" s="198" t="s">
        <v>55</v>
      </c>
      <c r="AE206" s="194"/>
      <c r="AF206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الشراء-الاستلام]]&lt;DATE(2017,1,1),Q206-AE206,0))</f>
        <v>0</v>
      </c>
      <c r="AG206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2958.9041095890411</v>
      </c>
      <c r="AH206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6" s="196">
        <f>Table51013454[[#This Row],[اهلاك المستبعد
في 2017]]+Table51013454[[#This Row],[مجمع إهلاك المستبعد 
01-01-2017]]</f>
        <v>0</v>
      </c>
      <c r="AJ206" s="196">
        <f>Table51013454[[#This Row],[إجمالي المستبعد]]-Table51013454[[#This Row],[مجمع إهلاك المستبعد 
بتاريخ الأستبعاد]]</f>
        <v>0</v>
      </c>
      <c r="AK206" s="195"/>
      <c r="AL206" s="194">
        <f>IF(OR(Table51013454[[#This Row],[تاريخ الشراء-الاستلام]]="",Table51013454[[#This Row],[الإجمالي]]="",Table51013454[[#This Row],[العمر الافتراضي]]=""),"",IF(((AE206+AG206)-Table51013454[[#This Row],[مجمع إهلاك المستبعد 
بتاريخ الأستبعاد]])&lt;=0,0,((AE206+AG206)-Table51013454[[#This Row],[مجمع إهلاك المستبعد 
بتاريخ الأستبعاد]])))</f>
        <v>2958.9041095890411</v>
      </c>
      <c r="AM206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الشراء-الاستلام]]&gt;DATE(2017,12,31),0,AA206-AL206)))</f>
        <v>33041.095890410958</v>
      </c>
    </row>
    <row r="207" spans="1:39" ht="77.25">
      <c r="A207" s="226">
        <f>IF(B207="","",SUBTOTAL(3,$B$6:B281))</f>
        <v>23</v>
      </c>
      <c r="B207" s="198" t="s">
        <v>568</v>
      </c>
      <c r="C207" s="215" t="s">
        <v>12</v>
      </c>
      <c r="D207" s="215"/>
      <c r="E207" s="230" t="s">
        <v>1529</v>
      </c>
      <c r="F207" s="198" t="s">
        <v>52</v>
      </c>
      <c r="G207" s="198" t="s">
        <v>436</v>
      </c>
      <c r="H207" s="199" t="s">
        <v>72</v>
      </c>
      <c r="I207" s="198"/>
      <c r="J207" s="213"/>
      <c r="K207" s="213">
        <v>42886</v>
      </c>
      <c r="L207" s="212" t="s">
        <v>574</v>
      </c>
      <c r="M207" s="225" t="s">
        <v>579</v>
      </c>
      <c r="N207" s="224">
        <v>37</v>
      </c>
      <c r="O207" s="223"/>
      <c r="P207" s="222">
        <v>1200</v>
      </c>
      <c r="Q207" s="221">
        <f>P207*N207</f>
        <v>44400</v>
      </c>
      <c r="R207" s="220"/>
      <c r="S207" s="219"/>
      <c r="T207" s="218"/>
      <c r="U207" s="218"/>
      <c r="V207" s="218"/>
      <c r="W207" s="218">
        <f>Table51013454[[#This Row],[العدد]]*Table51013454[[#This Row],[السعر الافرادي]]</f>
        <v>0</v>
      </c>
      <c r="X20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7" s="202">
        <f>Table51013454[[#This Row],[الكمية]]-Table51013454[[#This Row],[العدد]]</f>
        <v>37</v>
      </c>
      <c r="Z207" s="201">
        <f>Table51013454[[#This Row],[سعر/الحبة]]</f>
        <v>1200</v>
      </c>
      <c r="AA207" s="201">
        <f>Table51013454[[#This Row],[الإجمالي]]-Table51013454[[#This Row],[إجمالي المستبعد]]</f>
        <v>44400</v>
      </c>
      <c r="AB207" s="200">
        <v>0.15</v>
      </c>
      <c r="AC207" s="199"/>
      <c r="AD207" s="198" t="s">
        <v>55</v>
      </c>
      <c r="AE207" s="194"/>
      <c r="AF207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الشراء-الاستلام]]&lt;DATE(2017,1,1),Q207-AE207,0))</f>
        <v>0</v>
      </c>
      <c r="AG207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3904.7671232876714</v>
      </c>
      <c r="AH20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7" s="196">
        <f>Table51013454[[#This Row],[اهلاك المستبعد
في 2017]]+Table51013454[[#This Row],[مجمع إهلاك المستبعد 
01-01-2017]]</f>
        <v>0</v>
      </c>
      <c r="AJ207" s="196">
        <f>Table51013454[[#This Row],[إجمالي المستبعد]]-Table51013454[[#This Row],[مجمع إهلاك المستبعد 
بتاريخ الأستبعاد]]</f>
        <v>0</v>
      </c>
      <c r="AK207" s="195"/>
      <c r="AL207" s="194">
        <f>IF(OR(Table51013454[[#This Row],[تاريخ الشراء-الاستلام]]="",Table51013454[[#This Row],[الإجمالي]]="",Table51013454[[#This Row],[العمر الافتراضي]]=""),"",IF(((AE207+AG207)-Table51013454[[#This Row],[مجمع إهلاك المستبعد 
بتاريخ الأستبعاد]])&lt;=0,0,((AE207+AG207)-Table51013454[[#This Row],[مجمع إهلاك المستبعد 
بتاريخ الأستبعاد]])))</f>
        <v>3904.7671232876714</v>
      </c>
      <c r="AM207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الشراء-الاستلام]]&gt;DATE(2017,12,31),0,AA207-AL207)))</f>
        <v>40495.232876712325</v>
      </c>
    </row>
    <row r="208" spans="1:39" ht="77.25" hidden="1">
      <c r="A208" s="226">
        <f>IF(B208="","",SUBTOTAL(3,$B$6:B279))</f>
        <v>23</v>
      </c>
      <c r="B208" s="198" t="s">
        <v>558</v>
      </c>
      <c r="C208" s="215" t="s">
        <v>12</v>
      </c>
      <c r="D208" s="215"/>
      <c r="E208" s="198" t="s">
        <v>57</v>
      </c>
      <c r="F208" s="198" t="s">
        <v>126</v>
      </c>
      <c r="G208" s="198"/>
      <c r="H208" s="199" t="s">
        <v>72</v>
      </c>
      <c r="I208" s="198"/>
      <c r="J208" s="213"/>
      <c r="K208" s="213">
        <v>42903</v>
      </c>
      <c r="L208" s="212" t="s">
        <v>58</v>
      </c>
      <c r="M208" s="225" t="s">
        <v>576</v>
      </c>
      <c r="N208" s="224">
        <v>100</v>
      </c>
      <c r="O208" s="223">
        <v>10337</v>
      </c>
      <c r="P208" s="222">
        <v>650</v>
      </c>
      <c r="Q208" s="221">
        <f>P208*N208</f>
        <v>65000</v>
      </c>
      <c r="R208" s="220"/>
      <c r="S208" s="219"/>
      <c r="T208" s="218"/>
      <c r="U208" s="218"/>
      <c r="V208" s="218"/>
      <c r="W208" s="218">
        <f>Table51013454[[#This Row],[العدد]]*Table51013454[[#This Row],[السعر الافرادي]]</f>
        <v>0</v>
      </c>
      <c r="X20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8" s="202">
        <f>Table51013454[[#This Row],[الكمية]]-Table51013454[[#This Row],[العدد]]</f>
        <v>100</v>
      </c>
      <c r="Z208" s="201">
        <f>Table51013454[[#This Row],[سعر/الحبة]]</f>
        <v>650</v>
      </c>
      <c r="AA208" s="201">
        <f>Table51013454[[#This Row],[الإجمالي]]-Table51013454[[#This Row],[إجمالي المستبعد]]</f>
        <v>65000</v>
      </c>
      <c r="AB208" s="200">
        <v>0.15</v>
      </c>
      <c r="AC208" s="199"/>
      <c r="AD208" s="198" t="s">
        <v>55</v>
      </c>
      <c r="AE208" s="194"/>
      <c r="AF20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الشراء-الاستلام]]&lt;DATE(2017,1,1),Q208-AE208,0))</f>
        <v>0</v>
      </c>
      <c r="AG20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5262.3287671232874</v>
      </c>
      <c r="AH20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8" s="196">
        <f>Table51013454[[#This Row],[اهلاك المستبعد
في 2017]]+Table51013454[[#This Row],[مجمع إهلاك المستبعد 
01-01-2017]]</f>
        <v>0</v>
      </c>
      <c r="AJ208" s="196">
        <f>Table51013454[[#This Row],[إجمالي المستبعد]]-Table51013454[[#This Row],[مجمع إهلاك المستبعد 
بتاريخ الأستبعاد]]</f>
        <v>0</v>
      </c>
      <c r="AK208" s="195"/>
      <c r="AL208" s="194">
        <f>IF(OR(Table51013454[[#This Row],[تاريخ الشراء-الاستلام]]="",Table51013454[[#This Row],[الإجمالي]]="",Table51013454[[#This Row],[العمر الافتراضي]]=""),"",IF(((AE208+AG208)-Table51013454[[#This Row],[مجمع إهلاك المستبعد 
بتاريخ الأستبعاد]])&lt;=0,0,((AE208+AG208)-Table51013454[[#This Row],[مجمع إهلاك المستبعد 
بتاريخ الأستبعاد]])))</f>
        <v>5262.3287671232874</v>
      </c>
      <c r="AM20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الشراء-الاستلام]]&gt;DATE(2017,12,31),0,AA208-AL208)))</f>
        <v>59737.67123287671</v>
      </c>
    </row>
    <row r="209" spans="1:39" ht="77.25" hidden="1">
      <c r="A209" s="226">
        <f>IF(B209="","",SUBTOTAL(3,$B$6:B279))</f>
        <v>23</v>
      </c>
      <c r="B209" s="198" t="s">
        <v>575</v>
      </c>
      <c r="C209" s="215" t="s">
        <v>12</v>
      </c>
      <c r="D209" s="215"/>
      <c r="E209" s="198" t="s">
        <v>450</v>
      </c>
      <c r="F209" s="198" t="s">
        <v>52</v>
      </c>
      <c r="G209" s="198" t="s">
        <v>439</v>
      </c>
      <c r="H209" s="199" t="s">
        <v>72</v>
      </c>
      <c r="I209" s="198"/>
      <c r="J209" s="213"/>
      <c r="K209" s="213">
        <v>43024</v>
      </c>
      <c r="L209" s="212" t="s">
        <v>574</v>
      </c>
      <c r="M209" s="225" t="s">
        <v>573</v>
      </c>
      <c r="N209" s="224">
        <v>4</v>
      </c>
      <c r="O209" s="223">
        <v>1942</v>
      </c>
      <c r="P209" s="222">
        <v>7500</v>
      </c>
      <c r="Q209" s="221">
        <f>P209*N209</f>
        <v>30000</v>
      </c>
      <c r="R209" s="220"/>
      <c r="S209" s="219"/>
      <c r="T209" s="218"/>
      <c r="U209" s="218"/>
      <c r="V209" s="218"/>
      <c r="W209" s="218">
        <f>Table51013454[[#This Row],[العدد]]*Table51013454[[#This Row],[السعر الافرادي]]</f>
        <v>0</v>
      </c>
      <c r="X209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09" s="202">
        <f>Table51013454[[#This Row],[الكمية]]-Table51013454[[#This Row],[العدد]]</f>
        <v>4</v>
      </c>
      <c r="Z209" s="201">
        <f>Table51013454[[#This Row],[سعر/الحبة]]</f>
        <v>7500</v>
      </c>
      <c r="AA209" s="201">
        <f>Table51013454[[#This Row],[الإجمالي]]-Table51013454[[#This Row],[إجمالي المستبعد]]</f>
        <v>30000</v>
      </c>
      <c r="AB209" s="200">
        <v>0.15</v>
      </c>
      <c r="AC209" s="199"/>
      <c r="AD209" s="198" t="s">
        <v>55</v>
      </c>
      <c r="AE209" s="194"/>
      <c r="AF20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الشراء-الاستلام]]&lt;DATE(2017,1,1),Q209-AE209,0))</f>
        <v>0</v>
      </c>
      <c r="AG20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936.98630136986299</v>
      </c>
      <c r="AH20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09" s="196">
        <f>Table51013454[[#This Row],[اهلاك المستبعد
في 2017]]+Table51013454[[#This Row],[مجمع إهلاك المستبعد 
01-01-2017]]</f>
        <v>0</v>
      </c>
      <c r="AJ209" s="196">
        <f>Table51013454[[#This Row],[إجمالي المستبعد]]-Table51013454[[#This Row],[مجمع إهلاك المستبعد 
بتاريخ الأستبعاد]]</f>
        <v>0</v>
      </c>
      <c r="AK209" s="195"/>
      <c r="AL209" s="194">
        <f>IF(OR(Table51013454[[#This Row],[تاريخ الشراء-الاستلام]]="",Table51013454[[#This Row],[الإجمالي]]="",Table51013454[[#This Row],[العمر الافتراضي]]=""),"",IF(((AE209+AG209)-Table51013454[[#This Row],[مجمع إهلاك المستبعد 
بتاريخ الأستبعاد]])&lt;=0,0,((AE209+AG209)-Table51013454[[#This Row],[مجمع إهلاك المستبعد 
بتاريخ الأستبعاد]])))</f>
        <v>936.98630136986299</v>
      </c>
      <c r="AM20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الشراء-الاستلام]]&gt;DATE(2017,12,31),0,AA209-AL209)))</f>
        <v>29063.013698630137</v>
      </c>
    </row>
    <row r="210" spans="1:39" ht="77.25" hidden="1">
      <c r="A210" s="226">
        <f>IF(B210="","",SUBTOTAL(3,$B$6:B279))</f>
        <v>23</v>
      </c>
      <c r="B210" s="198" t="s">
        <v>558</v>
      </c>
      <c r="C210" s="215" t="s">
        <v>12</v>
      </c>
      <c r="D210" s="215"/>
      <c r="E210" s="198" t="s">
        <v>57</v>
      </c>
      <c r="F210" s="198" t="s">
        <v>52</v>
      </c>
      <c r="G210" s="198" t="s">
        <v>436</v>
      </c>
      <c r="H210" s="199" t="s">
        <v>72</v>
      </c>
      <c r="I210" s="198"/>
      <c r="J210" s="213"/>
      <c r="K210" s="213">
        <v>43030</v>
      </c>
      <c r="L210" s="212" t="s">
        <v>572</v>
      </c>
      <c r="M210" s="225" t="s">
        <v>571</v>
      </c>
      <c r="N210" s="224">
        <v>40</v>
      </c>
      <c r="O210" s="223">
        <v>27363</v>
      </c>
      <c r="P210" s="222">
        <v>750</v>
      </c>
      <c r="Q210" s="221">
        <f>P210*N210</f>
        <v>30000</v>
      </c>
      <c r="R210" s="220"/>
      <c r="S210" s="219"/>
      <c r="T210" s="218"/>
      <c r="U210" s="218"/>
      <c r="V210" s="218"/>
      <c r="W210" s="218">
        <f>Table51013454[[#This Row],[العدد]]*Table51013454[[#This Row],[السعر الافرادي]]</f>
        <v>0</v>
      </c>
      <c r="X210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0" s="202">
        <f>Table51013454[[#This Row],[الكمية]]-Table51013454[[#This Row],[العدد]]</f>
        <v>40</v>
      </c>
      <c r="Z210" s="201">
        <f>Table51013454[[#This Row],[سعر/الحبة]]</f>
        <v>750</v>
      </c>
      <c r="AA210" s="201">
        <f>Table51013454[[#This Row],[الإجمالي]]-Table51013454[[#This Row],[إجمالي المستبعد]]</f>
        <v>30000</v>
      </c>
      <c r="AB210" s="200">
        <v>0.15</v>
      </c>
      <c r="AC210" s="199"/>
      <c r="AD210" s="198" t="s">
        <v>55</v>
      </c>
      <c r="AE210" s="194"/>
      <c r="AF210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الشراء-الاستلام]]&lt;DATE(2017,1,1),Q210-AE210,0))</f>
        <v>0</v>
      </c>
      <c r="AG210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863.0136986301369</v>
      </c>
      <c r="AH21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0" s="196">
        <f>Table51013454[[#This Row],[اهلاك المستبعد
في 2017]]+Table51013454[[#This Row],[مجمع إهلاك المستبعد 
01-01-2017]]</f>
        <v>0</v>
      </c>
      <c r="AJ210" s="196">
        <f>Table51013454[[#This Row],[إجمالي المستبعد]]-Table51013454[[#This Row],[مجمع إهلاك المستبعد 
بتاريخ الأستبعاد]]</f>
        <v>0</v>
      </c>
      <c r="AK210" s="195"/>
      <c r="AL210" s="194">
        <f>IF(OR(Table51013454[[#This Row],[تاريخ الشراء-الاستلام]]="",Table51013454[[#This Row],[الإجمالي]]="",Table51013454[[#This Row],[العمر الافتراضي]]=""),"",IF(((AE210+AG210)-Table51013454[[#This Row],[مجمع إهلاك المستبعد 
بتاريخ الأستبعاد]])&lt;=0,0,((AE210+AG210)-Table51013454[[#This Row],[مجمع إهلاك المستبعد 
بتاريخ الأستبعاد]])))</f>
        <v>863.0136986301369</v>
      </c>
      <c r="AM210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الشراء-الاستلام]]&gt;DATE(2017,12,31),0,AA210-AL210)))</f>
        <v>29136.986301369863</v>
      </c>
    </row>
    <row r="211" spans="1:39" ht="77.25">
      <c r="A211" s="226">
        <f>IF(B211="","",SUBTOTAL(3,$B$6:B283))</f>
        <v>23</v>
      </c>
      <c r="B211" s="198" t="s">
        <v>568</v>
      </c>
      <c r="C211" s="215" t="s">
        <v>12</v>
      </c>
      <c r="D211" s="215"/>
      <c r="E211" s="230" t="s">
        <v>1529</v>
      </c>
      <c r="F211" s="198" t="s">
        <v>52</v>
      </c>
      <c r="G211" s="198" t="s">
        <v>436</v>
      </c>
      <c r="H211" s="199" t="s">
        <v>72</v>
      </c>
      <c r="I211" s="198"/>
      <c r="J211" s="213"/>
      <c r="K211" s="213">
        <v>42903</v>
      </c>
      <c r="L211" s="212" t="s">
        <v>58</v>
      </c>
      <c r="M211" s="225" t="s">
        <v>576</v>
      </c>
      <c r="N211" s="224">
        <v>81</v>
      </c>
      <c r="O211" s="223"/>
      <c r="P211" s="222">
        <v>1200</v>
      </c>
      <c r="Q211" s="221">
        <f>P211*N211</f>
        <v>97200</v>
      </c>
      <c r="R211" s="220"/>
      <c r="S211" s="219"/>
      <c r="T211" s="218"/>
      <c r="U211" s="218"/>
      <c r="V211" s="218"/>
      <c r="W211" s="218">
        <f>Table51013454[[#This Row],[العدد]]*Table51013454[[#This Row],[السعر الافرادي]]</f>
        <v>0</v>
      </c>
      <c r="X211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1" s="202">
        <f>Table51013454[[#This Row],[الكمية]]-Table51013454[[#This Row],[العدد]]</f>
        <v>81</v>
      </c>
      <c r="Z211" s="201">
        <f>Table51013454[[#This Row],[سعر/الحبة]]</f>
        <v>1200</v>
      </c>
      <c r="AA211" s="201">
        <f>Table51013454[[#This Row],[الإجمالي]]-Table51013454[[#This Row],[إجمالي المستبعد]]</f>
        <v>97200</v>
      </c>
      <c r="AB211" s="200">
        <v>0.15</v>
      </c>
      <c r="AC211" s="199"/>
      <c r="AD211" s="198" t="s">
        <v>55</v>
      </c>
      <c r="AE211" s="194"/>
      <c r="AF211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الشراء-الاستلام]]&lt;DATE(2017,1,1),Q211-AE211,0))</f>
        <v>0</v>
      </c>
      <c r="AG211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7869.2054794520554</v>
      </c>
      <c r="AH21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1" s="196">
        <f>Table51013454[[#This Row],[اهلاك المستبعد
في 2017]]+Table51013454[[#This Row],[مجمع إهلاك المستبعد 
01-01-2017]]</f>
        <v>0</v>
      </c>
      <c r="AJ211" s="196">
        <f>Table51013454[[#This Row],[إجمالي المستبعد]]-Table51013454[[#This Row],[مجمع إهلاك المستبعد 
بتاريخ الأستبعاد]]</f>
        <v>0</v>
      </c>
      <c r="AK211" s="195"/>
      <c r="AL211" s="194">
        <f>IF(OR(Table51013454[[#This Row],[تاريخ الشراء-الاستلام]]="",Table51013454[[#This Row],[الإجمالي]]="",Table51013454[[#This Row],[العمر الافتراضي]]=""),"",IF(((AE211+AG211)-Table51013454[[#This Row],[مجمع إهلاك المستبعد 
بتاريخ الأستبعاد]])&lt;=0,0,((AE211+AG211)-Table51013454[[#This Row],[مجمع إهلاك المستبعد 
بتاريخ الأستبعاد]])))</f>
        <v>7869.2054794520554</v>
      </c>
      <c r="AM211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الشراء-الاستلام]]&gt;DATE(2017,12,31),0,AA211-AL211)))</f>
        <v>89330.794520547948</v>
      </c>
    </row>
    <row r="212" spans="1:39" ht="77.25" hidden="1">
      <c r="A212" s="226">
        <f>IF(B212="","",SUBTOTAL(3,$B$6:B279))</f>
        <v>23</v>
      </c>
      <c r="B212" s="198" t="s">
        <v>558</v>
      </c>
      <c r="C212" s="215" t="s">
        <v>12</v>
      </c>
      <c r="D212" s="215"/>
      <c r="E212" s="198" t="s">
        <v>57</v>
      </c>
      <c r="F212" s="198" t="s">
        <v>52</v>
      </c>
      <c r="G212" s="198" t="s">
        <v>436</v>
      </c>
      <c r="H212" s="199" t="s">
        <v>72</v>
      </c>
      <c r="I212" s="198"/>
      <c r="J212" s="213"/>
      <c r="K212" s="213">
        <v>43040</v>
      </c>
      <c r="L212" s="212" t="s">
        <v>572</v>
      </c>
      <c r="M212" s="225" t="s">
        <v>571</v>
      </c>
      <c r="N212" s="224">
        <v>20</v>
      </c>
      <c r="O212" s="223">
        <v>27184</v>
      </c>
      <c r="P212" s="222">
        <v>750</v>
      </c>
      <c r="Q212" s="221">
        <f>P212*N212</f>
        <v>15000</v>
      </c>
      <c r="R212" s="220"/>
      <c r="S212" s="219"/>
      <c r="T212" s="218"/>
      <c r="U212" s="218"/>
      <c r="V212" s="218"/>
      <c r="W212" s="218">
        <f>Table51013454[[#This Row],[العدد]]*Table51013454[[#This Row],[السعر الافرادي]]</f>
        <v>0</v>
      </c>
      <c r="X212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2" s="202">
        <f>Table51013454[[#This Row],[الكمية]]-Table51013454[[#This Row],[العدد]]</f>
        <v>20</v>
      </c>
      <c r="Z212" s="201">
        <f>Table51013454[[#This Row],[سعر/الحبة]]</f>
        <v>750</v>
      </c>
      <c r="AA212" s="201">
        <f>Table51013454[[#This Row],[الإجمالي]]-Table51013454[[#This Row],[إجمالي المستبعد]]</f>
        <v>15000</v>
      </c>
      <c r="AB212" s="200">
        <v>0.15</v>
      </c>
      <c r="AC212" s="199"/>
      <c r="AD212" s="198" t="s">
        <v>55</v>
      </c>
      <c r="AE212" s="194"/>
      <c r="AF212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الشراء-الاستلام]]&lt;DATE(2017,1,1),Q212-AE212,0))</f>
        <v>0</v>
      </c>
      <c r="AG212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369.86301369863014</v>
      </c>
      <c r="AH21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2" s="196">
        <f>Table51013454[[#This Row],[اهلاك المستبعد
في 2017]]+Table51013454[[#This Row],[مجمع إهلاك المستبعد 
01-01-2017]]</f>
        <v>0</v>
      </c>
      <c r="AJ212" s="196">
        <f>Table51013454[[#This Row],[إجمالي المستبعد]]-Table51013454[[#This Row],[مجمع إهلاك المستبعد 
بتاريخ الأستبعاد]]</f>
        <v>0</v>
      </c>
      <c r="AK212" s="195"/>
      <c r="AL212" s="194">
        <f>IF(OR(Table51013454[[#This Row],[تاريخ الشراء-الاستلام]]="",Table51013454[[#This Row],[الإجمالي]]="",Table51013454[[#This Row],[العمر الافتراضي]]=""),"",IF(((AE212+AG212)-Table51013454[[#This Row],[مجمع إهلاك المستبعد 
بتاريخ الأستبعاد]])&lt;=0,0,((AE212+AG212)-Table51013454[[#This Row],[مجمع إهلاك المستبعد 
بتاريخ الأستبعاد]])))</f>
        <v>369.86301369863014</v>
      </c>
      <c r="AM212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الشراء-الاستلام]]&gt;DATE(2017,12,31),0,AA212-AL212)))</f>
        <v>14630.13698630137</v>
      </c>
    </row>
    <row r="213" spans="1:39" ht="77.25">
      <c r="A213" s="226">
        <f>IF(B213="","",SUBTOTAL(3,$B$6:B276))</f>
        <v>23</v>
      </c>
      <c r="B213" s="198" t="s">
        <v>568</v>
      </c>
      <c r="C213" s="215" t="s">
        <v>12</v>
      </c>
      <c r="D213" s="215"/>
      <c r="E213" s="230" t="s">
        <v>1529</v>
      </c>
      <c r="F213" s="198" t="s">
        <v>52</v>
      </c>
      <c r="G213" s="198" t="s">
        <v>436</v>
      </c>
      <c r="H213" s="199" t="s">
        <v>72</v>
      </c>
      <c r="I213" s="198"/>
      <c r="J213" s="213"/>
      <c r="K213" s="213">
        <v>42916</v>
      </c>
      <c r="L213" s="212" t="s">
        <v>566</v>
      </c>
      <c r="M213" s="225" t="s">
        <v>565</v>
      </c>
      <c r="N213" s="224">
        <v>150</v>
      </c>
      <c r="O213" s="223"/>
      <c r="P213" s="222">
        <v>1200</v>
      </c>
      <c r="Q213" s="221">
        <f>P213*N213</f>
        <v>180000</v>
      </c>
      <c r="R213" s="220"/>
      <c r="S213" s="219"/>
      <c r="T213" s="218"/>
      <c r="U213" s="218"/>
      <c r="V213" s="218"/>
      <c r="W213" s="218">
        <f>Table51013454[[#This Row],[العدد]]*Table51013454[[#This Row],[السعر الافرادي]]</f>
        <v>0</v>
      </c>
      <c r="X21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3" s="202">
        <f>Table51013454[[#This Row],[الكمية]]-Table51013454[[#This Row],[العدد]]</f>
        <v>150</v>
      </c>
      <c r="Z213" s="201">
        <f>Table51013454[[#This Row],[سعر/الحبة]]</f>
        <v>1200</v>
      </c>
      <c r="AA213" s="243">
        <f>Table51013454[[#This Row],[الإجمالي]]-Table51013454[[#This Row],[إجمالي المستبعد]]</f>
        <v>180000</v>
      </c>
      <c r="AB213" s="200">
        <v>0.15</v>
      </c>
      <c r="AC213" s="199"/>
      <c r="AD213" s="198" t="s">
        <v>55</v>
      </c>
      <c r="AE213" s="194"/>
      <c r="AF21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الشراء-الاستلام]]&lt;DATE(2017,1,1),Q213-AE213,0))</f>
        <v>0</v>
      </c>
      <c r="AG21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13610.95890410959</v>
      </c>
      <c r="AH21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3" s="196">
        <f>Table51013454[[#This Row],[اهلاك المستبعد
في 2017]]+Table51013454[[#This Row],[مجمع إهلاك المستبعد 
01-01-2017]]</f>
        <v>0</v>
      </c>
      <c r="AJ213" s="196">
        <f>Table51013454[[#This Row],[إجمالي المستبعد]]-Table51013454[[#This Row],[مجمع إهلاك المستبعد 
بتاريخ الأستبعاد]]</f>
        <v>0</v>
      </c>
      <c r="AK213" s="195"/>
      <c r="AL213" s="194">
        <f>IF(OR(Table51013454[[#This Row],[تاريخ الشراء-الاستلام]]="",Table51013454[[#This Row],[الإجمالي]]="",Table51013454[[#This Row],[العمر الافتراضي]]=""),"",IF(((AE213+AG213)-Table51013454[[#This Row],[مجمع إهلاك المستبعد 
بتاريخ الأستبعاد]])&lt;=0,0,((AE213+AG213)-Table51013454[[#This Row],[مجمع إهلاك المستبعد 
بتاريخ الأستبعاد]])))</f>
        <v>13610.95890410959</v>
      </c>
      <c r="AM21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الشراء-الاستلام]]&gt;DATE(2017,12,31),0,AA213-AL213)))</f>
        <v>166389.0410958904</v>
      </c>
    </row>
    <row r="214" spans="1:39" ht="77.25" hidden="1">
      <c r="A214" s="246">
        <f>IF(B214="","",SUBTOTAL(3,$B$6:B279))</f>
        <v>23</v>
      </c>
      <c r="B214" s="230" t="s">
        <v>558</v>
      </c>
      <c r="C214" s="238" t="s">
        <v>12</v>
      </c>
      <c r="D214" s="238"/>
      <c r="E214" s="230" t="s">
        <v>57</v>
      </c>
      <c r="F214" s="230" t="s">
        <v>52</v>
      </c>
      <c r="G214" s="198" t="s">
        <v>436</v>
      </c>
      <c r="H214" s="231" t="s">
        <v>72</v>
      </c>
      <c r="I214" s="230"/>
      <c r="J214" s="236"/>
      <c r="K214" s="236">
        <v>43040</v>
      </c>
      <c r="L214" s="235" t="s">
        <v>572</v>
      </c>
      <c r="M214" s="225" t="s">
        <v>571</v>
      </c>
      <c r="N214" s="224">
        <v>20</v>
      </c>
      <c r="O214" s="223">
        <v>27155</v>
      </c>
      <c r="P214" s="222">
        <v>750</v>
      </c>
      <c r="Q214" s="221">
        <f>P214*N214</f>
        <v>15000</v>
      </c>
      <c r="R214" s="220"/>
      <c r="S214" s="219"/>
      <c r="T214" s="218"/>
      <c r="U214" s="218"/>
      <c r="V214" s="218"/>
      <c r="W214" s="218">
        <f>Table51013454[[#This Row],[العدد]]*Table51013454[[#This Row],[السعر الافرادي]]</f>
        <v>0</v>
      </c>
      <c r="X214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4" s="234">
        <f>Table51013454[[#This Row],[الكمية]]-Table51013454[[#This Row],[العدد]]</f>
        <v>20</v>
      </c>
      <c r="Z214" s="233">
        <f>Table51013454[[#This Row],[سعر/الحبة]]</f>
        <v>750</v>
      </c>
      <c r="AA214" s="233">
        <f>Table51013454[[#This Row],[الإجمالي]]-Table51013454[[#This Row],[إجمالي المستبعد]]</f>
        <v>15000</v>
      </c>
      <c r="AB214" s="232">
        <v>0.15</v>
      </c>
      <c r="AC214" s="231"/>
      <c r="AD214" s="230" t="s">
        <v>55</v>
      </c>
      <c r="AE214" s="228"/>
      <c r="AF214" s="22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الشراء-الاستلام]]&lt;DATE(2017,1,1),Q214-AE214,0))</f>
        <v>0</v>
      </c>
      <c r="AG214" s="229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369.86301369863014</v>
      </c>
      <c r="AH214" s="245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4" s="245">
        <f>Table51013454[[#This Row],[اهلاك المستبعد
في 2017]]+Table51013454[[#This Row],[مجمع إهلاك المستبعد 
01-01-2017]]</f>
        <v>0</v>
      </c>
      <c r="AJ214" s="245">
        <f>Table51013454[[#This Row],[إجمالي المستبعد]]-Table51013454[[#This Row],[مجمع إهلاك المستبعد 
بتاريخ الأستبعاد]]</f>
        <v>0</v>
      </c>
      <c r="AK214" s="244"/>
      <c r="AL214" s="228">
        <f>IF(OR(Table51013454[[#This Row],[تاريخ الشراء-الاستلام]]="",Table51013454[[#This Row],[الإجمالي]]="",Table51013454[[#This Row],[العمر الافتراضي]]=""),"",IF(((AE214+AG214)-Table51013454[[#This Row],[مجمع إهلاك المستبعد 
بتاريخ الأستبعاد]])&lt;=0,0,((AE214+AG214)-Table51013454[[#This Row],[مجمع إهلاك المستبعد 
بتاريخ الأستبعاد]])))</f>
        <v>369.86301369863014</v>
      </c>
      <c r="AM214" s="22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الشراء-الاستلام]]&gt;DATE(2017,12,31),0,AA214-AL214)))</f>
        <v>14630.13698630137</v>
      </c>
    </row>
    <row r="215" spans="1:39" ht="77.25">
      <c r="A215" s="226">
        <f>IF(B215="","",SUBTOTAL(3,$B$6:B277))</f>
        <v>23</v>
      </c>
      <c r="B215" s="198" t="s">
        <v>568</v>
      </c>
      <c r="C215" s="215" t="s">
        <v>12</v>
      </c>
      <c r="D215" s="215"/>
      <c r="E215" s="230" t="s">
        <v>1529</v>
      </c>
      <c r="F215" s="198" t="s">
        <v>52</v>
      </c>
      <c r="G215" s="198" t="s">
        <v>436</v>
      </c>
      <c r="H215" s="199" t="s">
        <v>72</v>
      </c>
      <c r="I215" s="198"/>
      <c r="J215" s="213"/>
      <c r="K215" s="213">
        <v>42960</v>
      </c>
      <c r="L215" s="212" t="s">
        <v>566</v>
      </c>
      <c r="M215" s="225" t="s">
        <v>565</v>
      </c>
      <c r="N215" s="224">
        <v>50</v>
      </c>
      <c r="O215" s="223"/>
      <c r="P215" s="222">
        <v>1200</v>
      </c>
      <c r="Q215" s="221">
        <f>P215*N215</f>
        <v>60000</v>
      </c>
      <c r="R215" s="220"/>
      <c r="S215" s="219"/>
      <c r="T215" s="218"/>
      <c r="U215" s="218"/>
      <c r="V215" s="218"/>
      <c r="W215" s="218">
        <f>Table51013454[[#This Row],[العدد]]*Table51013454[[#This Row],[السعر الافرادي]]</f>
        <v>0</v>
      </c>
      <c r="X215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5" s="202">
        <f>Table51013454[[#This Row],[الكمية]]-Table51013454[[#This Row],[العدد]]</f>
        <v>50</v>
      </c>
      <c r="Z215" s="201">
        <f>Table51013454[[#This Row],[سعر/الحبة]]</f>
        <v>1200</v>
      </c>
      <c r="AA215" s="201">
        <f>Table51013454[[#This Row],[الإجمالي]]-Table51013454[[#This Row],[إجمالي المستبعد]]</f>
        <v>60000</v>
      </c>
      <c r="AB215" s="200">
        <v>0.15</v>
      </c>
      <c r="AC215" s="199"/>
      <c r="AD215" s="198" t="s">
        <v>55</v>
      </c>
      <c r="AE215" s="194"/>
      <c r="AF21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الشراء-الاستلام]]&lt;DATE(2017,1,1),Q215-AE215,0))</f>
        <v>0</v>
      </c>
      <c r="AG21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3452.0547945205476</v>
      </c>
      <c r="AH21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5" s="196">
        <f>Table51013454[[#This Row],[اهلاك المستبعد
في 2017]]+Table51013454[[#This Row],[مجمع إهلاك المستبعد 
01-01-2017]]</f>
        <v>0</v>
      </c>
      <c r="AJ215" s="196">
        <f>Table51013454[[#This Row],[إجمالي المستبعد]]-Table51013454[[#This Row],[مجمع إهلاك المستبعد 
بتاريخ الأستبعاد]]</f>
        <v>0</v>
      </c>
      <c r="AK215" s="195"/>
      <c r="AL215" s="194">
        <f>IF(OR(Table51013454[[#This Row],[تاريخ الشراء-الاستلام]]="",Table51013454[[#This Row],[الإجمالي]]="",Table51013454[[#This Row],[العمر الافتراضي]]=""),"",IF(((AE215+AG215)-Table51013454[[#This Row],[مجمع إهلاك المستبعد 
بتاريخ الأستبعاد]])&lt;=0,0,((AE215+AG215)-Table51013454[[#This Row],[مجمع إهلاك المستبعد 
بتاريخ الأستبعاد]])))</f>
        <v>3452.0547945205476</v>
      </c>
      <c r="AM21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الشراء-الاستلام]]&gt;DATE(2017,12,31),0,AA215-AL215)))</f>
        <v>56547.945205479453</v>
      </c>
    </row>
    <row r="216" spans="1:39" ht="77.25">
      <c r="A216" s="226">
        <f>IF(B216="","",SUBTOTAL(3,$B$6:B284))</f>
        <v>23</v>
      </c>
      <c r="B216" s="198" t="s">
        <v>568</v>
      </c>
      <c r="C216" s="215" t="s">
        <v>12</v>
      </c>
      <c r="D216" s="215"/>
      <c r="E216" s="230" t="s">
        <v>1529</v>
      </c>
      <c r="F216" s="198" t="s">
        <v>52</v>
      </c>
      <c r="G216" s="198" t="s">
        <v>436</v>
      </c>
      <c r="H216" s="199" t="s">
        <v>72</v>
      </c>
      <c r="I216" s="198"/>
      <c r="J216" s="213"/>
      <c r="K216" s="213">
        <v>43030</v>
      </c>
      <c r="L216" s="212" t="s">
        <v>572</v>
      </c>
      <c r="M216" s="225" t="s">
        <v>571</v>
      </c>
      <c r="N216" s="224">
        <v>40</v>
      </c>
      <c r="O216" s="223"/>
      <c r="P216" s="222">
        <v>1400</v>
      </c>
      <c r="Q216" s="221">
        <f>P216*N216</f>
        <v>56000</v>
      </c>
      <c r="R216" s="220"/>
      <c r="S216" s="219"/>
      <c r="T216" s="218"/>
      <c r="U216" s="218"/>
      <c r="V216" s="218"/>
      <c r="W216" s="218">
        <f>Table51013454[[#This Row],[العدد]]*Table51013454[[#This Row],[السعر الافرادي]]</f>
        <v>0</v>
      </c>
      <c r="X216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6" s="202">
        <f>Table51013454[[#This Row],[الكمية]]-Table51013454[[#This Row],[العدد]]</f>
        <v>40</v>
      </c>
      <c r="Z216" s="201">
        <f>Table51013454[[#This Row],[سعر/الحبة]]</f>
        <v>1400</v>
      </c>
      <c r="AA216" s="201">
        <f>Table51013454[[#This Row],[الإجمالي]]-Table51013454[[#This Row],[إجمالي المستبعد]]</f>
        <v>56000</v>
      </c>
      <c r="AB216" s="200">
        <v>0.15</v>
      </c>
      <c r="AC216" s="199"/>
      <c r="AD216" s="198" t="s">
        <v>55</v>
      </c>
      <c r="AE216" s="194"/>
      <c r="AF216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الشراء-الاستلام]]&lt;DATE(2017,1,1),Q216-AE216,0))</f>
        <v>0</v>
      </c>
      <c r="AG216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1610.958904109589</v>
      </c>
      <c r="AH216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6" s="196">
        <f>Table51013454[[#This Row],[اهلاك المستبعد
في 2017]]+Table51013454[[#This Row],[مجمع إهلاك المستبعد 
01-01-2017]]</f>
        <v>0</v>
      </c>
      <c r="AJ216" s="196">
        <f>Table51013454[[#This Row],[إجمالي المستبعد]]-Table51013454[[#This Row],[مجمع إهلاك المستبعد 
بتاريخ الأستبعاد]]</f>
        <v>0</v>
      </c>
      <c r="AK216" s="195"/>
      <c r="AL216" s="194">
        <f>IF(OR(Table51013454[[#This Row],[تاريخ الشراء-الاستلام]]="",Table51013454[[#This Row],[الإجمالي]]="",Table51013454[[#This Row],[العمر الافتراضي]]=""),"",IF(((AE216+AG216)-Table51013454[[#This Row],[مجمع إهلاك المستبعد 
بتاريخ الأستبعاد]])&lt;=0,0,((AE216+AG216)-Table51013454[[#This Row],[مجمع إهلاك المستبعد 
بتاريخ الأستبعاد]])))</f>
        <v>1610.958904109589</v>
      </c>
      <c r="AM216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الشراء-الاستلام]]&gt;DATE(2017,12,31),0,AA216-AL216)))</f>
        <v>54389.04109589041</v>
      </c>
    </row>
    <row r="217" spans="1:39" ht="77.25">
      <c r="A217" s="226">
        <f>IF(B217="","",SUBTOTAL(3,$B$6:B283))</f>
        <v>23</v>
      </c>
      <c r="B217" s="198" t="s">
        <v>568</v>
      </c>
      <c r="C217" s="215" t="s">
        <v>12</v>
      </c>
      <c r="D217" s="215"/>
      <c r="E217" s="230" t="s">
        <v>1529</v>
      </c>
      <c r="F217" s="198" t="s">
        <v>52</v>
      </c>
      <c r="G217" s="198" t="s">
        <v>436</v>
      </c>
      <c r="H217" s="199" t="s">
        <v>72</v>
      </c>
      <c r="I217" s="198"/>
      <c r="J217" s="213"/>
      <c r="K217" s="213">
        <v>43040</v>
      </c>
      <c r="L217" s="212" t="s">
        <v>572</v>
      </c>
      <c r="M217" s="225" t="s">
        <v>571</v>
      </c>
      <c r="N217" s="224">
        <v>20</v>
      </c>
      <c r="O217" s="223">
        <v>27184</v>
      </c>
      <c r="P217" s="222">
        <v>1400</v>
      </c>
      <c r="Q217" s="221">
        <f>P217*N217</f>
        <v>28000</v>
      </c>
      <c r="R217" s="220"/>
      <c r="S217" s="219"/>
      <c r="T217" s="218"/>
      <c r="U217" s="218"/>
      <c r="V217" s="218"/>
      <c r="W217" s="218">
        <f>Table51013454[[#This Row],[العدد]]*Table51013454[[#This Row],[السعر الافرادي]]</f>
        <v>0</v>
      </c>
      <c r="X21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7" s="202">
        <f>Table51013454[[#This Row],[الكمية]]-Table51013454[[#This Row],[العدد]]</f>
        <v>20</v>
      </c>
      <c r="Z217" s="201">
        <f>Table51013454[[#This Row],[سعر/الحبة]]</f>
        <v>1400</v>
      </c>
      <c r="AA217" s="201">
        <f>Table51013454[[#This Row],[الإجمالي]]-Table51013454[[#This Row],[إجمالي المستبعد]]</f>
        <v>28000</v>
      </c>
      <c r="AB217" s="200">
        <v>0.15</v>
      </c>
      <c r="AC217" s="199"/>
      <c r="AD217" s="198" t="s">
        <v>55</v>
      </c>
      <c r="AE217" s="194"/>
      <c r="AF217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الشراء-الاستلام]]&lt;DATE(2017,1,1),Q217-AE217,0))</f>
        <v>0</v>
      </c>
      <c r="AG217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690.41095890410952</v>
      </c>
      <c r="AH21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7" s="196">
        <f>Table51013454[[#This Row],[اهلاك المستبعد
في 2017]]+Table51013454[[#This Row],[مجمع إهلاك المستبعد 
01-01-2017]]</f>
        <v>0</v>
      </c>
      <c r="AJ217" s="196">
        <f>Table51013454[[#This Row],[إجمالي المستبعد]]-Table51013454[[#This Row],[مجمع إهلاك المستبعد 
بتاريخ الأستبعاد]]</f>
        <v>0</v>
      </c>
      <c r="AK217" s="195"/>
      <c r="AL217" s="194">
        <f>IF(OR(Table51013454[[#This Row],[تاريخ الشراء-الاستلام]]="",Table51013454[[#This Row],[الإجمالي]]="",Table51013454[[#This Row],[العمر الافتراضي]]=""),"",IF(((AE217+AG217)-Table51013454[[#This Row],[مجمع إهلاك المستبعد 
بتاريخ الأستبعاد]])&lt;=0,0,((AE217+AG217)-Table51013454[[#This Row],[مجمع إهلاك المستبعد 
بتاريخ الأستبعاد]])))</f>
        <v>690.41095890410952</v>
      </c>
      <c r="AM217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الشراء-الاستلام]]&gt;DATE(2017,12,31),0,AA217-AL217)))</f>
        <v>27309.589041095889</v>
      </c>
    </row>
    <row r="218" spans="1:39" ht="77.25">
      <c r="A218" s="226">
        <f>IF(B218="","",SUBTOTAL(3,$B$6:B282))</f>
        <v>23</v>
      </c>
      <c r="B218" s="198" t="s">
        <v>568</v>
      </c>
      <c r="C218" s="215" t="s">
        <v>12</v>
      </c>
      <c r="D218" s="215"/>
      <c r="E218" s="230" t="s">
        <v>1529</v>
      </c>
      <c r="F218" s="198" t="s">
        <v>52</v>
      </c>
      <c r="G218" s="198" t="s">
        <v>436</v>
      </c>
      <c r="H218" s="199" t="s">
        <v>72</v>
      </c>
      <c r="I218" s="198"/>
      <c r="J218" s="213"/>
      <c r="K218" s="213">
        <v>43040</v>
      </c>
      <c r="L218" s="212" t="s">
        <v>572</v>
      </c>
      <c r="M218" s="225" t="s">
        <v>571</v>
      </c>
      <c r="N218" s="224">
        <v>20</v>
      </c>
      <c r="O218" s="223">
        <v>27155</v>
      </c>
      <c r="P218" s="222">
        <v>1400</v>
      </c>
      <c r="Q218" s="221">
        <f>P218*N218</f>
        <v>28000</v>
      </c>
      <c r="R218" s="220"/>
      <c r="S218" s="219"/>
      <c r="T218" s="218"/>
      <c r="U218" s="218"/>
      <c r="V218" s="218"/>
      <c r="W218" s="218">
        <f>Table51013454[[#This Row],[العدد]]*Table51013454[[#This Row],[السعر الافرادي]]</f>
        <v>0</v>
      </c>
      <c r="X21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8" s="202">
        <f>Table51013454[[#This Row],[الكمية]]-Table51013454[[#This Row],[العدد]]</f>
        <v>20</v>
      </c>
      <c r="Z218" s="201">
        <f>Table51013454[[#This Row],[سعر/الحبة]]</f>
        <v>1400</v>
      </c>
      <c r="AA218" s="201">
        <f>Table51013454[[#This Row],[الإجمالي]]-Table51013454[[#This Row],[إجمالي المستبعد]]</f>
        <v>28000</v>
      </c>
      <c r="AB218" s="200">
        <v>0.15</v>
      </c>
      <c r="AC218" s="199"/>
      <c r="AD218" s="198" t="s">
        <v>55</v>
      </c>
      <c r="AE218" s="194"/>
      <c r="AF21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الشراء-الاستلام]]&lt;DATE(2017,1,1),Q218-AE218,0))</f>
        <v>0</v>
      </c>
      <c r="AG21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690.41095890410952</v>
      </c>
      <c r="AH21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8" s="196">
        <f>Table51013454[[#This Row],[اهلاك المستبعد
في 2017]]+Table51013454[[#This Row],[مجمع إهلاك المستبعد 
01-01-2017]]</f>
        <v>0</v>
      </c>
      <c r="AJ218" s="196">
        <f>Table51013454[[#This Row],[إجمالي المستبعد]]-Table51013454[[#This Row],[مجمع إهلاك المستبعد 
بتاريخ الأستبعاد]]</f>
        <v>0</v>
      </c>
      <c r="AK218" s="195"/>
      <c r="AL218" s="194">
        <f>IF(OR(Table51013454[[#This Row],[تاريخ الشراء-الاستلام]]="",Table51013454[[#This Row],[الإجمالي]]="",Table51013454[[#This Row],[العمر الافتراضي]]=""),"",IF(((AE218+AG218)-Table51013454[[#This Row],[مجمع إهلاك المستبعد 
بتاريخ الأستبعاد]])&lt;=0,0,((AE218+AG218)-Table51013454[[#This Row],[مجمع إهلاك المستبعد 
بتاريخ الأستبعاد]])))</f>
        <v>690.41095890410952</v>
      </c>
      <c r="AM21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الشراء-الاستلام]]&gt;DATE(2017,12,31),0,AA218-AL218)))</f>
        <v>27309.589041095889</v>
      </c>
    </row>
    <row r="219" spans="1:39" ht="77.25" hidden="1">
      <c r="A219" s="226">
        <f>IF(B219="","",SUBTOTAL(3,$B$6:B279))</f>
        <v>23</v>
      </c>
      <c r="B219" s="198" t="s">
        <v>558</v>
      </c>
      <c r="C219" s="215" t="s">
        <v>12</v>
      </c>
      <c r="D219" s="215"/>
      <c r="E219" s="198" t="s">
        <v>57</v>
      </c>
      <c r="F219" s="198" t="s">
        <v>52</v>
      </c>
      <c r="G219" s="198" t="s">
        <v>436</v>
      </c>
      <c r="H219" s="199" t="s">
        <v>72</v>
      </c>
      <c r="I219" s="198"/>
      <c r="J219" s="213"/>
      <c r="K219" s="213">
        <v>43085</v>
      </c>
      <c r="L219" s="212" t="s">
        <v>566</v>
      </c>
      <c r="M219" s="225" t="s">
        <v>565</v>
      </c>
      <c r="N219" s="224">
        <v>47</v>
      </c>
      <c r="O219" s="223"/>
      <c r="P219" s="222">
        <v>750</v>
      </c>
      <c r="Q219" s="221">
        <f t="shared" ref="Q198:Q261" si="1">P219*N219</f>
        <v>35250</v>
      </c>
      <c r="R219" s="220"/>
      <c r="S219" s="219"/>
      <c r="T219" s="218"/>
      <c r="U219" s="218"/>
      <c r="V219" s="218"/>
      <c r="W219" s="218">
        <f>Table51013454[[#This Row],[العدد]]*Table51013454[[#This Row],[السعر الافرادي]]</f>
        <v>0</v>
      </c>
      <c r="X219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19" s="202">
        <f>Table51013454[[#This Row],[الكمية]]-Table51013454[[#This Row],[العدد]]</f>
        <v>47</v>
      </c>
      <c r="Z219" s="201">
        <f>Table51013454[[#This Row],[سعر/الحبة]]</f>
        <v>750</v>
      </c>
      <c r="AA219" s="201">
        <f>Table51013454[[#This Row],[الإجمالي]]-Table51013454[[#This Row],[إجمالي المستبعد]]</f>
        <v>35250</v>
      </c>
      <c r="AB219" s="200">
        <v>0.15</v>
      </c>
      <c r="AC219" s="199"/>
      <c r="AD219" s="198" t="s">
        <v>55</v>
      </c>
      <c r="AE219" s="194"/>
      <c r="AF21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الشراء-الاستلام]]&lt;DATE(2017,1,1),Q219-AE219,0))</f>
        <v>0</v>
      </c>
      <c r="AG21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217.29452054794521</v>
      </c>
      <c r="AH21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19" s="196">
        <f>Table51013454[[#This Row],[اهلاك المستبعد
في 2017]]+Table51013454[[#This Row],[مجمع إهلاك المستبعد 
01-01-2017]]</f>
        <v>0</v>
      </c>
      <c r="AJ219" s="196">
        <f>Table51013454[[#This Row],[إجمالي المستبعد]]-Table51013454[[#This Row],[مجمع إهلاك المستبعد 
بتاريخ الأستبعاد]]</f>
        <v>0</v>
      </c>
      <c r="AK219" s="195"/>
      <c r="AL219" s="194">
        <f>IF(OR(Table51013454[[#This Row],[تاريخ الشراء-الاستلام]]="",Table51013454[[#This Row],[الإجمالي]]="",Table51013454[[#This Row],[العمر الافتراضي]]=""),"",IF(((AE219+AG219)-Table51013454[[#This Row],[مجمع إهلاك المستبعد 
بتاريخ الأستبعاد]])&lt;=0,0,((AE219+AG219)-Table51013454[[#This Row],[مجمع إهلاك المستبعد 
بتاريخ الأستبعاد]])))</f>
        <v>217.29452054794521</v>
      </c>
      <c r="AM21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الشراء-الاستلام]]&gt;DATE(2017,12,31),0,AA219-AL219)))</f>
        <v>35032.705479452052</v>
      </c>
    </row>
    <row r="220" spans="1:39" ht="77.25" hidden="1">
      <c r="A220" s="226">
        <f>IF(B220="","",SUBTOTAL(3,$B$6:B279))</f>
        <v>23</v>
      </c>
      <c r="B220" s="198" t="s">
        <v>558</v>
      </c>
      <c r="C220" s="215" t="s">
        <v>12</v>
      </c>
      <c r="D220" s="215"/>
      <c r="E220" s="198" t="s">
        <v>57</v>
      </c>
      <c r="F220" s="198" t="s">
        <v>96</v>
      </c>
      <c r="G220" s="198"/>
      <c r="H220" s="199" t="s">
        <v>72</v>
      </c>
      <c r="I220" s="198"/>
      <c r="J220" s="213"/>
      <c r="K220" s="213">
        <v>43042</v>
      </c>
      <c r="L220" s="212" t="s">
        <v>566</v>
      </c>
      <c r="M220" s="225" t="s">
        <v>565</v>
      </c>
      <c r="N220" s="224">
        <v>30</v>
      </c>
      <c r="O220" s="223"/>
      <c r="P220" s="222">
        <v>750</v>
      </c>
      <c r="Q220" s="221">
        <f t="shared" si="1"/>
        <v>22500</v>
      </c>
      <c r="R220" s="220"/>
      <c r="S220" s="219"/>
      <c r="T220" s="218"/>
      <c r="U220" s="218"/>
      <c r="V220" s="218"/>
      <c r="W220" s="218">
        <f>Table51013454[[#This Row],[العدد]]*Table51013454[[#This Row],[السعر الافرادي]]</f>
        <v>0</v>
      </c>
      <c r="X220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0" s="202">
        <f>Table51013454[[#This Row],[الكمية]]-Table51013454[[#This Row],[العدد]]</f>
        <v>30</v>
      </c>
      <c r="Z220" s="201">
        <f>Table51013454[[#This Row],[سعر/الحبة]]</f>
        <v>750</v>
      </c>
      <c r="AA220" s="201">
        <f>Table51013454[[#This Row],[الإجمالي]]-Table51013454[[#This Row],[إجمالي المستبعد]]</f>
        <v>22500</v>
      </c>
      <c r="AB220" s="200">
        <v>0.15</v>
      </c>
      <c r="AC220" s="199"/>
      <c r="AD220" s="198" t="s">
        <v>55</v>
      </c>
      <c r="AE220" s="194"/>
      <c r="AF220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الشراء-الاستلام]]&lt;DATE(2017,1,1),Q220-AE220,0))</f>
        <v>0</v>
      </c>
      <c r="AG220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536.30136986301375</v>
      </c>
      <c r="AH22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0" s="196">
        <f>Table51013454[[#This Row],[اهلاك المستبعد
في 2017]]+Table51013454[[#This Row],[مجمع إهلاك المستبعد 
01-01-2017]]</f>
        <v>0</v>
      </c>
      <c r="AJ220" s="196">
        <f>Table51013454[[#This Row],[إجمالي المستبعد]]-Table51013454[[#This Row],[مجمع إهلاك المستبعد 
بتاريخ الأستبعاد]]</f>
        <v>0</v>
      </c>
      <c r="AK220" s="195"/>
      <c r="AL220" s="194">
        <f>IF(OR(Table51013454[[#This Row],[تاريخ الشراء-الاستلام]]="",Table51013454[[#This Row],[الإجمالي]]="",Table51013454[[#This Row],[العمر الافتراضي]]=""),"",IF(((AE220+AG220)-Table51013454[[#This Row],[مجمع إهلاك المستبعد 
بتاريخ الأستبعاد]])&lt;=0,0,((AE220+AG220)-Table51013454[[#This Row],[مجمع إهلاك المستبعد 
بتاريخ الأستبعاد]])))</f>
        <v>536.30136986301375</v>
      </c>
      <c r="AM220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الشراء-الاستلام]]&gt;DATE(2017,12,31),0,AA220-AL220)))</f>
        <v>21963.698630136987</v>
      </c>
    </row>
    <row r="221" spans="1:39" ht="77.25" hidden="1">
      <c r="A221" s="226">
        <f>IF(B221="","",SUBTOTAL(3,$B$6:B279))</f>
        <v>23</v>
      </c>
      <c r="B221" s="198" t="s">
        <v>569</v>
      </c>
      <c r="C221" s="215" t="s">
        <v>12</v>
      </c>
      <c r="D221" s="215"/>
      <c r="E221" s="198" t="s">
        <v>57</v>
      </c>
      <c r="F221" s="198" t="s">
        <v>96</v>
      </c>
      <c r="G221" s="198"/>
      <c r="H221" s="199" t="s">
        <v>72</v>
      </c>
      <c r="I221" s="198"/>
      <c r="J221" s="213"/>
      <c r="K221" s="213">
        <v>43042</v>
      </c>
      <c r="L221" s="212" t="s">
        <v>566</v>
      </c>
      <c r="M221" s="225" t="s">
        <v>565</v>
      </c>
      <c r="N221" s="224">
        <v>70</v>
      </c>
      <c r="O221" s="223"/>
      <c r="P221" s="222">
        <v>1000</v>
      </c>
      <c r="Q221" s="221">
        <f t="shared" si="1"/>
        <v>70000</v>
      </c>
      <c r="R221" s="220"/>
      <c r="S221" s="219"/>
      <c r="T221" s="218"/>
      <c r="U221" s="218"/>
      <c r="V221" s="218"/>
      <c r="W221" s="218">
        <f>Table51013454[[#This Row],[العدد]]*Table51013454[[#This Row],[السعر الافرادي]]</f>
        <v>0</v>
      </c>
      <c r="X221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1" s="202">
        <f>Table51013454[[#This Row],[الكمية]]-Table51013454[[#This Row],[العدد]]</f>
        <v>70</v>
      </c>
      <c r="Z221" s="201">
        <f>Table51013454[[#This Row],[سعر/الحبة]]</f>
        <v>1000</v>
      </c>
      <c r="AA221" s="201">
        <f>Table51013454[[#This Row],[الإجمالي]]-Table51013454[[#This Row],[إجمالي المستبعد]]</f>
        <v>70000</v>
      </c>
      <c r="AB221" s="200">
        <v>0.15</v>
      </c>
      <c r="AC221" s="199"/>
      <c r="AD221" s="198" t="s">
        <v>55</v>
      </c>
      <c r="AE221" s="194"/>
      <c r="AF221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الشراء-الاستلام]]&lt;DATE(2017,1,1),Q221-AE221,0))</f>
        <v>0</v>
      </c>
      <c r="AG221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1668.4931506849314</v>
      </c>
      <c r="AH22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1" s="196">
        <f>Table51013454[[#This Row],[اهلاك المستبعد
في 2017]]+Table51013454[[#This Row],[مجمع إهلاك المستبعد 
01-01-2017]]</f>
        <v>0</v>
      </c>
      <c r="AJ221" s="196">
        <f>Table51013454[[#This Row],[إجمالي المستبعد]]-Table51013454[[#This Row],[مجمع إهلاك المستبعد 
بتاريخ الأستبعاد]]</f>
        <v>0</v>
      </c>
      <c r="AK221" s="195"/>
      <c r="AL221" s="194">
        <f>IF(OR(Table51013454[[#This Row],[تاريخ الشراء-الاستلام]]="",Table51013454[[#This Row],[الإجمالي]]="",Table51013454[[#This Row],[العمر الافتراضي]]=""),"",IF(((AE221+AG221)-Table51013454[[#This Row],[مجمع إهلاك المستبعد 
بتاريخ الأستبعاد]])&lt;=0,0,((AE221+AG221)-Table51013454[[#This Row],[مجمع إهلاك المستبعد 
بتاريخ الأستبعاد]])))</f>
        <v>1668.4931506849314</v>
      </c>
      <c r="AM221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الشراء-الاستلام]]&gt;DATE(2017,12,31),0,AA221-AL221)))</f>
        <v>68331.506849315076</v>
      </c>
    </row>
    <row r="222" spans="1:39" ht="77.25" hidden="1">
      <c r="A222" s="226">
        <f>IF(B222="","",SUBTOTAL(3,$B$6:B279))</f>
        <v>23</v>
      </c>
      <c r="B222" s="198" t="s">
        <v>568</v>
      </c>
      <c r="C222" s="215" t="s">
        <v>12</v>
      </c>
      <c r="D222" s="215"/>
      <c r="E222" s="198" t="s">
        <v>57</v>
      </c>
      <c r="F222" s="198" t="s">
        <v>96</v>
      </c>
      <c r="G222" s="198"/>
      <c r="H222" s="199" t="s">
        <v>72</v>
      </c>
      <c r="I222" s="198"/>
      <c r="J222" s="213"/>
      <c r="K222" s="213">
        <v>43042</v>
      </c>
      <c r="L222" s="212" t="s">
        <v>566</v>
      </c>
      <c r="M222" s="225" t="s">
        <v>565</v>
      </c>
      <c r="N222" s="224">
        <v>10</v>
      </c>
      <c r="O222" s="223"/>
      <c r="P222" s="222">
        <v>1250</v>
      </c>
      <c r="Q222" s="221">
        <f t="shared" si="1"/>
        <v>12500</v>
      </c>
      <c r="R222" s="220"/>
      <c r="S222" s="219"/>
      <c r="T222" s="218"/>
      <c r="U222" s="218"/>
      <c r="V222" s="218"/>
      <c r="W222" s="218">
        <f>Table51013454[[#This Row],[العدد]]*Table51013454[[#This Row],[السعر الافرادي]]</f>
        <v>0</v>
      </c>
      <c r="X222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2" s="202">
        <f>Table51013454[[#This Row],[الكمية]]-Table51013454[[#This Row],[العدد]]</f>
        <v>10</v>
      </c>
      <c r="Z222" s="201">
        <f>Table51013454[[#This Row],[سعر/الحبة]]</f>
        <v>1250</v>
      </c>
      <c r="AA222" s="201">
        <f>Table51013454[[#This Row],[الإجمالي]]-Table51013454[[#This Row],[إجمالي المستبعد]]</f>
        <v>12500</v>
      </c>
      <c r="AB222" s="200">
        <v>0.15</v>
      </c>
      <c r="AC222" s="199"/>
      <c r="AD222" s="198" t="s">
        <v>55</v>
      </c>
      <c r="AE222" s="194"/>
      <c r="AF222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الشراء-الاستلام]]&lt;DATE(2017,1,1),Q222-AE222,0))</f>
        <v>0</v>
      </c>
      <c r="AG222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297.94520547945206</v>
      </c>
      <c r="AH22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2" s="196">
        <f>Table51013454[[#This Row],[اهلاك المستبعد
في 2017]]+Table51013454[[#This Row],[مجمع إهلاك المستبعد 
01-01-2017]]</f>
        <v>0</v>
      </c>
      <c r="AJ222" s="196">
        <f>Table51013454[[#This Row],[إجمالي المستبعد]]-Table51013454[[#This Row],[مجمع إهلاك المستبعد 
بتاريخ الأستبعاد]]</f>
        <v>0</v>
      </c>
      <c r="AK222" s="195"/>
      <c r="AL222" s="194">
        <f>IF(OR(Table51013454[[#This Row],[تاريخ الشراء-الاستلام]]="",Table51013454[[#This Row],[الإجمالي]]="",Table51013454[[#This Row],[العمر الافتراضي]]=""),"",IF(((AE222+AG222)-Table51013454[[#This Row],[مجمع إهلاك المستبعد 
بتاريخ الأستبعاد]])&lt;=0,0,((AE222+AG222)-Table51013454[[#This Row],[مجمع إهلاك المستبعد 
بتاريخ الأستبعاد]])))</f>
        <v>297.94520547945206</v>
      </c>
      <c r="AM222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الشراء-الاستلام]]&gt;DATE(2017,12,31),0,AA222-AL222)))</f>
        <v>12202.054794520547</v>
      </c>
    </row>
    <row r="223" spans="1:39" ht="77.25" hidden="1">
      <c r="A223" s="226">
        <f>IF(B223="","",SUBTOTAL(3,$B$6:B279))</f>
        <v>23</v>
      </c>
      <c r="B223" s="230" t="s">
        <v>56</v>
      </c>
      <c r="C223" s="215" t="s">
        <v>12</v>
      </c>
      <c r="D223" s="215"/>
      <c r="E223" s="198" t="s">
        <v>57</v>
      </c>
      <c r="F223" s="198" t="s">
        <v>123</v>
      </c>
      <c r="G223" s="198"/>
      <c r="H223" s="199" t="s">
        <v>72</v>
      </c>
      <c r="I223" s="198"/>
      <c r="J223" s="213"/>
      <c r="K223" s="213">
        <v>42858</v>
      </c>
      <c r="L223" s="212" t="s">
        <v>566</v>
      </c>
      <c r="M223" s="225" t="s">
        <v>565</v>
      </c>
      <c r="N223" s="224">
        <v>20</v>
      </c>
      <c r="O223" s="223"/>
      <c r="P223" s="222">
        <v>580</v>
      </c>
      <c r="Q223" s="221">
        <f t="shared" si="1"/>
        <v>11600</v>
      </c>
      <c r="R223" s="220"/>
      <c r="S223" s="219"/>
      <c r="T223" s="218"/>
      <c r="U223" s="218"/>
      <c r="V223" s="218"/>
      <c r="W223" s="218">
        <f>Table51013454[[#This Row],[العدد]]*Table51013454[[#This Row],[السعر الافرادي]]</f>
        <v>0</v>
      </c>
      <c r="X22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3" s="202">
        <f>Table51013454[[#This Row],[الكمية]]-Table51013454[[#This Row],[العدد]]</f>
        <v>20</v>
      </c>
      <c r="Z223" s="201">
        <f>Table51013454[[#This Row],[سعر/الحبة]]</f>
        <v>580</v>
      </c>
      <c r="AA223" s="201">
        <f>Table51013454[[#This Row],[الإجمالي]]-Table51013454[[#This Row],[إجمالي المستبعد]]</f>
        <v>11600</v>
      </c>
      <c r="AB223" s="200">
        <v>0.15</v>
      </c>
      <c r="AC223" s="199"/>
      <c r="AD223" s="198" t="s">
        <v>55</v>
      </c>
      <c r="AE223" s="194"/>
      <c r="AF22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الشراء-الاستلام]]&lt;DATE(2017,1,1),Q223-AE223,0))</f>
        <v>0</v>
      </c>
      <c r="AG22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1153.6438356164385</v>
      </c>
      <c r="AH22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3" s="196">
        <f>Table51013454[[#This Row],[اهلاك المستبعد
في 2017]]+Table51013454[[#This Row],[مجمع إهلاك المستبعد 
01-01-2017]]</f>
        <v>0</v>
      </c>
      <c r="AJ223" s="196">
        <f>Table51013454[[#This Row],[إجمالي المستبعد]]-Table51013454[[#This Row],[مجمع إهلاك المستبعد 
بتاريخ الأستبعاد]]</f>
        <v>0</v>
      </c>
      <c r="AK223" s="195"/>
      <c r="AL223" s="194">
        <f>IF(OR(Table51013454[[#This Row],[تاريخ الشراء-الاستلام]]="",Table51013454[[#This Row],[الإجمالي]]="",Table51013454[[#This Row],[العمر الافتراضي]]=""),"",IF(((AE223+AG223)-Table51013454[[#This Row],[مجمع إهلاك المستبعد 
بتاريخ الأستبعاد]])&lt;=0,0,((AE223+AG223)-Table51013454[[#This Row],[مجمع إهلاك المستبعد 
بتاريخ الأستبعاد]])))</f>
        <v>1153.6438356164385</v>
      </c>
      <c r="AM22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الشراء-الاستلام]]&gt;DATE(2017,12,31),0,AA223-AL223)))</f>
        <v>10446.356164383562</v>
      </c>
    </row>
    <row r="224" spans="1:39" ht="77.25" hidden="1">
      <c r="A224" s="226">
        <f>IF(B224="","",SUBTOTAL(3,$B$6:B279))</f>
        <v>23</v>
      </c>
      <c r="B224" s="230" t="s">
        <v>99</v>
      </c>
      <c r="C224" s="215" t="s">
        <v>12</v>
      </c>
      <c r="D224" s="215"/>
      <c r="E224" s="198" t="s">
        <v>57</v>
      </c>
      <c r="F224" s="198" t="s">
        <v>123</v>
      </c>
      <c r="G224" s="198"/>
      <c r="H224" s="199" t="s">
        <v>72</v>
      </c>
      <c r="I224" s="198"/>
      <c r="J224" s="213"/>
      <c r="K224" s="213">
        <v>42858</v>
      </c>
      <c r="L224" s="212" t="s">
        <v>566</v>
      </c>
      <c r="M224" s="225" t="s">
        <v>565</v>
      </c>
      <c r="N224" s="224">
        <v>20</v>
      </c>
      <c r="O224" s="223"/>
      <c r="P224" s="222">
        <v>1000</v>
      </c>
      <c r="Q224" s="221">
        <f t="shared" si="1"/>
        <v>20000</v>
      </c>
      <c r="R224" s="220"/>
      <c r="S224" s="219"/>
      <c r="T224" s="218"/>
      <c r="U224" s="218"/>
      <c r="V224" s="218"/>
      <c r="W224" s="218">
        <f>Table51013454[[#This Row],[العدد]]*Table51013454[[#This Row],[السعر الافرادي]]</f>
        <v>0</v>
      </c>
      <c r="X224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4" s="202">
        <f>Table51013454[[#This Row],[الكمية]]-Table51013454[[#This Row],[العدد]]</f>
        <v>20</v>
      </c>
      <c r="Z224" s="201">
        <f>Table51013454[[#This Row],[سعر/الحبة]]</f>
        <v>1000</v>
      </c>
      <c r="AA224" s="201">
        <f>Table51013454[[#This Row],[الإجمالي]]-Table51013454[[#This Row],[إجمالي المستبعد]]</f>
        <v>20000</v>
      </c>
      <c r="AB224" s="200">
        <v>0.15</v>
      </c>
      <c r="AC224" s="199"/>
      <c r="AD224" s="198" t="s">
        <v>55</v>
      </c>
      <c r="AE224" s="194"/>
      <c r="AF224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الشراء-الاستلام]]&lt;DATE(2017,1,1),Q224-AE224,0))</f>
        <v>0</v>
      </c>
      <c r="AG224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1989.0410958904113</v>
      </c>
      <c r="AH224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4" s="196">
        <f>Table51013454[[#This Row],[اهلاك المستبعد
في 2017]]+Table51013454[[#This Row],[مجمع إهلاك المستبعد 
01-01-2017]]</f>
        <v>0</v>
      </c>
      <c r="AJ224" s="196">
        <f>Table51013454[[#This Row],[إجمالي المستبعد]]-Table51013454[[#This Row],[مجمع إهلاك المستبعد 
بتاريخ الأستبعاد]]</f>
        <v>0</v>
      </c>
      <c r="AK224" s="195"/>
      <c r="AL224" s="194">
        <f>IF(OR(Table51013454[[#This Row],[تاريخ الشراء-الاستلام]]="",Table51013454[[#This Row],[الإجمالي]]="",Table51013454[[#This Row],[العمر الافتراضي]]=""),"",IF(((AE224+AG224)-Table51013454[[#This Row],[مجمع إهلاك المستبعد 
بتاريخ الأستبعاد]])&lt;=0,0,((AE224+AG224)-Table51013454[[#This Row],[مجمع إهلاك المستبعد 
بتاريخ الأستبعاد]])))</f>
        <v>1989.0410958904113</v>
      </c>
      <c r="AM224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الشراء-الاستلام]]&gt;DATE(2017,12,31),0,AA224-AL224)))</f>
        <v>18010.95890410959</v>
      </c>
    </row>
    <row r="225" spans="1:39" ht="77.25" hidden="1">
      <c r="A225" s="226">
        <f>IF(B225="","",SUBTOTAL(3,$B$6:B279))</f>
        <v>23</v>
      </c>
      <c r="B225" s="230" t="s">
        <v>113</v>
      </c>
      <c r="C225" s="215" t="s">
        <v>12</v>
      </c>
      <c r="D225" s="215"/>
      <c r="E225" s="198" t="s">
        <v>57</v>
      </c>
      <c r="F225" s="198" t="s">
        <v>123</v>
      </c>
      <c r="G225" s="198"/>
      <c r="H225" s="199" t="s">
        <v>72</v>
      </c>
      <c r="I225" s="198"/>
      <c r="J225" s="213"/>
      <c r="K225" s="213">
        <v>42858</v>
      </c>
      <c r="L225" s="212" t="s">
        <v>566</v>
      </c>
      <c r="M225" s="225" t="s">
        <v>565</v>
      </c>
      <c r="N225" s="224">
        <v>15</v>
      </c>
      <c r="O225" s="223"/>
      <c r="P225" s="222">
        <v>1200</v>
      </c>
      <c r="Q225" s="221">
        <f t="shared" si="1"/>
        <v>18000</v>
      </c>
      <c r="R225" s="220"/>
      <c r="S225" s="219"/>
      <c r="T225" s="218"/>
      <c r="U225" s="218"/>
      <c r="V225" s="218"/>
      <c r="W225" s="218">
        <f>Table51013454[[#This Row],[العدد]]*Table51013454[[#This Row],[السعر الافرادي]]</f>
        <v>0</v>
      </c>
      <c r="X225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5" s="202">
        <f>Table51013454[[#This Row],[الكمية]]-Table51013454[[#This Row],[العدد]]</f>
        <v>15</v>
      </c>
      <c r="Z225" s="201">
        <f>Table51013454[[#This Row],[سعر/الحبة]]</f>
        <v>1200</v>
      </c>
      <c r="AA225" s="201">
        <f>Table51013454[[#This Row],[الإجمالي]]-Table51013454[[#This Row],[إجمالي المستبعد]]</f>
        <v>18000</v>
      </c>
      <c r="AB225" s="200">
        <v>0.15</v>
      </c>
      <c r="AC225" s="199"/>
      <c r="AD225" s="198" t="s">
        <v>55</v>
      </c>
      <c r="AE225" s="194"/>
      <c r="AF22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الشراء-الاستلام]]&lt;DATE(2017,1,1),Q225-AE225,0))</f>
        <v>0</v>
      </c>
      <c r="AG22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1790.1369863013699</v>
      </c>
      <c r="AH22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5" s="196">
        <f>Table51013454[[#This Row],[اهلاك المستبعد
في 2017]]+Table51013454[[#This Row],[مجمع إهلاك المستبعد 
01-01-2017]]</f>
        <v>0</v>
      </c>
      <c r="AJ225" s="196">
        <f>Table51013454[[#This Row],[إجمالي المستبعد]]-Table51013454[[#This Row],[مجمع إهلاك المستبعد 
بتاريخ الأستبعاد]]</f>
        <v>0</v>
      </c>
      <c r="AK225" s="195"/>
      <c r="AL225" s="194">
        <f>IF(OR(Table51013454[[#This Row],[تاريخ الشراء-الاستلام]]="",Table51013454[[#This Row],[الإجمالي]]="",Table51013454[[#This Row],[العمر الافتراضي]]=""),"",IF(((AE225+AG225)-Table51013454[[#This Row],[مجمع إهلاك المستبعد 
بتاريخ الأستبعاد]])&lt;=0,0,((AE225+AG225)-Table51013454[[#This Row],[مجمع إهلاك المستبعد 
بتاريخ الأستبعاد]])))</f>
        <v>1790.1369863013699</v>
      </c>
      <c r="AM22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الشراء-الاستلام]]&gt;DATE(2017,12,31),0,AA225-AL225)))</f>
        <v>16209.86301369863</v>
      </c>
    </row>
    <row r="226" spans="1:39" ht="77.25" hidden="1">
      <c r="A226" s="226">
        <f>IF(B226="","",SUBTOTAL(3,$B$6:B279))</f>
        <v>23</v>
      </c>
      <c r="B226" s="198" t="s">
        <v>567</v>
      </c>
      <c r="C226" s="215" t="s">
        <v>12</v>
      </c>
      <c r="D226" s="215"/>
      <c r="E226" s="198" t="s">
        <v>57</v>
      </c>
      <c r="F226" s="198" t="s">
        <v>123</v>
      </c>
      <c r="G226" s="198"/>
      <c r="H226" s="199" t="s">
        <v>72</v>
      </c>
      <c r="I226" s="198"/>
      <c r="J226" s="213"/>
      <c r="K226" s="213">
        <v>42858</v>
      </c>
      <c r="L226" s="212" t="s">
        <v>566</v>
      </c>
      <c r="M226" s="225" t="s">
        <v>565</v>
      </c>
      <c r="N226" s="224">
        <v>2</v>
      </c>
      <c r="O226" s="223"/>
      <c r="P226" s="222">
        <v>2200</v>
      </c>
      <c r="Q226" s="221">
        <f t="shared" si="1"/>
        <v>4400</v>
      </c>
      <c r="R226" s="220"/>
      <c r="S226" s="219"/>
      <c r="T226" s="218"/>
      <c r="U226" s="218"/>
      <c r="V226" s="218"/>
      <c r="W226" s="218">
        <f>Table51013454[[#This Row],[العدد]]*Table51013454[[#This Row],[السعر الافرادي]]</f>
        <v>0</v>
      </c>
      <c r="X226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6" s="202">
        <f>Table51013454[[#This Row],[الكمية]]-Table51013454[[#This Row],[العدد]]</f>
        <v>2</v>
      </c>
      <c r="Z226" s="201">
        <f>Table51013454[[#This Row],[سعر/الحبة]]</f>
        <v>2200</v>
      </c>
      <c r="AA226" s="201">
        <f>Table51013454[[#This Row],[الإجمالي]]-Table51013454[[#This Row],[إجمالي المستبعد]]</f>
        <v>4400</v>
      </c>
      <c r="AB226" s="200">
        <v>0.15</v>
      </c>
      <c r="AC226" s="199"/>
      <c r="AD226" s="198" t="s">
        <v>55</v>
      </c>
      <c r="AE226" s="194"/>
      <c r="AF226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الشراء-الاستلام]]&lt;DATE(2017,1,1),Q226-AE226,0))</f>
        <v>0</v>
      </c>
      <c r="AG226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437.58904109589037</v>
      </c>
      <c r="AH226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6" s="196">
        <f>Table51013454[[#This Row],[اهلاك المستبعد
في 2017]]+Table51013454[[#This Row],[مجمع إهلاك المستبعد 
01-01-2017]]</f>
        <v>0</v>
      </c>
      <c r="AJ226" s="196">
        <f>Table51013454[[#This Row],[إجمالي المستبعد]]-Table51013454[[#This Row],[مجمع إهلاك المستبعد 
بتاريخ الأستبعاد]]</f>
        <v>0</v>
      </c>
      <c r="AK226" s="195"/>
      <c r="AL226" s="194">
        <f>IF(OR(Table51013454[[#This Row],[تاريخ الشراء-الاستلام]]="",Table51013454[[#This Row],[الإجمالي]]="",Table51013454[[#This Row],[العمر الافتراضي]]=""),"",IF(((AE226+AG226)-Table51013454[[#This Row],[مجمع إهلاك المستبعد 
بتاريخ الأستبعاد]])&lt;=0,0,((AE226+AG226)-Table51013454[[#This Row],[مجمع إهلاك المستبعد 
بتاريخ الأستبعاد]])))</f>
        <v>437.58904109589037</v>
      </c>
      <c r="AM226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الشراء-الاستلام]]&gt;DATE(2017,12,31),0,AA226-AL226)))</f>
        <v>3962.4109589041095</v>
      </c>
    </row>
    <row r="227" spans="1:39" ht="77.25" hidden="1">
      <c r="A227" s="226">
        <f>IF(B227="","",SUBTOTAL(3,$B$6:B279))</f>
        <v>23</v>
      </c>
      <c r="B227" s="198" t="s">
        <v>564</v>
      </c>
      <c r="C227" s="215" t="s">
        <v>12</v>
      </c>
      <c r="D227" s="215"/>
      <c r="E227" s="230" t="s">
        <v>214</v>
      </c>
      <c r="F227" s="198" t="s">
        <v>52</v>
      </c>
      <c r="G227" s="198" t="s">
        <v>436</v>
      </c>
      <c r="H227" s="199" t="s">
        <v>72</v>
      </c>
      <c r="I227" s="198"/>
      <c r="J227" s="213"/>
      <c r="K227" s="213">
        <v>42807</v>
      </c>
      <c r="L227" s="212"/>
      <c r="M227" s="225" t="s">
        <v>523</v>
      </c>
      <c r="N227" s="224">
        <v>1</v>
      </c>
      <c r="O227" s="223"/>
      <c r="P227" s="222">
        <v>1190</v>
      </c>
      <c r="Q227" s="221">
        <f t="shared" si="1"/>
        <v>1190</v>
      </c>
      <c r="R227" s="220"/>
      <c r="S227" s="219"/>
      <c r="T227" s="218"/>
      <c r="U227" s="218"/>
      <c r="V227" s="218"/>
      <c r="W227" s="218">
        <f>Table51013454[[#This Row],[العدد]]*Table51013454[[#This Row],[السعر الافرادي]]</f>
        <v>0</v>
      </c>
      <c r="X22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7" s="202">
        <f>Table51013454[[#This Row],[الكمية]]-Table51013454[[#This Row],[العدد]]</f>
        <v>1</v>
      </c>
      <c r="Z227" s="201">
        <f>Table51013454[[#This Row],[سعر/الحبة]]</f>
        <v>1190</v>
      </c>
      <c r="AA227" s="201">
        <f>Table51013454[[#This Row],[الإجمالي]]-Table51013454[[#This Row],[إجمالي المستبعد]]</f>
        <v>1190</v>
      </c>
      <c r="AB227" s="200">
        <v>0.15</v>
      </c>
      <c r="AC227" s="199"/>
      <c r="AD227" s="198" t="s">
        <v>55</v>
      </c>
      <c r="AE227" s="194"/>
      <c r="AF227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الشراء-الاستلام]]&lt;DATE(2017,1,1),Q227-AE227,0))</f>
        <v>0</v>
      </c>
      <c r="AG227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143.28904109589041</v>
      </c>
      <c r="AH22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7" s="196">
        <f>Table51013454[[#This Row],[اهلاك المستبعد
في 2017]]+Table51013454[[#This Row],[مجمع إهلاك المستبعد 
01-01-2017]]</f>
        <v>0</v>
      </c>
      <c r="AJ227" s="196">
        <f>Table51013454[[#This Row],[إجمالي المستبعد]]-Table51013454[[#This Row],[مجمع إهلاك المستبعد 
بتاريخ الأستبعاد]]</f>
        <v>0</v>
      </c>
      <c r="AK227" s="195"/>
      <c r="AL227" s="194">
        <f>IF(OR(Table51013454[[#This Row],[تاريخ الشراء-الاستلام]]="",Table51013454[[#This Row],[الإجمالي]]="",Table51013454[[#This Row],[العمر الافتراضي]]=""),"",IF(((AE227+AG227)-Table51013454[[#This Row],[مجمع إهلاك المستبعد 
بتاريخ الأستبعاد]])&lt;=0,0,((AE227+AG227)-Table51013454[[#This Row],[مجمع إهلاك المستبعد 
بتاريخ الأستبعاد]])))</f>
        <v>143.28904109589041</v>
      </c>
      <c r="AM227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الشراء-الاستلام]]&gt;DATE(2017,12,31),0,AA227-AL227)))</f>
        <v>1046.7109589041097</v>
      </c>
    </row>
    <row r="228" spans="1:39" ht="77.25" hidden="1">
      <c r="A228" s="226">
        <f>IF(B228="","",SUBTOTAL(3,$B$6:B279))</f>
        <v>23</v>
      </c>
      <c r="B228" s="198" t="s">
        <v>563</v>
      </c>
      <c r="C228" s="215" t="s">
        <v>12</v>
      </c>
      <c r="D228" s="215"/>
      <c r="E228" s="230" t="s">
        <v>214</v>
      </c>
      <c r="F228" s="198" t="s">
        <v>52</v>
      </c>
      <c r="G228" s="198" t="s">
        <v>436</v>
      </c>
      <c r="H228" s="199" t="s">
        <v>72</v>
      </c>
      <c r="I228" s="198"/>
      <c r="J228" s="213"/>
      <c r="K228" s="213">
        <v>42821</v>
      </c>
      <c r="L228" s="212" t="s">
        <v>562</v>
      </c>
      <c r="M228" s="225" t="s">
        <v>560</v>
      </c>
      <c r="N228" s="224">
        <v>1</v>
      </c>
      <c r="O228" s="223"/>
      <c r="P228" s="222">
        <v>4700</v>
      </c>
      <c r="Q228" s="221">
        <f t="shared" si="1"/>
        <v>4700</v>
      </c>
      <c r="R228" s="220"/>
      <c r="S228" s="219"/>
      <c r="T228" s="218"/>
      <c r="U228" s="218"/>
      <c r="V228" s="218"/>
      <c r="W228" s="218">
        <f>Table51013454[[#This Row],[العدد]]*Table51013454[[#This Row],[السعر الافرادي]]</f>
        <v>0</v>
      </c>
      <c r="X22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8" s="202">
        <f>Table51013454[[#This Row],[الكمية]]-Table51013454[[#This Row],[العدد]]</f>
        <v>1</v>
      </c>
      <c r="Z228" s="201">
        <f>Table51013454[[#This Row],[سعر/الحبة]]</f>
        <v>4700</v>
      </c>
      <c r="AA228" s="201">
        <f>Table51013454[[#This Row],[الإجمالي]]-Table51013454[[#This Row],[إجمالي المستبعد]]</f>
        <v>4700</v>
      </c>
      <c r="AB228" s="200">
        <v>0.15</v>
      </c>
      <c r="AC228" s="199"/>
      <c r="AD228" s="198" t="s">
        <v>55</v>
      </c>
      <c r="AE228" s="194"/>
      <c r="AF22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الشراء-الاستلام]]&lt;DATE(2017,1,1),Q228-AE228,0))</f>
        <v>0</v>
      </c>
      <c r="AG22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538.89041095890411</v>
      </c>
      <c r="AH22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8" s="196">
        <f>Table51013454[[#This Row],[اهلاك المستبعد
في 2017]]+Table51013454[[#This Row],[مجمع إهلاك المستبعد 
01-01-2017]]</f>
        <v>0</v>
      </c>
      <c r="AJ228" s="196">
        <f>Table51013454[[#This Row],[إجمالي المستبعد]]-Table51013454[[#This Row],[مجمع إهلاك المستبعد 
بتاريخ الأستبعاد]]</f>
        <v>0</v>
      </c>
      <c r="AK228" s="195"/>
      <c r="AL228" s="194">
        <f>IF(OR(Table51013454[[#This Row],[تاريخ الشراء-الاستلام]]="",Table51013454[[#This Row],[الإجمالي]]="",Table51013454[[#This Row],[العمر الافتراضي]]=""),"",IF(((AE228+AG228)-Table51013454[[#This Row],[مجمع إهلاك المستبعد 
بتاريخ الأستبعاد]])&lt;=0,0,((AE228+AG228)-Table51013454[[#This Row],[مجمع إهلاك المستبعد 
بتاريخ الأستبعاد]])))</f>
        <v>538.89041095890411</v>
      </c>
      <c r="AM22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الشراء-الاستلام]]&gt;DATE(2017,12,31),0,AA228-AL228)))</f>
        <v>4161.1095890410961</v>
      </c>
    </row>
    <row r="229" spans="1:39" ht="77.25" hidden="1">
      <c r="A229" s="226">
        <f>IF(B229="","",SUBTOTAL(3,$B$6:B279))</f>
        <v>23</v>
      </c>
      <c r="B229" s="198" t="s">
        <v>561</v>
      </c>
      <c r="C229" s="215" t="s">
        <v>12</v>
      </c>
      <c r="D229" s="215"/>
      <c r="E229" s="230" t="s">
        <v>214</v>
      </c>
      <c r="F229" s="198" t="s">
        <v>52</v>
      </c>
      <c r="G229" s="198" t="s">
        <v>436</v>
      </c>
      <c r="H229" s="199" t="s">
        <v>72</v>
      </c>
      <c r="I229" s="198"/>
      <c r="J229" s="213"/>
      <c r="K229" s="213">
        <v>42821</v>
      </c>
      <c r="L229" s="212"/>
      <c r="M229" s="225" t="s">
        <v>560</v>
      </c>
      <c r="N229" s="224">
        <v>1</v>
      </c>
      <c r="O229" s="223"/>
      <c r="P229" s="222">
        <v>6580</v>
      </c>
      <c r="Q229" s="221">
        <f t="shared" si="1"/>
        <v>6580</v>
      </c>
      <c r="R229" s="220"/>
      <c r="S229" s="219"/>
      <c r="T229" s="218"/>
      <c r="U229" s="218"/>
      <c r="V229" s="218"/>
      <c r="W229" s="218">
        <f>Table51013454[[#This Row],[العدد]]*Table51013454[[#This Row],[السعر الافرادي]]</f>
        <v>0</v>
      </c>
      <c r="X229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29" s="202">
        <f>Table51013454[[#This Row],[الكمية]]-Table51013454[[#This Row],[العدد]]</f>
        <v>1</v>
      </c>
      <c r="Z229" s="201">
        <f>Table51013454[[#This Row],[سعر/الحبة]]</f>
        <v>6580</v>
      </c>
      <c r="AA229" s="201">
        <f>Table51013454[[#This Row],[الإجمالي]]-Table51013454[[#This Row],[إجمالي المستبعد]]</f>
        <v>6580</v>
      </c>
      <c r="AB229" s="200">
        <v>0.15</v>
      </c>
      <c r="AC229" s="199"/>
      <c r="AD229" s="198" t="s">
        <v>55</v>
      </c>
      <c r="AE229" s="194"/>
      <c r="AF22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الشراء-الاستلام]]&lt;DATE(2017,1,1),Q229-AE229,0))</f>
        <v>0</v>
      </c>
      <c r="AG22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754.44657534246574</v>
      </c>
      <c r="AH22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29" s="196">
        <f>Table51013454[[#This Row],[اهلاك المستبعد
في 2017]]+Table51013454[[#This Row],[مجمع إهلاك المستبعد 
01-01-2017]]</f>
        <v>0</v>
      </c>
      <c r="AJ229" s="196">
        <f>Table51013454[[#This Row],[إجمالي المستبعد]]-Table51013454[[#This Row],[مجمع إهلاك المستبعد 
بتاريخ الأستبعاد]]</f>
        <v>0</v>
      </c>
      <c r="AK229" s="195"/>
      <c r="AL229" s="194">
        <f>IF(OR(Table51013454[[#This Row],[تاريخ الشراء-الاستلام]]="",Table51013454[[#This Row],[الإجمالي]]="",Table51013454[[#This Row],[العمر الافتراضي]]=""),"",IF(((AE229+AG229)-Table51013454[[#This Row],[مجمع إهلاك المستبعد 
بتاريخ الأستبعاد]])&lt;=0,0,((AE229+AG229)-Table51013454[[#This Row],[مجمع إهلاك المستبعد 
بتاريخ الأستبعاد]])))</f>
        <v>754.44657534246574</v>
      </c>
      <c r="AM22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الشراء-الاستلام]]&gt;DATE(2017,12,31),0,AA229-AL229)))</f>
        <v>5825.5534246575344</v>
      </c>
    </row>
    <row r="230" spans="1:39" ht="77.25" hidden="1">
      <c r="A230" s="226">
        <f>IF(B230="","",SUBTOTAL(3,$B$6:B279))</f>
        <v>23</v>
      </c>
      <c r="B230" s="198" t="s">
        <v>559</v>
      </c>
      <c r="C230" s="215" t="s">
        <v>12</v>
      </c>
      <c r="D230" s="215"/>
      <c r="E230" s="230" t="s">
        <v>214</v>
      </c>
      <c r="F230" s="198" t="s">
        <v>52</v>
      </c>
      <c r="G230" s="198" t="s">
        <v>436</v>
      </c>
      <c r="H230" s="199" t="s">
        <v>72</v>
      </c>
      <c r="I230" s="198"/>
      <c r="J230" s="213"/>
      <c r="K230" s="213">
        <v>42858</v>
      </c>
      <c r="L230" s="212"/>
      <c r="M230" s="225" t="s">
        <v>504</v>
      </c>
      <c r="N230" s="224">
        <v>1</v>
      </c>
      <c r="O230" s="223"/>
      <c r="P230" s="222">
        <v>3070</v>
      </c>
      <c r="Q230" s="221">
        <f t="shared" si="1"/>
        <v>3070</v>
      </c>
      <c r="R230" s="220"/>
      <c r="S230" s="219"/>
      <c r="T230" s="218"/>
      <c r="U230" s="218"/>
      <c r="V230" s="218"/>
      <c r="W230" s="218">
        <f>Table51013454[[#This Row],[العدد]]*Table51013454[[#This Row],[السعر الافرادي]]</f>
        <v>0</v>
      </c>
      <c r="X230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0" s="202">
        <f>Table51013454[[#This Row],[الكمية]]-Table51013454[[#This Row],[العدد]]</f>
        <v>1</v>
      </c>
      <c r="Z230" s="201">
        <f>Table51013454[[#This Row],[سعر/الحبة]]</f>
        <v>3070</v>
      </c>
      <c r="AA230" s="201">
        <f>Table51013454[[#This Row],[الإجمالي]]-Table51013454[[#This Row],[إجمالي المستبعد]]</f>
        <v>3070</v>
      </c>
      <c r="AB230" s="200">
        <v>0.15</v>
      </c>
      <c r="AC230" s="199"/>
      <c r="AD230" s="198" t="s">
        <v>55</v>
      </c>
      <c r="AE230" s="194"/>
      <c r="AF230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الشراء-الاستلام]]&lt;DATE(2017,1,1),Q230-AE230,0))</f>
        <v>0</v>
      </c>
      <c r="AG230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305.31780821917806</v>
      </c>
      <c r="AH23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0" s="196">
        <f>Table51013454[[#This Row],[اهلاك المستبعد
في 2017]]+Table51013454[[#This Row],[مجمع إهلاك المستبعد 
01-01-2017]]</f>
        <v>0</v>
      </c>
      <c r="AJ230" s="196">
        <f>Table51013454[[#This Row],[إجمالي المستبعد]]-Table51013454[[#This Row],[مجمع إهلاك المستبعد 
بتاريخ الأستبعاد]]</f>
        <v>0</v>
      </c>
      <c r="AK230" s="195"/>
      <c r="AL230" s="194">
        <f>IF(OR(Table51013454[[#This Row],[تاريخ الشراء-الاستلام]]="",Table51013454[[#This Row],[الإجمالي]]="",Table51013454[[#This Row],[العمر الافتراضي]]=""),"",IF(((AE230+AG230)-Table51013454[[#This Row],[مجمع إهلاك المستبعد 
بتاريخ الأستبعاد]])&lt;=0,0,((AE230+AG230)-Table51013454[[#This Row],[مجمع إهلاك المستبعد 
بتاريخ الأستبعاد]])))</f>
        <v>305.31780821917806</v>
      </c>
      <c r="AM230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الشراء-الاستلام]]&gt;DATE(2017,12,31),0,AA230-AL230)))</f>
        <v>2764.682191780822</v>
      </c>
    </row>
    <row r="231" spans="1:39" ht="77.25" hidden="1">
      <c r="A231" s="226">
        <f>IF(B231="","",SUBTOTAL(3,$B$6:B279))</f>
        <v>23</v>
      </c>
      <c r="B231" s="198" t="s">
        <v>558</v>
      </c>
      <c r="C231" s="215" t="s">
        <v>12</v>
      </c>
      <c r="D231" s="215"/>
      <c r="E231" s="198" t="s">
        <v>57</v>
      </c>
      <c r="F231" s="198" t="s">
        <v>52</v>
      </c>
      <c r="G231" s="198" t="s">
        <v>436</v>
      </c>
      <c r="H231" s="199" t="s">
        <v>72</v>
      </c>
      <c r="I231" s="198"/>
      <c r="J231" s="213"/>
      <c r="K231" s="213">
        <v>42916</v>
      </c>
      <c r="L231" s="212"/>
      <c r="M231" s="225" t="s">
        <v>557</v>
      </c>
      <c r="N231" s="224">
        <v>12</v>
      </c>
      <c r="O231" s="223"/>
      <c r="P231" s="222">
        <v>350</v>
      </c>
      <c r="Q231" s="221">
        <f t="shared" si="1"/>
        <v>4200</v>
      </c>
      <c r="R231" s="220"/>
      <c r="S231" s="219"/>
      <c r="T231" s="218"/>
      <c r="U231" s="218"/>
      <c r="V231" s="218"/>
      <c r="W231" s="218">
        <f>Table51013454[[#This Row],[العدد]]*Table51013454[[#This Row],[السعر الافرادي]]</f>
        <v>0</v>
      </c>
      <c r="X231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1" s="202">
        <f>Table51013454[[#This Row],[الكمية]]-Table51013454[[#This Row],[العدد]]</f>
        <v>12</v>
      </c>
      <c r="Z231" s="201">
        <f>Table51013454[[#This Row],[سعر/الحبة]]</f>
        <v>350</v>
      </c>
      <c r="AA231" s="201">
        <f>Table51013454[[#This Row],[الإجمالي]]-Table51013454[[#This Row],[إجمالي المستبعد]]</f>
        <v>4200</v>
      </c>
      <c r="AB231" s="200">
        <v>0.15</v>
      </c>
      <c r="AC231" s="199"/>
      <c r="AD231" s="198" t="s">
        <v>55</v>
      </c>
      <c r="AE231" s="194"/>
      <c r="AF231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الشراء-الاستلام]]&lt;DATE(2017,1,1),Q231-AE231,0))</f>
        <v>0</v>
      </c>
      <c r="AG231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317.58904109589042</v>
      </c>
      <c r="AH23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1" s="196">
        <f>Table51013454[[#This Row],[اهلاك المستبعد
في 2017]]+Table51013454[[#This Row],[مجمع إهلاك المستبعد 
01-01-2017]]</f>
        <v>0</v>
      </c>
      <c r="AJ231" s="196">
        <f>Table51013454[[#This Row],[إجمالي المستبعد]]-Table51013454[[#This Row],[مجمع إهلاك المستبعد 
بتاريخ الأستبعاد]]</f>
        <v>0</v>
      </c>
      <c r="AK231" s="195"/>
      <c r="AL231" s="194">
        <f>IF(OR(Table51013454[[#This Row],[تاريخ الشراء-الاستلام]]="",Table51013454[[#This Row],[الإجمالي]]="",Table51013454[[#This Row],[العمر الافتراضي]]=""),"",IF(((AE231+AG231)-Table51013454[[#This Row],[مجمع إهلاك المستبعد 
بتاريخ الأستبعاد]])&lt;=0,0,((AE231+AG231)-Table51013454[[#This Row],[مجمع إهلاك المستبعد 
بتاريخ الأستبعاد]])))</f>
        <v>317.58904109589042</v>
      </c>
      <c r="AM231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الشراء-الاستلام]]&gt;DATE(2017,12,31),0,AA231-AL231)))</f>
        <v>3882.4109589041095</v>
      </c>
    </row>
    <row r="232" spans="1:39" ht="77.25" hidden="1">
      <c r="A232" s="226">
        <f>IF(B232="","",SUBTOTAL(3,$B$6:B279))</f>
        <v>23</v>
      </c>
      <c r="B232" s="198" t="s">
        <v>556</v>
      </c>
      <c r="C232" s="215" t="s">
        <v>12</v>
      </c>
      <c r="D232" s="215" t="s">
        <v>529</v>
      </c>
      <c r="E232" s="198" t="s">
        <v>51</v>
      </c>
      <c r="F232" s="198" t="s">
        <v>437</v>
      </c>
      <c r="G232" s="198" t="s">
        <v>437</v>
      </c>
      <c r="H232" s="199" t="s">
        <v>65</v>
      </c>
      <c r="I232" s="198"/>
      <c r="J232" s="213"/>
      <c r="K232" s="213">
        <v>42757</v>
      </c>
      <c r="L232" s="212"/>
      <c r="M232" s="225" t="s">
        <v>552</v>
      </c>
      <c r="N232" s="224">
        <v>5</v>
      </c>
      <c r="O232" s="223"/>
      <c r="P232" s="222">
        <v>1250</v>
      </c>
      <c r="Q232" s="221">
        <f t="shared" si="1"/>
        <v>6250</v>
      </c>
      <c r="R232" s="220"/>
      <c r="S232" s="219"/>
      <c r="T232" s="218"/>
      <c r="U232" s="218"/>
      <c r="V232" s="218"/>
      <c r="W232" s="218">
        <f>Table51013454[[#This Row],[العدد]]*Table51013454[[#This Row],[السعر الافرادي]]</f>
        <v>0</v>
      </c>
      <c r="X232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2" s="202">
        <f>Table51013454[[#This Row],[الكمية]]-Table51013454[[#This Row],[العدد]]</f>
        <v>5</v>
      </c>
      <c r="Z232" s="201">
        <f>Table51013454[[#This Row],[سعر/الحبة]]</f>
        <v>1250</v>
      </c>
      <c r="AA232" s="201">
        <f>Table51013454[[#This Row],[الإجمالي]]-Table51013454[[#This Row],[إجمالي المستبعد]]</f>
        <v>6250</v>
      </c>
      <c r="AB232" s="200">
        <v>0.15</v>
      </c>
      <c r="AC232" s="199"/>
      <c r="AD232" s="198" t="s">
        <v>55</v>
      </c>
      <c r="AE232" s="194"/>
      <c r="AF232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الشراء-الاستلام]]&lt;DATE(2017,1,1),Q232-AE232,0))</f>
        <v>0</v>
      </c>
      <c r="AG232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880.99315068493149</v>
      </c>
      <c r="AH23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2" s="196">
        <f>Table51013454[[#This Row],[اهلاك المستبعد
في 2017]]+Table51013454[[#This Row],[مجمع إهلاك المستبعد 
01-01-2017]]</f>
        <v>0</v>
      </c>
      <c r="AJ232" s="196">
        <f>Table51013454[[#This Row],[إجمالي المستبعد]]-Table51013454[[#This Row],[مجمع إهلاك المستبعد 
بتاريخ الأستبعاد]]</f>
        <v>0</v>
      </c>
      <c r="AK232" s="195"/>
      <c r="AL232" s="194">
        <f>IF(OR(Table51013454[[#This Row],[تاريخ الشراء-الاستلام]]="",Table51013454[[#This Row],[الإجمالي]]="",Table51013454[[#This Row],[العمر الافتراضي]]=""),"",IF(((AE232+AG232)-Table51013454[[#This Row],[مجمع إهلاك المستبعد 
بتاريخ الأستبعاد]])&lt;=0,0,((AE232+AG232)-Table51013454[[#This Row],[مجمع إهلاك المستبعد 
بتاريخ الأستبعاد]])))</f>
        <v>880.99315068493149</v>
      </c>
      <c r="AM232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الشراء-الاستلام]]&gt;DATE(2017,12,31),0,AA232-AL232)))</f>
        <v>5369.0068493150684</v>
      </c>
    </row>
    <row r="233" spans="1:39" ht="77.25" hidden="1">
      <c r="A233" s="226">
        <f>IF(B233="","",SUBTOTAL(3,$B$6:B279))</f>
        <v>23</v>
      </c>
      <c r="B233" s="198" t="s">
        <v>555</v>
      </c>
      <c r="C233" s="215" t="s">
        <v>12</v>
      </c>
      <c r="D233" s="215" t="s">
        <v>529</v>
      </c>
      <c r="E233" s="198" t="s">
        <v>51</v>
      </c>
      <c r="F233" s="198" t="s">
        <v>437</v>
      </c>
      <c r="G233" s="198" t="s">
        <v>437</v>
      </c>
      <c r="H233" s="199" t="s">
        <v>65</v>
      </c>
      <c r="I233" s="198"/>
      <c r="J233" s="213"/>
      <c r="K233" s="213">
        <v>42757</v>
      </c>
      <c r="L233" s="212"/>
      <c r="M233" s="225" t="s">
        <v>552</v>
      </c>
      <c r="N233" s="224">
        <v>5</v>
      </c>
      <c r="O233" s="223"/>
      <c r="P233" s="222">
        <v>550</v>
      </c>
      <c r="Q233" s="221">
        <f t="shared" si="1"/>
        <v>2750</v>
      </c>
      <c r="R233" s="220"/>
      <c r="S233" s="219"/>
      <c r="T233" s="218"/>
      <c r="U233" s="218"/>
      <c r="V233" s="218"/>
      <c r="W233" s="218">
        <f>Table51013454[[#This Row],[العدد]]*Table51013454[[#This Row],[السعر الافرادي]]</f>
        <v>0</v>
      </c>
      <c r="X23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3" s="202">
        <f>Table51013454[[#This Row],[الكمية]]-Table51013454[[#This Row],[العدد]]</f>
        <v>5</v>
      </c>
      <c r="Z233" s="201">
        <f>Table51013454[[#This Row],[سعر/الحبة]]</f>
        <v>550</v>
      </c>
      <c r="AA233" s="201">
        <f>Table51013454[[#This Row],[الإجمالي]]-Table51013454[[#This Row],[إجمالي المستبعد]]</f>
        <v>2750</v>
      </c>
      <c r="AB233" s="200">
        <v>0.15</v>
      </c>
      <c r="AC233" s="199"/>
      <c r="AD233" s="198" t="s">
        <v>55</v>
      </c>
      <c r="AE233" s="194"/>
      <c r="AF23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الشراء-الاستلام]]&lt;DATE(2017,1,1),Q233-AE233,0))</f>
        <v>0</v>
      </c>
      <c r="AG23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387.63698630136992</v>
      </c>
      <c r="AH23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3" s="196">
        <f>Table51013454[[#This Row],[اهلاك المستبعد
في 2017]]+Table51013454[[#This Row],[مجمع إهلاك المستبعد 
01-01-2017]]</f>
        <v>0</v>
      </c>
      <c r="AJ233" s="196">
        <f>Table51013454[[#This Row],[إجمالي المستبعد]]-Table51013454[[#This Row],[مجمع إهلاك المستبعد 
بتاريخ الأستبعاد]]</f>
        <v>0</v>
      </c>
      <c r="AK233" s="195"/>
      <c r="AL233" s="194">
        <f>IF(OR(Table51013454[[#This Row],[تاريخ الشراء-الاستلام]]="",Table51013454[[#This Row],[الإجمالي]]="",Table51013454[[#This Row],[العمر الافتراضي]]=""),"",IF(((AE233+AG233)-Table51013454[[#This Row],[مجمع إهلاك المستبعد 
بتاريخ الأستبعاد]])&lt;=0,0,((AE233+AG233)-Table51013454[[#This Row],[مجمع إهلاك المستبعد 
بتاريخ الأستبعاد]])))</f>
        <v>387.63698630136992</v>
      </c>
      <c r="AM23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الشراء-الاستلام]]&gt;DATE(2017,12,31),0,AA233-AL233)))</f>
        <v>2362.3630136986303</v>
      </c>
    </row>
    <row r="234" spans="1:39" ht="77.25" hidden="1">
      <c r="A234" s="226">
        <f>IF(B234="","",SUBTOTAL(3,$B$6:B279))</f>
        <v>23</v>
      </c>
      <c r="B234" s="198" t="s">
        <v>554</v>
      </c>
      <c r="C234" s="215" t="s">
        <v>12</v>
      </c>
      <c r="D234" s="215" t="s">
        <v>529</v>
      </c>
      <c r="E234" s="198" t="s">
        <v>51</v>
      </c>
      <c r="F234" s="198" t="s">
        <v>437</v>
      </c>
      <c r="G234" s="198" t="s">
        <v>437</v>
      </c>
      <c r="H234" s="199" t="s">
        <v>65</v>
      </c>
      <c r="I234" s="198"/>
      <c r="J234" s="213"/>
      <c r="K234" s="213">
        <v>42757</v>
      </c>
      <c r="L234" s="212"/>
      <c r="M234" s="225" t="s">
        <v>552</v>
      </c>
      <c r="N234" s="224">
        <v>5</v>
      </c>
      <c r="O234" s="223"/>
      <c r="P234" s="222">
        <v>450</v>
      </c>
      <c r="Q234" s="221">
        <f t="shared" si="1"/>
        <v>2250</v>
      </c>
      <c r="R234" s="220"/>
      <c r="S234" s="219"/>
      <c r="T234" s="218"/>
      <c r="U234" s="218"/>
      <c r="V234" s="218"/>
      <c r="W234" s="218">
        <f>Table51013454[[#This Row],[العدد]]*Table51013454[[#This Row],[السعر الافرادي]]</f>
        <v>0</v>
      </c>
      <c r="X234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4" s="202">
        <f>Table51013454[[#This Row],[الكمية]]-Table51013454[[#This Row],[العدد]]</f>
        <v>5</v>
      </c>
      <c r="Z234" s="201">
        <f>Table51013454[[#This Row],[سعر/الحبة]]</f>
        <v>450</v>
      </c>
      <c r="AA234" s="201">
        <f>Table51013454[[#This Row],[الإجمالي]]-Table51013454[[#This Row],[إجمالي المستبعد]]</f>
        <v>2250</v>
      </c>
      <c r="AB234" s="200">
        <v>0.15</v>
      </c>
      <c r="AC234" s="199"/>
      <c r="AD234" s="198" t="s">
        <v>55</v>
      </c>
      <c r="AE234" s="194"/>
      <c r="AF234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الشراء-الاستلام]]&lt;DATE(2017,1,1),Q234-AE234,0))</f>
        <v>0</v>
      </c>
      <c r="AG234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317.15753424657538</v>
      </c>
      <c r="AH234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4" s="196">
        <f>Table51013454[[#This Row],[اهلاك المستبعد
في 2017]]+Table51013454[[#This Row],[مجمع إهلاك المستبعد 
01-01-2017]]</f>
        <v>0</v>
      </c>
      <c r="AJ234" s="196">
        <f>Table51013454[[#This Row],[إجمالي المستبعد]]-Table51013454[[#This Row],[مجمع إهلاك المستبعد 
بتاريخ الأستبعاد]]</f>
        <v>0</v>
      </c>
      <c r="AK234" s="195"/>
      <c r="AL234" s="194">
        <f>IF(OR(Table51013454[[#This Row],[تاريخ الشراء-الاستلام]]="",Table51013454[[#This Row],[الإجمالي]]="",Table51013454[[#This Row],[العمر الافتراضي]]=""),"",IF(((AE234+AG234)-Table51013454[[#This Row],[مجمع إهلاك المستبعد 
بتاريخ الأستبعاد]])&lt;=0,0,((AE234+AG234)-Table51013454[[#This Row],[مجمع إهلاك المستبعد 
بتاريخ الأستبعاد]])))</f>
        <v>317.15753424657538</v>
      </c>
      <c r="AM234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الشراء-الاستلام]]&gt;DATE(2017,12,31),0,AA234-AL234)))</f>
        <v>1932.8424657534247</v>
      </c>
    </row>
    <row r="235" spans="1:39" ht="77.25" hidden="1">
      <c r="A235" s="226">
        <f>IF(B235="","",SUBTOTAL(3,$B$6:B279))</f>
        <v>23</v>
      </c>
      <c r="B235" s="198" t="s">
        <v>553</v>
      </c>
      <c r="C235" s="215" t="s">
        <v>12</v>
      </c>
      <c r="D235" s="215" t="s">
        <v>529</v>
      </c>
      <c r="E235" s="198" t="s">
        <v>51</v>
      </c>
      <c r="F235" s="198" t="s">
        <v>437</v>
      </c>
      <c r="G235" s="198" t="s">
        <v>437</v>
      </c>
      <c r="H235" s="199" t="s">
        <v>65</v>
      </c>
      <c r="I235" s="198"/>
      <c r="J235" s="213"/>
      <c r="K235" s="213">
        <v>42757</v>
      </c>
      <c r="L235" s="212"/>
      <c r="M235" s="225" t="s">
        <v>552</v>
      </c>
      <c r="N235" s="224">
        <v>2</v>
      </c>
      <c r="O235" s="223"/>
      <c r="P235" s="222">
        <v>600</v>
      </c>
      <c r="Q235" s="221">
        <f t="shared" si="1"/>
        <v>1200</v>
      </c>
      <c r="R235" s="220"/>
      <c r="S235" s="219"/>
      <c r="T235" s="218"/>
      <c r="U235" s="218"/>
      <c r="V235" s="218"/>
      <c r="W235" s="218">
        <f>Table51013454[[#This Row],[العدد]]*Table51013454[[#This Row],[السعر الافرادي]]</f>
        <v>0</v>
      </c>
      <c r="X235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5" s="202">
        <f>Table51013454[[#This Row],[الكمية]]-Table51013454[[#This Row],[العدد]]</f>
        <v>2</v>
      </c>
      <c r="Z235" s="201">
        <f>Table51013454[[#This Row],[سعر/الحبة]]</f>
        <v>600</v>
      </c>
      <c r="AA235" s="201">
        <f>Table51013454[[#This Row],[الإجمالي]]-Table51013454[[#This Row],[إجمالي المستبعد]]</f>
        <v>1200</v>
      </c>
      <c r="AB235" s="200">
        <v>0.15</v>
      </c>
      <c r="AC235" s="199"/>
      <c r="AD235" s="198" t="s">
        <v>55</v>
      </c>
      <c r="AE235" s="194"/>
      <c r="AF23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الشراء-الاستلام]]&lt;DATE(2017,1,1),Q235-AE235,0))</f>
        <v>0</v>
      </c>
      <c r="AG23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169.15068493150685</v>
      </c>
      <c r="AH23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5" s="196">
        <f>Table51013454[[#This Row],[اهلاك المستبعد
في 2017]]+Table51013454[[#This Row],[مجمع إهلاك المستبعد 
01-01-2017]]</f>
        <v>0</v>
      </c>
      <c r="AJ235" s="196">
        <f>Table51013454[[#This Row],[إجمالي المستبعد]]-Table51013454[[#This Row],[مجمع إهلاك المستبعد 
بتاريخ الأستبعاد]]</f>
        <v>0</v>
      </c>
      <c r="AK235" s="195"/>
      <c r="AL235" s="194">
        <f>IF(OR(Table51013454[[#This Row],[تاريخ الشراء-الاستلام]]="",Table51013454[[#This Row],[الإجمالي]]="",Table51013454[[#This Row],[العمر الافتراضي]]=""),"",IF(((AE235+AG235)-Table51013454[[#This Row],[مجمع إهلاك المستبعد 
بتاريخ الأستبعاد]])&lt;=0,0,((AE235+AG235)-Table51013454[[#This Row],[مجمع إهلاك المستبعد 
بتاريخ الأستبعاد]])))</f>
        <v>169.15068493150685</v>
      </c>
      <c r="AM23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الشراء-الاستلام]]&gt;DATE(2017,12,31),0,AA235-AL235)))</f>
        <v>1030.8493150684931</v>
      </c>
    </row>
    <row r="236" spans="1:39" ht="77.25" hidden="1">
      <c r="A236" s="226">
        <f>IF(B236="","",SUBTOTAL(3,$B$6:B279))</f>
        <v>23</v>
      </c>
      <c r="B236" s="198" t="s">
        <v>551</v>
      </c>
      <c r="C236" s="215" t="s">
        <v>12</v>
      </c>
      <c r="D236" s="215" t="s">
        <v>492</v>
      </c>
      <c r="E236" s="198" t="s">
        <v>51</v>
      </c>
      <c r="F236" s="198" t="s">
        <v>437</v>
      </c>
      <c r="G236" s="198" t="s">
        <v>437</v>
      </c>
      <c r="H236" s="199" t="s">
        <v>65</v>
      </c>
      <c r="I236" s="198"/>
      <c r="J236" s="213"/>
      <c r="K236" s="213">
        <v>43017</v>
      </c>
      <c r="L236" s="212"/>
      <c r="M236" s="242" t="s">
        <v>549</v>
      </c>
      <c r="N236" s="224">
        <v>6</v>
      </c>
      <c r="O236" s="223"/>
      <c r="P236" s="222">
        <v>1300</v>
      </c>
      <c r="Q236" s="221">
        <f t="shared" si="1"/>
        <v>7800</v>
      </c>
      <c r="R236" s="220"/>
      <c r="S236" s="219"/>
      <c r="T236" s="218"/>
      <c r="U236" s="218"/>
      <c r="V236" s="218"/>
      <c r="W236" s="218">
        <f>Table51013454[[#This Row],[العدد]]*Table51013454[[#This Row],[السعر الافرادي]]</f>
        <v>0</v>
      </c>
      <c r="X236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6" s="202">
        <f>Table51013454[[#This Row],[الكمية]]-Table51013454[[#This Row],[العدد]]</f>
        <v>6</v>
      </c>
      <c r="Z236" s="201">
        <f>Table51013454[[#This Row],[سعر/الحبة]]</f>
        <v>1300</v>
      </c>
      <c r="AA236" s="201">
        <f>Table51013454[[#This Row],[الإجمالي]]-Table51013454[[#This Row],[إجمالي المستبعد]]</f>
        <v>7800</v>
      </c>
      <c r="AB236" s="200">
        <v>0.15</v>
      </c>
      <c r="AC236" s="199"/>
      <c r="AD236" s="198" t="s">
        <v>55</v>
      </c>
      <c r="AE236" s="194"/>
      <c r="AF236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الشراء-الاستلام]]&lt;DATE(2017,1,1),Q236-AE236,0))</f>
        <v>0</v>
      </c>
      <c r="AG236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266.05479452054794</v>
      </c>
      <c r="AH236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6" s="196">
        <f>Table51013454[[#This Row],[اهلاك المستبعد
في 2017]]+Table51013454[[#This Row],[مجمع إهلاك المستبعد 
01-01-2017]]</f>
        <v>0</v>
      </c>
      <c r="AJ236" s="196">
        <f>Table51013454[[#This Row],[إجمالي المستبعد]]-Table51013454[[#This Row],[مجمع إهلاك المستبعد 
بتاريخ الأستبعاد]]</f>
        <v>0</v>
      </c>
      <c r="AK236" s="195"/>
      <c r="AL236" s="194">
        <f>IF(OR(Table51013454[[#This Row],[تاريخ الشراء-الاستلام]]="",Table51013454[[#This Row],[الإجمالي]]="",Table51013454[[#This Row],[العمر الافتراضي]]=""),"",IF(((AE236+AG236)-Table51013454[[#This Row],[مجمع إهلاك المستبعد 
بتاريخ الأستبعاد]])&lt;=0,0,((AE236+AG236)-Table51013454[[#This Row],[مجمع إهلاك المستبعد 
بتاريخ الأستبعاد]])))</f>
        <v>266.05479452054794</v>
      </c>
      <c r="AM236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الشراء-الاستلام]]&gt;DATE(2017,12,31),0,AA236-AL236)))</f>
        <v>7533.9452054794519</v>
      </c>
    </row>
    <row r="237" spans="1:39" ht="77.25" hidden="1">
      <c r="A237" s="226">
        <f>IF(B237="","",SUBTOTAL(3,$B$6:B279))</f>
        <v>23</v>
      </c>
      <c r="B237" s="198" t="s">
        <v>550</v>
      </c>
      <c r="C237" s="215" t="s">
        <v>12</v>
      </c>
      <c r="D237" s="215" t="s">
        <v>492</v>
      </c>
      <c r="E237" s="198" t="s">
        <v>51</v>
      </c>
      <c r="F237" s="198" t="s">
        <v>437</v>
      </c>
      <c r="G237" s="198" t="s">
        <v>437</v>
      </c>
      <c r="H237" s="199" t="s">
        <v>65</v>
      </c>
      <c r="I237" s="198"/>
      <c r="J237" s="213"/>
      <c r="K237" s="213">
        <v>43017</v>
      </c>
      <c r="L237" s="212"/>
      <c r="M237" s="242" t="s">
        <v>549</v>
      </c>
      <c r="N237" s="224">
        <v>4</v>
      </c>
      <c r="O237" s="223"/>
      <c r="P237" s="222">
        <v>1300</v>
      </c>
      <c r="Q237" s="221">
        <f t="shared" si="1"/>
        <v>5200</v>
      </c>
      <c r="R237" s="220"/>
      <c r="S237" s="219"/>
      <c r="T237" s="218"/>
      <c r="U237" s="218"/>
      <c r="V237" s="218"/>
      <c r="W237" s="218">
        <f>Table51013454[[#This Row],[العدد]]*Table51013454[[#This Row],[السعر الافرادي]]</f>
        <v>0</v>
      </c>
      <c r="X23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7" s="202">
        <f>Table51013454[[#This Row],[الكمية]]-Table51013454[[#This Row],[العدد]]</f>
        <v>4</v>
      </c>
      <c r="Z237" s="201">
        <f>Table51013454[[#This Row],[سعر/الحبة]]</f>
        <v>1300</v>
      </c>
      <c r="AA237" s="201">
        <f>Table51013454[[#This Row],[الإجمالي]]-Table51013454[[#This Row],[إجمالي المستبعد]]</f>
        <v>5200</v>
      </c>
      <c r="AB237" s="200">
        <v>0.15</v>
      </c>
      <c r="AC237" s="199"/>
      <c r="AD237" s="198" t="s">
        <v>55</v>
      </c>
      <c r="AE237" s="194"/>
      <c r="AF237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الشراء-الاستلام]]&lt;DATE(2017,1,1),Q237-AE237,0))</f>
        <v>0</v>
      </c>
      <c r="AG237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177.36986301369865</v>
      </c>
      <c r="AH23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7" s="196">
        <f>Table51013454[[#This Row],[اهلاك المستبعد
في 2017]]+Table51013454[[#This Row],[مجمع إهلاك المستبعد 
01-01-2017]]</f>
        <v>0</v>
      </c>
      <c r="AJ237" s="196">
        <f>Table51013454[[#This Row],[إجمالي المستبعد]]-Table51013454[[#This Row],[مجمع إهلاك المستبعد 
بتاريخ الأستبعاد]]</f>
        <v>0</v>
      </c>
      <c r="AK237" s="195"/>
      <c r="AL237" s="194">
        <f>IF(OR(Table51013454[[#This Row],[تاريخ الشراء-الاستلام]]="",Table51013454[[#This Row],[الإجمالي]]="",Table51013454[[#This Row],[العمر الافتراضي]]=""),"",IF(((AE237+AG237)-Table51013454[[#This Row],[مجمع إهلاك المستبعد 
بتاريخ الأستبعاد]])&lt;=0,0,((AE237+AG237)-Table51013454[[#This Row],[مجمع إهلاك المستبعد 
بتاريخ الأستبعاد]])))</f>
        <v>177.36986301369865</v>
      </c>
      <c r="AM237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الشراء-الاستلام]]&gt;DATE(2017,12,31),0,AA237-AL237)))</f>
        <v>5022.6301369863013</v>
      </c>
    </row>
    <row r="238" spans="1:39" ht="77.25" hidden="1">
      <c r="A238" s="226">
        <f>IF(B238="","",SUBTOTAL(3,$B$6:B279))</f>
        <v>23</v>
      </c>
      <c r="B238" s="198" t="s">
        <v>548</v>
      </c>
      <c r="C238" s="215" t="s">
        <v>12</v>
      </c>
      <c r="D238" s="215" t="s">
        <v>529</v>
      </c>
      <c r="E238" s="198" t="s">
        <v>51</v>
      </c>
      <c r="F238" s="198" t="s">
        <v>437</v>
      </c>
      <c r="G238" s="198" t="s">
        <v>437</v>
      </c>
      <c r="H238" s="199" t="s">
        <v>65</v>
      </c>
      <c r="I238" s="198"/>
      <c r="J238" s="213"/>
      <c r="K238" s="213">
        <v>43016</v>
      </c>
      <c r="L238" s="212"/>
      <c r="M238" s="225" t="s">
        <v>543</v>
      </c>
      <c r="N238" s="224">
        <v>1</v>
      </c>
      <c r="O238" s="223"/>
      <c r="P238" s="222">
        <v>3500</v>
      </c>
      <c r="Q238" s="221">
        <f t="shared" si="1"/>
        <v>3500</v>
      </c>
      <c r="R238" s="220"/>
      <c r="S238" s="219"/>
      <c r="T238" s="218"/>
      <c r="U238" s="218"/>
      <c r="V238" s="218"/>
      <c r="W238" s="218">
        <f>Table51013454[[#This Row],[العدد]]*Table51013454[[#This Row],[السعر الافرادي]]</f>
        <v>0</v>
      </c>
      <c r="X23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8" s="202">
        <f>Table51013454[[#This Row],[الكمية]]-Table51013454[[#This Row],[العدد]]</f>
        <v>1</v>
      </c>
      <c r="Z238" s="201">
        <f>Table51013454[[#This Row],[سعر/الحبة]]</f>
        <v>3500</v>
      </c>
      <c r="AA238" s="201">
        <f>Table51013454[[#This Row],[الإجمالي]]-Table51013454[[#This Row],[إجمالي المستبعد]]</f>
        <v>3500</v>
      </c>
      <c r="AB238" s="200">
        <v>0.15</v>
      </c>
      <c r="AC238" s="199"/>
      <c r="AD238" s="198" t="s">
        <v>55</v>
      </c>
      <c r="AE238" s="194"/>
      <c r="AF23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الشراء-الاستلام]]&lt;DATE(2017,1,1),Q238-AE238,0))</f>
        <v>0</v>
      </c>
      <c r="AG23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120.82191780821918</v>
      </c>
      <c r="AH23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8" s="196">
        <f>Table51013454[[#This Row],[اهلاك المستبعد
في 2017]]+Table51013454[[#This Row],[مجمع إهلاك المستبعد 
01-01-2017]]</f>
        <v>0</v>
      </c>
      <c r="AJ238" s="196">
        <f>Table51013454[[#This Row],[إجمالي المستبعد]]-Table51013454[[#This Row],[مجمع إهلاك المستبعد 
بتاريخ الأستبعاد]]</f>
        <v>0</v>
      </c>
      <c r="AK238" s="195"/>
      <c r="AL238" s="194">
        <f>IF(OR(Table51013454[[#This Row],[تاريخ الشراء-الاستلام]]="",Table51013454[[#This Row],[الإجمالي]]="",Table51013454[[#This Row],[العمر الافتراضي]]=""),"",IF(((AE238+AG238)-Table51013454[[#This Row],[مجمع إهلاك المستبعد 
بتاريخ الأستبعاد]])&lt;=0,0,((AE238+AG238)-Table51013454[[#This Row],[مجمع إهلاك المستبعد 
بتاريخ الأستبعاد]])))</f>
        <v>120.82191780821918</v>
      </c>
      <c r="AM23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الشراء-الاستلام]]&gt;DATE(2017,12,31),0,AA238-AL238)))</f>
        <v>3379.178082191781</v>
      </c>
    </row>
    <row r="239" spans="1:39" ht="77.25" hidden="1">
      <c r="A239" s="226">
        <f>IF(B239="","",SUBTOTAL(3,$B$6:B279))</f>
        <v>23</v>
      </c>
      <c r="B239" s="198" t="s">
        <v>547</v>
      </c>
      <c r="C239" s="215" t="s">
        <v>12</v>
      </c>
      <c r="D239" s="215" t="s">
        <v>529</v>
      </c>
      <c r="E239" s="198" t="s">
        <v>51</v>
      </c>
      <c r="F239" s="198" t="s">
        <v>437</v>
      </c>
      <c r="G239" s="198" t="s">
        <v>437</v>
      </c>
      <c r="H239" s="199" t="s">
        <v>65</v>
      </c>
      <c r="I239" s="198"/>
      <c r="J239" s="213"/>
      <c r="K239" s="213">
        <v>43016</v>
      </c>
      <c r="L239" s="212"/>
      <c r="M239" s="225" t="s">
        <v>543</v>
      </c>
      <c r="N239" s="224">
        <v>1</v>
      </c>
      <c r="O239" s="223"/>
      <c r="P239" s="222">
        <v>650</v>
      </c>
      <c r="Q239" s="221">
        <f t="shared" si="1"/>
        <v>650</v>
      </c>
      <c r="R239" s="220"/>
      <c r="S239" s="219"/>
      <c r="T239" s="218"/>
      <c r="U239" s="218"/>
      <c r="V239" s="218"/>
      <c r="W239" s="218">
        <f>Table51013454[[#This Row],[العدد]]*Table51013454[[#This Row],[السعر الافرادي]]</f>
        <v>0</v>
      </c>
      <c r="X239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39" s="202">
        <f>Table51013454[[#This Row],[الكمية]]-Table51013454[[#This Row],[العدد]]</f>
        <v>1</v>
      </c>
      <c r="Z239" s="201">
        <f>Table51013454[[#This Row],[سعر/الحبة]]</f>
        <v>650</v>
      </c>
      <c r="AA239" s="201">
        <f>Table51013454[[#This Row],[الإجمالي]]-Table51013454[[#This Row],[إجمالي المستبعد]]</f>
        <v>650</v>
      </c>
      <c r="AB239" s="200">
        <v>0.15</v>
      </c>
      <c r="AC239" s="199"/>
      <c r="AD239" s="198" t="s">
        <v>55</v>
      </c>
      <c r="AE239" s="194"/>
      <c r="AF23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الشراء-الاستلام]]&lt;DATE(2017,1,1),Q239-AE239,0))</f>
        <v>0</v>
      </c>
      <c r="AG23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22.438356164383563</v>
      </c>
      <c r="AH23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39" s="196">
        <f>Table51013454[[#This Row],[اهلاك المستبعد
في 2017]]+Table51013454[[#This Row],[مجمع إهلاك المستبعد 
01-01-2017]]</f>
        <v>0</v>
      </c>
      <c r="AJ239" s="196">
        <f>Table51013454[[#This Row],[إجمالي المستبعد]]-Table51013454[[#This Row],[مجمع إهلاك المستبعد 
بتاريخ الأستبعاد]]</f>
        <v>0</v>
      </c>
      <c r="AK239" s="195"/>
      <c r="AL239" s="194">
        <f>IF(OR(Table51013454[[#This Row],[تاريخ الشراء-الاستلام]]="",Table51013454[[#This Row],[الإجمالي]]="",Table51013454[[#This Row],[العمر الافتراضي]]=""),"",IF(((AE239+AG239)-Table51013454[[#This Row],[مجمع إهلاك المستبعد 
بتاريخ الأستبعاد]])&lt;=0,0,((AE239+AG239)-Table51013454[[#This Row],[مجمع إهلاك المستبعد 
بتاريخ الأستبعاد]])))</f>
        <v>22.438356164383563</v>
      </c>
      <c r="AM23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الشراء-الاستلام]]&gt;DATE(2017,12,31),0,AA239-AL239)))</f>
        <v>627.56164383561645</v>
      </c>
    </row>
    <row r="240" spans="1:39" ht="77.25" hidden="1">
      <c r="A240" s="226">
        <f>IF(B240="","",SUBTOTAL(3,$B$6:B279))</f>
        <v>23</v>
      </c>
      <c r="B240" s="198" t="s">
        <v>546</v>
      </c>
      <c r="C240" s="215" t="s">
        <v>12</v>
      </c>
      <c r="D240" s="215" t="s">
        <v>529</v>
      </c>
      <c r="E240" s="198" t="s">
        <v>51</v>
      </c>
      <c r="F240" s="198" t="s">
        <v>437</v>
      </c>
      <c r="G240" s="198" t="s">
        <v>437</v>
      </c>
      <c r="H240" s="199" t="s">
        <v>65</v>
      </c>
      <c r="I240" s="198"/>
      <c r="J240" s="213"/>
      <c r="K240" s="213">
        <v>43016</v>
      </c>
      <c r="L240" s="212"/>
      <c r="M240" s="225" t="s">
        <v>543</v>
      </c>
      <c r="N240" s="224">
        <v>2</v>
      </c>
      <c r="O240" s="223"/>
      <c r="P240" s="222">
        <v>450</v>
      </c>
      <c r="Q240" s="221">
        <f t="shared" si="1"/>
        <v>900</v>
      </c>
      <c r="R240" s="220"/>
      <c r="S240" s="219"/>
      <c r="T240" s="218"/>
      <c r="U240" s="218"/>
      <c r="V240" s="218"/>
      <c r="W240" s="218">
        <f>Table51013454[[#This Row],[العدد]]*Table51013454[[#This Row],[السعر الافرادي]]</f>
        <v>0</v>
      </c>
      <c r="X240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0" s="202">
        <f>Table51013454[[#This Row],[الكمية]]-Table51013454[[#This Row],[العدد]]</f>
        <v>2</v>
      </c>
      <c r="Z240" s="201">
        <f>Table51013454[[#This Row],[سعر/الحبة]]</f>
        <v>450</v>
      </c>
      <c r="AA240" s="201">
        <f>Table51013454[[#This Row],[الإجمالي]]-Table51013454[[#This Row],[إجمالي المستبعد]]</f>
        <v>900</v>
      </c>
      <c r="AB240" s="200">
        <v>0.15</v>
      </c>
      <c r="AC240" s="199"/>
      <c r="AD240" s="198" t="s">
        <v>55</v>
      </c>
      <c r="AE240" s="194"/>
      <c r="AF240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الشراء-الاستلام]]&lt;DATE(2017,1,1),Q240-AE240,0))</f>
        <v>0</v>
      </c>
      <c r="AG240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31.06849315068493</v>
      </c>
      <c r="AH24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0" s="196">
        <f>Table51013454[[#This Row],[اهلاك المستبعد
في 2017]]+Table51013454[[#This Row],[مجمع إهلاك المستبعد 
01-01-2017]]</f>
        <v>0</v>
      </c>
      <c r="AJ240" s="196">
        <f>Table51013454[[#This Row],[إجمالي المستبعد]]-Table51013454[[#This Row],[مجمع إهلاك المستبعد 
بتاريخ الأستبعاد]]</f>
        <v>0</v>
      </c>
      <c r="AK240" s="195"/>
      <c r="AL240" s="194">
        <f>IF(OR(Table51013454[[#This Row],[تاريخ الشراء-الاستلام]]="",Table51013454[[#This Row],[الإجمالي]]="",Table51013454[[#This Row],[العمر الافتراضي]]=""),"",IF(((AE240+AG240)-Table51013454[[#This Row],[مجمع إهلاك المستبعد 
بتاريخ الأستبعاد]])&lt;=0,0,((AE240+AG240)-Table51013454[[#This Row],[مجمع إهلاك المستبعد 
بتاريخ الأستبعاد]])))</f>
        <v>31.06849315068493</v>
      </c>
      <c r="AM240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الشراء-الاستلام]]&gt;DATE(2017,12,31),0,AA240-AL240)))</f>
        <v>868.93150684931504</v>
      </c>
    </row>
    <row r="241" spans="1:39" ht="77.25" hidden="1">
      <c r="A241" s="226">
        <f>IF(B241="","",SUBTOTAL(3,$B$6:B279))</f>
        <v>23</v>
      </c>
      <c r="B241" s="198" t="s">
        <v>545</v>
      </c>
      <c r="C241" s="215" t="s">
        <v>12</v>
      </c>
      <c r="D241" s="215" t="s">
        <v>529</v>
      </c>
      <c r="E241" s="198" t="s">
        <v>51</v>
      </c>
      <c r="F241" s="198" t="s">
        <v>437</v>
      </c>
      <c r="G241" s="198" t="s">
        <v>437</v>
      </c>
      <c r="H241" s="199" t="s">
        <v>65</v>
      </c>
      <c r="I241" s="198"/>
      <c r="J241" s="213"/>
      <c r="K241" s="213">
        <v>43016</v>
      </c>
      <c r="L241" s="212"/>
      <c r="M241" s="225" t="s">
        <v>543</v>
      </c>
      <c r="N241" s="224">
        <v>2</v>
      </c>
      <c r="O241" s="223"/>
      <c r="P241" s="222">
        <v>2375</v>
      </c>
      <c r="Q241" s="221">
        <f t="shared" si="1"/>
        <v>4750</v>
      </c>
      <c r="R241" s="220"/>
      <c r="S241" s="219"/>
      <c r="T241" s="218"/>
      <c r="U241" s="218"/>
      <c r="V241" s="218"/>
      <c r="W241" s="218">
        <f>Table51013454[[#This Row],[العدد]]*Table51013454[[#This Row],[السعر الافرادي]]</f>
        <v>0</v>
      </c>
      <c r="X241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1" s="202">
        <f>Table51013454[[#This Row],[الكمية]]-Table51013454[[#This Row],[العدد]]</f>
        <v>2</v>
      </c>
      <c r="Z241" s="201">
        <f>Table51013454[[#This Row],[سعر/الحبة]]</f>
        <v>2375</v>
      </c>
      <c r="AA241" s="201">
        <f>Table51013454[[#This Row],[الإجمالي]]-Table51013454[[#This Row],[إجمالي المستبعد]]</f>
        <v>4750</v>
      </c>
      <c r="AB241" s="200">
        <v>0.15</v>
      </c>
      <c r="AC241" s="199"/>
      <c r="AD241" s="198" t="s">
        <v>55</v>
      </c>
      <c r="AE241" s="194"/>
      <c r="AF241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الشراء-الاستلام]]&lt;DATE(2017,1,1),Q241-AE241,0))</f>
        <v>0</v>
      </c>
      <c r="AG241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163.97260273972603</v>
      </c>
      <c r="AH24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1" s="196">
        <f>Table51013454[[#This Row],[اهلاك المستبعد
في 2017]]+Table51013454[[#This Row],[مجمع إهلاك المستبعد 
01-01-2017]]</f>
        <v>0</v>
      </c>
      <c r="AJ241" s="196">
        <f>Table51013454[[#This Row],[إجمالي المستبعد]]-Table51013454[[#This Row],[مجمع إهلاك المستبعد 
بتاريخ الأستبعاد]]</f>
        <v>0</v>
      </c>
      <c r="AK241" s="195"/>
      <c r="AL241" s="194">
        <f>IF(OR(Table51013454[[#This Row],[تاريخ الشراء-الاستلام]]="",Table51013454[[#This Row],[الإجمالي]]="",Table51013454[[#This Row],[العمر الافتراضي]]=""),"",IF(((AE241+AG241)-Table51013454[[#This Row],[مجمع إهلاك المستبعد 
بتاريخ الأستبعاد]])&lt;=0,0,((AE241+AG241)-Table51013454[[#This Row],[مجمع إهلاك المستبعد 
بتاريخ الأستبعاد]])))</f>
        <v>163.97260273972603</v>
      </c>
      <c r="AM241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الشراء-الاستلام]]&gt;DATE(2017,12,31),0,AA241-AL241)))</f>
        <v>4586.0273972602736</v>
      </c>
    </row>
    <row r="242" spans="1:39" ht="77.25" hidden="1">
      <c r="A242" s="226">
        <f>IF(B242="","",SUBTOTAL(3,$B$6:B279))</f>
        <v>23</v>
      </c>
      <c r="B242" s="198" t="s">
        <v>544</v>
      </c>
      <c r="C242" s="215" t="s">
        <v>12</v>
      </c>
      <c r="D242" s="215" t="s">
        <v>529</v>
      </c>
      <c r="E242" s="198" t="s">
        <v>51</v>
      </c>
      <c r="F242" s="198" t="s">
        <v>437</v>
      </c>
      <c r="G242" s="198" t="s">
        <v>437</v>
      </c>
      <c r="H242" s="199" t="s">
        <v>65</v>
      </c>
      <c r="I242" s="198"/>
      <c r="J242" s="213"/>
      <c r="K242" s="213">
        <v>43016</v>
      </c>
      <c r="L242" s="212"/>
      <c r="M242" s="225" t="s">
        <v>543</v>
      </c>
      <c r="N242" s="224">
        <v>4</v>
      </c>
      <c r="O242" s="223"/>
      <c r="P242" s="222">
        <v>550</v>
      </c>
      <c r="Q242" s="221">
        <f t="shared" si="1"/>
        <v>2200</v>
      </c>
      <c r="R242" s="220"/>
      <c r="S242" s="219"/>
      <c r="T242" s="218"/>
      <c r="U242" s="218"/>
      <c r="V242" s="218"/>
      <c r="W242" s="218">
        <f>Table51013454[[#This Row],[العدد]]*Table51013454[[#This Row],[السعر الافرادي]]</f>
        <v>0</v>
      </c>
      <c r="X242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2" s="202">
        <f>Table51013454[[#This Row],[الكمية]]-Table51013454[[#This Row],[العدد]]</f>
        <v>4</v>
      </c>
      <c r="Z242" s="201">
        <f>Table51013454[[#This Row],[سعر/الحبة]]</f>
        <v>550</v>
      </c>
      <c r="AA242" s="201">
        <f>Table51013454[[#This Row],[الإجمالي]]-Table51013454[[#This Row],[إجمالي المستبعد]]</f>
        <v>2200</v>
      </c>
      <c r="AB242" s="200">
        <v>0.15</v>
      </c>
      <c r="AC242" s="199"/>
      <c r="AD242" s="198" t="s">
        <v>55</v>
      </c>
      <c r="AE242" s="194"/>
      <c r="AF242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الشراء-الاستلام]]&lt;DATE(2017,1,1),Q242-AE242,0))</f>
        <v>0</v>
      </c>
      <c r="AG242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75.945205479452056</v>
      </c>
      <c r="AH24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2" s="196">
        <f>Table51013454[[#This Row],[اهلاك المستبعد
في 2017]]+Table51013454[[#This Row],[مجمع إهلاك المستبعد 
01-01-2017]]</f>
        <v>0</v>
      </c>
      <c r="AJ242" s="196">
        <f>Table51013454[[#This Row],[إجمالي المستبعد]]-Table51013454[[#This Row],[مجمع إهلاك المستبعد 
بتاريخ الأستبعاد]]</f>
        <v>0</v>
      </c>
      <c r="AK242" s="195"/>
      <c r="AL242" s="194">
        <f>IF(OR(Table51013454[[#This Row],[تاريخ الشراء-الاستلام]]="",Table51013454[[#This Row],[الإجمالي]]="",Table51013454[[#This Row],[العمر الافتراضي]]=""),"",IF(((AE242+AG242)-Table51013454[[#This Row],[مجمع إهلاك المستبعد 
بتاريخ الأستبعاد]])&lt;=0,0,((AE242+AG242)-Table51013454[[#This Row],[مجمع إهلاك المستبعد 
بتاريخ الأستبعاد]])))</f>
        <v>75.945205479452056</v>
      </c>
      <c r="AM242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الشراء-الاستلام]]&gt;DATE(2017,12,31),0,AA242-AL242)))</f>
        <v>2124.0547945205481</v>
      </c>
    </row>
    <row r="243" spans="1:39" ht="77.25" hidden="1">
      <c r="A243" s="226">
        <f>IF(B243="","",SUBTOTAL(3,$B$6:B279))</f>
        <v>23</v>
      </c>
      <c r="B243" s="198" t="s">
        <v>541</v>
      </c>
      <c r="C243" s="215" t="s">
        <v>12</v>
      </c>
      <c r="D243" s="215" t="s">
        <v>529</v>
      </c>
      <c r="E243" s="198" t="s">
        <v>51</v>
      </c>
      <c r="F243" s="198" t="s">
        <v>437</v>
      </c>
      <c r="G243" s="198" t="s">
        <v>437</v>
      </c>
      <c r="H243" s="199" t="s">
        <v>65</v>
      </c>
      <c r="I243" s="198"/>
      <c r="J243" s="213"/>
      <c r="K243" s="213">
        <v>43044</v>
      </c>
      <c r="L243" s="212"/>
      <c r="M243" s="225" t="s">
        <v>542</v>
      </c>
      <c r="N243" s="224">
        <v>1</v>
      </c>
      <c r="O243" s="223"/>
      <c r="P243" s="222">
        <v>1000</v>
      </c>
      <c r="Q243" s="221">
        <f t="shared" si="1"/>
        <v>1000</v>
      </c>
      <c r="R243" s="220"/>
      <c r="S243" s="219"/>
      <c r="T243" s="218"/>
      <c r="U243" s="218"/>
      <c r="V243" s="218"/>
      <c r="W243" s="218">
        <f>Table51013454[[#This Row],[العدد]]*Table51013454[[#This Row],[السعر الافرادي]]</f>
        <v>0</v>
      </c>
      <c r="X24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3" s="202">
        <f>Table51013454[[#This Row],[الكمية]]-Table51013454[[#This Row],[العدد]]</f>
        <v>1</v>
      </c>
      <c r="Z243" s="201">
        <f>Table51013454[[#This Row],[سعر/الحبة]]</f>
        <v>1000</v>
      </c>
      <c r="AA243" s="201">
        <f>Table51013454[[#This Row],[الإجمالي]]-Table51013454[[#This Row],[إجمالي المستبعد]]</f>
        <v>1000</v>
      </c>
      <c r="AB243" s="200">
        <v>0.15</v>
      </c>
      <c r="AC243" s="199"/>
      <c r="AD243" s="198" t="s">
        <v>55</v>
      </c>
      <c r="AE243" s="194"/>
      <c r="AF24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الشراء-الاستلام]]&lt;DATE(2017,1,1),Q243-AE243,0))</f>
        <v>0</v>
      </c>
      <c r="AG24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23.013698630136986</v>
      </c>
      <c r="AH24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3" s="196">
        <f>Table51013454[[#This Row],[اهلاك المستبعد
في 2017]]+Table51013454[[#This Row],[مجمع إهلاك المستبعد 
01-01-2017]]</f>
        <v>0</v>
      </c>
      <c r="AJ243" s="196">
        <f>Table51013454[[#This Row],[إجمالي المستبعد]]-Table51013454[[#This Row],[مجمع إهلاك المستبعد 
بتاريخ الأستبعاد]]</f>
        <v>0</v>
      </c>
      <c r="AK243" s="195"/>
      <c r="AL243" s="194">
        <f>IF(OR(Table51013454[[#This Row],[تاريخ الشراء-الاستلام]]="",Table51013454[[#This Row],[الإجمالي]]="",Table51013454[[#This Row],[العمر الافتراضي]]=""),"",IF(((AE243+AG243)-Table51013454[[#This Row],[مجمع إهلاك المستبعد 
بتاريخ الأستبعاد]])&lt;=0,0,((AE243+AG243)-Table51013454[[#This Row],[مجمع إهلاك المستبعد 
بتاريخ الأستبعاد]])))</f>
        <v>23.013698630136986</v>
      </c>
      <c r="AM24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الشراء-الاستلام]]&gt;DATE(2017,12,31),0,AA243-AL243)))</f>
        <v>976.98630136986299</v>
      </c>
    </row>
    <row r="244" spans="1:39" ht="77.25" hidden="1">
      <c r="A244" s="226">
        <f>IF(B244="","",SUBTOTAL(3,$B$6:B279))</f>
        <v>23</v>
      </c>
      <c r="B244" s="198" t="s">
        <v>541</v>
      </c>
      <c r="C244" s="215" t="s">
        <v>12</v>
      </c>
      <c r="D244" s="215" t="s">
        <v>529</v>
      </c>
      <c r="E244" s="198" t="s">
        <v>51</v>
      </c>
      <c r="F244" s="198" t="s">
        <v>437</v>
      </c>
      <c r="G244" s="198" t="s">
        <v>437</v>
      </c>
      <c r="H244" s="199" t="s">
        <v>65</v>
      </c>
      <c r="I244" s="198"/>
      <c r="J244" s="213"/>
      <c r="K244" s="213">
        <v>43044</v>
      </c>
      <c r="L244" s="212"/>
      <c r="M244" s="225" t="s">
        <v>540</v>
      </c>
      <c r="N244" s="224">
        <v>1</v>
      </c>
      <c r="O244" s="223"/>
      <c r="P244" s="222">
        <v>1400</v>
      </c>
      <c r="Q244" s="221">
        <f t="shared" si="1"/>
        <v>1400</v>
      </c>
      <c r="R244" s="220"/>
      <c r="S244" s="219"/>
      <c r="T244" s="218"/>
      <c r="U244" s="218"/>
      <c r="V244" s="218"/>
      <c r="W244" s="218">
        <f>Table51013454[[#This Row],[العدد]]*Table51013454[[#This Row],[السعر الافرادي]]</f>
        <v>0</v>
      </c>
      <c r="X244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4" s="202">
        <f>Table51013454[[#This Row],[الكمية]]-Table51013454[[#This Row],[العدد]]</f>
        <v>1</v>
      </c>
      <c r="Z244" s="201">
        <f>Table51013454[[#This Row],[سعر/الحبة]]</f>
        <v>1400</v>
      </c>
      <c r="AA244" s="201">
        <f>Table51013454[[#This Row],[الإجمالي]]-Table51013454[[#This Row],[إجمالي المستبعد]]</f>
        <v>1400</v>
      </c>
      <c r="AB244" s="200">
        <v>0.15</v>
      </c>
      <c r="AC244" s="199"/>
      <c r="AD244" s="198" t="s">
        <v>55</v>
      </c>
      <c r="AE244" s="194"/>
      <c r="AF244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الشراء-الاستلام]]&lt;DATE(2017,1,1),Q244-AE244,0))</f>
        <v>0</v>
      </c>
      <c r="AG244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32.219178082191782</v>
      </c>
      <c r="AH244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4" s="196">
        <f>Table51013454[[#This Row],[اهلاك المستبعد
في 2017]]+Table51013454[[#This Row],[مجمع إهلاك المستبعد 
01-01-2017]]</f>
        <v>0</v>
      </c>
      <c r="AJ244" s="196">
        <f>Table51013454[[#This Row],[إجمالي المستبعد]]-Table51013454[[#This Row],[مجمع إهلاك المستبعد 
بتاريخ الأستبعاد]]</f>
        <v>0</v>
      </c>
      <c r="AK244" s="195"/>
      <c r="AL244" s="194">
        <f>IF(OR(Table51013454[[#This Row],[تاريخ الشراء-الاستلام]]="",Table51013454[[#This Row],[الإجمالي]]="",Table51013454[[#This Row],[العمر الافتراضي]]=""),"",IF(((AE244+AG244)-Table51013454[[#This Row],[مجمع إهلاك المستبعد 
بتاريخ الأستبعاد]])&lt;=0,0,((AE244+AG244)-Table51013454[[#This Row],[مجمع إهلاك المستبعد 
بتاريخ الأستبعاد]])))</f>
        <v>32.219178082191782</v>
      </c>
      <c r="AM244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الشراء-الاستلام]]&gt;DATE(2017,12,31),0,AA244-AL244)))</f>
        <v>1367.7808219178082</v>
      </c>
    </row>
    <row r="245" spans="1:39" ht="77.25" hidden="1">
      <c r="A245" s="226">
        <f>IF(B245="","",SUBTOTAL(3,$B$6:B279))</f>
        <v>23</v>
      </c>
      <c r="B245" s="198" t="s">
        <v>539</v>
      </c>
      <c r="C245" s="215" t="s">
        <v>12</v>
      </c>
      <c r="D245" s="215" t="s">
        <v>529</v>
      </c>
      <c r="E245" s="198" t="s">
        <v>51</v>
      </c>
      <c r="F245" s="198" t="s">
        <v>437</v>
      </c>
      <c r="G245" s="198" t="s">
        <v>437</v>
      </c>
      <c r="H245" s="199" t="s">
        <v>65</v>
      </c>
      <c r="I245" s="198"/>
      <c r="J245" s="213"/>
      <c r="K245" s="213">
        <v>43058</v>
      </c>
      <c r="L245" s="212"/>
      <c r="M245" s="225" t="s">
        <v>490</v>
      </c>
      <c r="N245" s="224">
        <v>1</v>
      </c>
      <c r="O245" s="223"/>
      <c r="P245" s="222">
        <v>550</v>
      </c>
      <c r="Q245" s="221">
        <f t="shared" si="1"/>
        <v>550</v>
      </c>
      <c r="R245" s="220"/>
      <c r="S245" s="219"/>
      <c r="T245" s="218"/>
      <c r="U245" s="218"/>
      <c r="V245" s="218"/>
      <c r="W245" s="218">
        <f>Table51013454[[#This Row],[العدد]]*Table51013454[[#This Row],[السعر الافرادي]]</f>
        <v>0</v>
      </c>
      <c r="X245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5" s="202">
        <f>Table51013454[[#This Row],[الكمية]]-Table51013454[[#This Row],[العدد]]</f>
        <v>1</v>
      </c>
      <c r="Z245" s="201">
        <f>Table51013454[[#This Row],[سعر/الحبة]]</f>
        <v>550</v>
      </c>
      <c r="AA245" s="201">
        <f>Table51013454[[#This Row],[الإجمالي]]-Table51013454[[#This Row],[إجمالي المستبعد]]</f>
        <v>550</v>
      </c>
      <c r="AB245" s="200">
        <v>0.15</v>
      </c>
      <c r="AC245" s="199"/>
      <c r="AD245" s="198" t="s">
        <v>55</v>
      </c>
      <c r="AE245" s="194"/>
      <c r="AF24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الشراء-الاستلام]]&lt;DATE(2017,1,1),Q245-AE245,0))</f>
        <v>0</v>
      </c>
      <c r="AG24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9.493150684931507</v>
      </c>
      <c r="AH24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5" s="196">
        <f>Table51013454[[#This Row],[اهلاك المستبعد
في 2017]]+Table51013454[[#This Row],[مجمع إهلاك المستبعد 
01-01-2017]]</f>
        <v>0</v>
      </c>
      <c r="AJ245" s="196">
        <f>Table51013454[[#This Row],[إجمالي المستبعد]]-Table51013454[[#This Row],[مجمع إهلاك المستبعد 
بتاريخ الأستبعاد]]</f>
        <v>0</v>
      </c>
      <c r="AK245" s="195"/>
      <c r="AL245" s="194">
        <f>IF(OR(Table51013454[[#This Row],[تاريخ الشراء-الاستلام]]="",Table51013454[[#This Row],[الإجمالي]]="",Table51013454[[#This Row],[العمر الافتراضي]]=""),"",IF(((AE245+AG245)-Table51013454[[#This Row],[مجمع إهلاك المستبعد 
بتاريخ الأستبعاد]])&lt;=0,0,((AE245+AG245)-Table51013454[[#This Row],[مجمع إهلاك المستبعد 
بتاريخ الأستبعاد]])))</f>
        <v>9.493150684931507</v>
      </c>
      <c r="AM24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الشراء-الاستلام]]&gt;DATE(2017,12,31),0,AA245-AL245)))</f>
        <v>540.50684931506851</v>
      </c>
    </row>
    <row r="246" spans="1:39" ht="77.25" hidden="1">
      <c r="A246" s="226">
        <f>IF(B246="","",SUBTOTAL(3,$B$6:B279))</f>
        <v>23</v>
      </c>
      <c r="B246" s="198" t="s">
        <v>538</v>
      </c>
      <c r="C246" s="215" t="s">
        <v>12</v>
      </c>
      <c r="D246" s="215" t="s">
        <v>529</v>
      </c>
      <c r="E246" s="198" t="s">
        <v>51</v>
      </c>
      <c r="F246" s="198" t="s">
        <v>437</v>
      </c>
      <c r="G246" s="198" t="s">
        <v>437</v>
      </c>
      <c r="H246" s="199" t="s">
        <v>65</v>
      </c>
      <c r="I246" s="198"/>
      <c r="J246" s="213"/>
      <c r="K246" s="213">
        <v>43058</v>
      </c>
      <c r="L246" s="212"/>
      <c r="M246" s="225" t="s">
        <v>490</v>
      </c>
      <c r="N246" s="224">
        <v>1</v>
      </c>
      <c r="O246" s="223"/>
      <c r="P246" s="222">
        <v>280</v>
      </c>
      <c r="Q246" s="221">
        <f t="shared" si="1"/>
        <v>280</v>
      </c>
      <c r="R246" s="220"/>
      <c r="S246" s="219"/>
      <c r="T246" s="218"/>
      <c r="U246" s="218"/>
      <c r="V246" s="218"/>
      <c r="W246" s="218">
        <f>Table51013454[[#This Row],[العدد]]*Table51013454[[#This Row],[السعر الافرادي]]</f>
        <v>0</v>
      </c>
      <c r="X246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6" s="202">
        <f>Table51013454[[#This Row],[الكمية]]-Table51013454[[#This Row],[العدد]]</f>
        <v>1</v>
      </c>
      <c r="Z246" s="201">
        <f>Table51013454[[#This Row],[سعر/الحبة]]</f>
        <v>280</v>
      </c>
      <c r="AA246" s="201">
        <f>Table51013454[[#This Row],[الإجمالي]]-Table51013454[[#This Row],[إجمالي المستبعد]]</f>
        <v>280</v>
      </c>
      <c r="AB246" s="200">
        <v>0.15</v>
      </c>
      <c r="AC246" s="199"/>
      <c r="AD246" s="198" t="s">
        <v>55</v>
      </c>
      <c r="AE246" s="194"/>
      <c r="AF246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الشراء-الاستلام]]&lt;DATE(2017,1,1),Q246-AE246,0))</f>
        <v>0</v>
      </c>
      <c r="AG246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4.8328767123287673</v>
      </c>
      <c r="AH246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6" s="196">
        <f>Table51013454[[#This Row],[اهلاك المستبعد
في 2017]]+Table51013454[[#This Row],[مجمع إهلاك المستبعد 
01-01-2017]]</f>
        <v>0</v>
      </c>
      <c r="AJ246" s="196">
        <f>Table51013454[[#This Row],[إجمالي المستبعد]]-Table51013454[[#This Row],[مجمع إهلاك المستبعد 
بتاريخ الأستبعاد]]</f>
        <v>0</v>
      </c>
      <c r="AK246" s="195"/>
      <c r="AL246" s="194">
        <f>IF(OR(Table51013454[[#This Row],[تاريخ الشراء-الاستلام]]="",Table51013454[[#This Row],[الإجمالي]]="",Table51013454[[#This Row],[العمر الافتراضي]]=""),"",IF(((AE246+AG246)-Table51013454[[#This Row],[مجمع إهلاك المستبعد 
بتاريخ الأستبعاد]])&lt;=0,0,((AE246+AG246)-Table51013454[[#This Row],[مجمع إهلاك المستبعد 
بتاريخ الأستبعاد]])))</f>
        <v>4.8328767123287673</v>
      </c>
      <c r="AM246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الشراء-الاستلام]]&gt;DATE(2017,12,31),0,AA246-AL246)))</f>
        <v>275.16712328767125</v>
      </c>
    </row>
    <row r="247" spans="1:39" ht="77.25" hidden="1">
      <c r="A247" s="226">
        <f>IF(B247="","",SUBTOTAL(3,$B$6:B279))</f>
        <v>23</v>
      </c>
      <c r="B247" s="198" t="s">
        <v>537</v>
      </c>
      <c r="C247" s="215" t="s">
        <v>12</v>
      </c>
      <c r="D247" s="215" t="s">
        <v>529</v>
      </c>
      <c r="E247" s="198" t="s">
        <v>51</v>
      </c>
      <c r="F247" s="198" t="s">
        <v>437</v>
      </c>
      <c r="G247" s="198" t="s">
        <v>437</v>
      </c>
      <c r="H247" s="199" t="s">
        <v>65</v>
      </c>
      <c r="I247" s="198"/>
      <c r="J247" s="213"/>
      <c r="K247" s="213">
        <v>43058</v>
      </c>
      <c r="L247" s="212"/>
      <c r="M247" s="225" t="s">
        <v>490</v>
      </c>
      <c r="N247" s="224">
        <v>1</v>
      </c>
      <c r="O247" s="223"/>
      <c r="P247" s="222">
        <v>1430</v>
      </c>
      <c r="Q247" s="221">
        <f t="shared" si="1"/>
        <v>1430</v>
      </c>
      <c r="R247" s="220"/>
      <c r="S247" s="219"/>
      <c r="T247" s="218"/>
      <c r="U247" s="218"/>
      <c r="V247" s="218"/>
      <c r="W247" s="218">
        <f>Table51013454[[#This Row],[العدد]]*Table51013454[[#This Row],[السعر الافرادي]]</f>
        <v>0</v>
      </c>
      <c r="X24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7" s="202">
        <f>Table51013454[[#This Row],[الكمية]]-Table51013454[[#This Row],[العدد]]</f>
        <v>1</v>
      </c>
      <c r="Z247" s="201">
        <f>Table51013454[[#This Row],[سعر/الحبة]]</f>
        <v>1430</v>
      </c>
      <c r="AA247" s="201">
        <f>Table51013454[[#This Row],[الإجمالي]]-Table51013454[[#This Row],[إجمالي المستبعد]]</f>
        <v>1430</v>
      </c>
      <c r="AB247" s="200">
        <v>0.15</v>
      </c>
      <c r="AC247" s="199"/>
      <c r="AD247" s="198" t="s">
        <v>55</v>
      </c>
      <c r="AE247" s="194"/>
      <c r="AF247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الشراء-الاستلام]]&lt;DATE(2017,1,1),Q247-AE247,0))</f>
        <v>0</v>
      </c>
      <c r="AG247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24.682191780821917</v>
      </c>
      <c r="AH24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7" s="196">
        <f>Table51013454[[#This Row],[اهلاك المستبعد
في 2017]]+Table51013454[[#This Row],[مجمع إهلاك المستبعد 
01-01-2017]]</f>
        <v>0</v>
      </c>
      <c r="AJ247" s="196">
        <f>Table51013454[[#This Row],[إجمالي المستبعد]]-Table51013454[[#This Row],[مجمع إهلاك المستبعد 
بتاريخ الأستبعاد]]</f>
        <v>0</v>
      </c>
      <c r="AK247" s="195"/>
      <c r="AL247" s="194">
        <f>IF(OR(Table51013454[[#This Row],[تاريخ الشراء-الاستلام]]="",Table51013454[[#This Row],[الإجمالي]]="",Table51013454[[#This Row],[العمر الافتراضي]]=""),"",IF(((AE247+AG247)-Table51013454[[#This Row],[مجمع إهلاك المستبعد 
بتاريخ الأستبعاد]])&lt;=0,0,((AE247+AG247)-Table51013454[[#This Row],[مجمع إهلاك المستبعد 
بتاريخ الأستبعاد]])))</f>
        <v>24.682191780821917</v>
      </c>
      <c r="AM247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الشراء-الاستلام]]&gt;DATE(2017,12,31),0,AA247-AL247)))</f>
        <v>1405.317808219178</v>
      </c>
    </row>
    <row r="248" spans="1:39" ht="77.25" hidden="1">
      <c r="A248" s="226">
        <f>IF(B248="","",SUBTOTAL(3,$B$6:B279))</f>
        <v>23</v>
      </c>
      <c r="B248" s="198" t="s">
        <v>536</v>
      </c>
      <c r="C248" s="215" t="s">
        <v>12</v>
      </c>
      <c r="D248" s="215" t="s">
        <v>529</v>
      </c>
      <c r="E248" s="198" t="s">
        <v>51</v>
      </c>
      <c r="F248" s="198" t="s">
        <v>437</v>
      </c>
      <c r="G248" s="198" t="s">
        <v>437</v>
      </c>
      <c r="H248" s="199" t="s">
        <v>65</v>
      </c>
      <c r="I248" s="198"/>
      <c r="J248" s="213"/>
      <c r="K248" s="213">
        <v>42829</v>
      </c>
      <c r="L248" s="212"/>
      <c r="M248" s="225" t="s">
        <v>535</v>
      </c>
      <c r="N248" s="224">
        <v>1</v>
      </c>
      <c r="O248" s="223"/>
      <c r="P248" s="222">
        <v>600</v>
      </c>
      <c r="Q248" s="221">
        <f t="shared" si="1"/>
        <v>600</v>
      </c>
      <c r="R248" s="220"/>
      <c r="S248" s="219"/>
      <c r="T248" s="218"/>
      <c r="U248" s="218"/>
      <c r="V248" s="218"/>
      <c r="W248" s="218">
        <f>Table51013454[[#This Row],[العدد]]*Table51013454[[#This Row],[السعر الافرادي]]</f>
        <v>0</v>
      </c>
      <c r="X24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8" s="202">
        <f>Table51013454[[#This Row],[الكمية]]-Table51013454[[#This Row],[العدد]]</f>
        <v>1</v>
      </c>
      <c r="Z248" s="201">
        <f>Table51013454[[#This Row],[سعر/الحبة]]</f>
        <v>600</v>
      </c>
      <c r="AA248" s="201">
        <f>Table51013454[[#This Row],[الإجمالي]]-Table51013454[[#This Row],[إجمالي المستبعد]]</f>
        <v>600</v>
      </c>
      <c r="AB248" s="200">
        <v>0.15</v>
      </c>
      <c r="AC248" s="199"/>
      <c r="AD248" s="198" t="s">
        <v>55</v>
      </c>
      <c r="AE248" s="194"/>
      <c r="AF24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الشراء-الاستلام]]&lt;DATE(2017,1,1),Q248-AE248,0))</f>
        <v>0</v>
      </c>
      <c r="AG24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66.821917808219169</v>
      </c>
      <c r="AH24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8" s="196">
        <f>Table51013454[[#This Row],[اهلاك المستبعد
في 2017]]+Table51013454[[#This Row],[مجمع إهلاك المستبعد 
01-01-2017]]</f>
        <v>0</v>
      </c>
      <c r="AJ248" s="196">
        <f>Table51013454[[#This Row],[إجمالي المستبعد]]-Table51013454[[#This Row],[مجمع إهلاك المستبعد 
بتاريخ الأستبعاد]]</f>
        <v>0</v>
      </c>
      <c r="AK248" s="195"/>
      <c r="AL248" s="194">
        <f>IF(OR(Table51013454[[#This Row],[تاريخ الشراء-الاستلام]]="",Table51013454[[#This Row],[الإجمالي]]="",Table51013454[[#This Row],[العمر الافتراضي]]=""),"",IF(((AE248+AG248)-Table51013454[[#This Row],[مجمع إهلاك المستبعد 
بتاريخ الأستبعاد]])&lt;=0,0,((AE248+AG248)-Table51013454[[#This Row],[مجمع إهلاك المستبعد 
بتاريخ الأستبعاد]])))</f>
        <v>66.821917808219169</v>
      </c>
      <c r="AM24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الشراء-الاستلام]]&gt;DATE(2017,12,31),0,AA248-AL248)))</f>
        <v>533.17808219178085</v>
      </c>
    </row>
    <row r="249" spans="1:39" ht="77.25" hidden="1">
      <c r="A249" s="226">
        <f>IF(B249="","",SUBTOTAL(3,$B$6:B279))</f>
        <v>23</v>
      </c>
      <c r="B249" s="198" t="s">
        <v>534</v>
      </c>
      <c r="C249" s="215" t="s">
        <v>12</v>
      </c>
      <c r="D249" s="215" t="s">
        <v>492</v>
      </c>
      <c r="E249" s="198" t="s">
        <v>51</v>
      </c>
      <c r="F249" s="198" t="s">
        <v>437</v>
      </c>
      <c r="G249" s="198" t="s">
        <v>437</v>
      </c>
      <c r="H249" s="199" t="s">
        <v>65</v>
      </c>
      <c r="I249" s="198"/>
      <c r="J249" s="213"/>
      <c r="K249" s="213">
        <v>43047</v>
      </c>
      <c r="L249" s="212"/>
      <c r="M249" s="242" t="s">
        <v>533</v>
      </c>
      <c r="N249" s="224">
        <v>1</v>
      </c>
      <c r="O249" s="223"/>
      <c r="P249" s="222">
        <v>3800</v>
      </c>
      <c r="Q249" s="221">
        <f t="shared" si="1"/>
        <v>3800</v>
      </c>
      <c r="R249" s="220"/>
      <c r="S249" s="219"/>
      <c r="T249" s="218"/>
      <c r="U249" s="218"/>
      <c r="V249" s="218"/>
      <c r="W249" s="218">
        <f>Table51013454[[#This Row],[العدد]]*Table51013454[[#This Row],[السعر الافرادي]]</f>
        <v>0</v>
      </c>
      <c r="X249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49" s="202">
        <f>Table51013454[[#This Row],[الكمية]]-Table51013454[[#This Row],[العدد]]</f>
        <v>1</v>
      </c>
      <c r="Z249" s="201">
        <f>Table51013454[[#This Row],[سعر/الحبة]]</f>
        <v>3800</v>
      </c>
      <c r="AA249" s="201">
        <f>Table51013454[[#This Row],[الإجمالي]]-Table51013454[[#This Row],[إجمالي المستبعد]]</f>
        <v>3800</v>
      </c>
      <c r="AB249" s="200">
        <v>0.15</v>
      </c>
      <c r="AC249" s="199"/>
      <c r="AD249" s="198" t="s">
        <v>55</v>
      </c>
      <c r="AE249" s="194"/>
      <c r="AF24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الشراء-الاستلام]]&lt;DATE(2017,1,1),Q249-AE249,0))</f>
        <v>0</v>
      </c>
      <c r="AG24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82.767123287671239</v>
      </c>
      <c r="AH24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49" s="196">
        <f>Table51013454[[#This Row],[اهلاك المستبعد
في 2017]]+Table51013454[[#This Row],[مجمع إهلاك المستبعد 
01-01-2017]]</f>
        <v>0</v>
      </c>
      <c r="AJ249" s="196">
        <f>Table51013454[[#This Row],[إجمالي المستبعد]]-Table51013454[[#This Row],[مجمع إهلاك المستبعد 
بتاريخ الأستبعاد]]</f>
        <v>0</v>
      </c>
      <c r="AK249" s="195"/>
      <c r="AL249" s="194">
        <f>IF(OR(Table51013454[[#This Row],[تاريخ الشراء-الاستلام]]="",Table51013454[[#This Row],[الإجمالي]]="",Table51013454[[#This Row],[العمر الافتراضي]]=""),"",IF(((AE249+AG249)-Table51013454[[#This Row],[مجمع إهلاك المستبعد 
بتاريخ الأستبعاد]])&lt;=0,0,((AE249+AG249)-Table51013454[[#This Row],[مجمع إهلاك المستبعد 
بتاريخ الأستبعاد]])))</f>
        <v>82.767123287671239</v>
      </c>
      <c r="AM24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الشراء-الاستلام]]&gt;DATE(2017,12,31),0,AA249-AL249)))</f>
        <v>3717.2328767123286</v>
      </c>
    </row>
    <row r="250" spans="1:39" ht="77.25" hidden="1">
      <c r="A250" s="226">
        <f>IF(B250="","",SUBTOTAL(3,$B$6:B279))</f>
        <v>23</v>
      </c>
      <c r="B250" s="198" t="s">
        <v>532</v>
      </c>
      <c r="C250" s="215" t="s">
        <v>12</v>
      </c>
      <c r="D250" s="215" t="s">
        <v>529</v>
      </c>
      <c r="E250" s="198" t="s">
        <v>51</v>
      </c>
      <c r="F250" s="198" t="s">
        <v>437</v>
      </c>
      <c r="G250" s="198" t="s">
        <v>437</v>
      </c>
      <c r="H250" s="199" t="s">
        <v>65</v>
      </c>
      <c r="I250" s="198"/>
      <c r="J250" s="213"/>
      <c r="K250" s="213">
        <v>43070</v>
      </c>
      <c r="L250" s="212"/>
      <c r="M250" s="225" t="s">
        <v>531</v>
      </c>
      <c r="N250" s="224">
        <v>1</v>
      </c>
      <c r="O250" s="223"/>
      <c r="P250" s="222">
        <v>900</v>
      </c>
      <c r="Q250" s="221">
        <f t="shared" si="1"/>
        <v>900</v>
      </c>
      <c r="R250" s="220"/>
      <c r="S250" s="219"/>
      <c r="T250" s="218"/>
      <c r="U250" s="218"/>
      <c r="V250" s="218"/>
      <c r="W250" s="218">
        <f>Table51013454[[#This Row],[العدد]]*Table51013454[[#This Row],[السعر الافرادي]]</f>
        <v>0</v>
      </c>
      <c r="X250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0" s="202">
        <f>Table51013454[[#This Row],[الكمية]]-Table51013454[[#This Row],[العدد]]</f>
        <v>1</v>
      </c>
      <c r="Z250" s="201">
        <f>Table51013454[[#This Row],[سعر/الحبة]]</f>
        <v>900</v>
      </c>
      <c r="AA250" s="201">
        <f>Table51013454[[#This Row],[الإجمالي]]-Table51013454[[#This Row],[إجمالي المستبعد]]</f>
        <v>900</v>
      </c>
      <c r="AB250" s="200">
        <v>0.15</v>
      </c>
      <c r="AC250" s="199"/>
      <c r="AD250" s="198" t="s">
        <v>55</v>
      </c>
      <c r="AE250" s="194"/>
      <c r="AF250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الشراء-الاستلام]]&lt;DATE(2017,1,1),Q250-AE250,0))</f>
        <v>0</v>
      </c>
      <c r="AG250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11.095890410958903</v>
      </c>
      <c r="AH25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0" s="196">
        <f>Table51013454[[#This Row],[اهلاك المستبعد
في 2017]]+Table51013454[[#This Row],[مجمع إهلاك المستبعد 
01-01-2017]]</f>
        <v>0</v>
      </c>
      <c r="AJ250" s="196">
        <f>Table51013454[[#This Row],[إجمالي المستبعد]]-Table51013454[[#This Row],[مجمع إهلاك المستبعد 
بتاريخ الأستبعاد]]</f>
        <v>0</v>
      </c>
      <c r="AK250" s="195"/>
      <c r="AL250" s="194">
        <f>IF(OR(Table51013454[[#This Row],[تاريخ الشراء-الاستلام]]="",Table51013454[[#This Row],[الإجمالي]]="",Table51013454[[#This Row],[العمر الافتراضي]]=""),"",IF(((AE250+AG250)-Table51013454[[#This Row],[مجمع إهلاك المستبعد 
بتاريخ الأستبعاد]])&lt;=0,0,((AE250+AG250)-Table51013454[[#This Row],[مجمع إهلاك المستبعد 
بتاريخ الأستبعاد]])))</f>
        <v>11.095890410958903</v>
      </c>
      <c r="AM250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الشراء-الاستلام]]&gt;DATE(2017,12,31),0,AA250-AL250)))</f>
        <v>888.90410958904113</v>
      </c>
    </row>
    <row r="251" spans="1:39" ht="77.25" hidden="1">
      <c r="A251" s="226">
        <f>IF(B251="","",SUBTOTAL(3,$B$6:B279))</f>
        <v>23</v>
      </c>
      <c r="B251" s="198" t="s">
        <v>530</v>
      </c>
      <c r="C251" s="215" t="s">
        <v>12</v>
      </c>
      <c r="D251" s="215" t="s">
        <v>529</v>
      </c>
      <c r="E251" s="198" t="s">
        <v>51</v>
      </c>
      <c r="F251" s="198" t="s">
        <v>437</v>
      </c>
      <c r="G251" s="198" t="s">
        <v>437</v>
      </c>
      <c r="H251" s="199" t="s">
        <v>65</v>
      </c>
      <c r="I251" s="198"/>
      <c r="J251" s="213"/>
      <c r="K251" s="213">
        <v>43070</v>
      </c>
      <c r="L251" s="212"/>
      <c r="M251" s="225" t="s">
        <v>490</v>
      </c>
      <c r="N251" s="224">
        <v>1</v>
      </c>
      <c r="O251" s="223"/>
      <c r="P251" s="222">
        <v>480</v>
      </c>
      <c r="Q251" s="221">
        <f t="shared" si="1"/>
        <v>480</v>
      </c>
      <c r="R251" s="220"/>
      <c r="S251" s="219"/>
      <c r="T251" s="218"/>
      <c r="U251" s="218"/>
      <c r="V251" s="218"/>
      <c r="W251" s="218">
        <f>Table51013454[[#This Row],[العدد]]*Table51013454[[#This Row],[السعر الافرادي]]</f>
        <v>0</v>
      </c>
      <c r="X251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1" s="202">
        <f>Table51013454[[#This Row],[الكمية]]-Table51013454[[#This Row],[العدد]]</f>
        <v>1</v>
      </c>
      <c r="Z251" s="201">
        <f>Table51013454[[#This Row],[سعر/الحبة]]</f>
        <v>480</v>
      </c>
      <c r="AA251" s="201">
        <f>Table51013454[[#This Row],[الإجمالي]]-Table51013454[[#This Row],[إجمالي المستبعد]]</f>
        <v>480</v>
      </c>
      <c r="AB251" s="200">
        <v>0.15</v>
      </c>
      <c r="AC251" s="199"/>
      <c r="AD251" s="198" t="s">
        <v>55</v>
      </c>
      <c r="AE251" s="194"/>
      <c r="AF251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الشراء-الاستلام]]&lt;DATE(2017,1,1),Q251-AE251,0))</f>
        <v>0</v>
      </c>
      <c r="AG251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5.9178082191780819</v>
      </c>
      <c r="AH25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1" s="196">
        <f>Table51013454[[#This Row],[اهلاك المستبعد
في 2017]]+Table51013454[[#This Row],[مجمع إهلاك المستبعد 
01-01-2017]]</f>
        <v>0</v>
      </c>
      <c r="AJ251" s="196">
        <f>Table51013454[[#This Row],[إجمالي المستبعد]]-Table51013454[[#This Row],[مجمع إهلاك المستبعد 
بتاريخ الأستبعاد]]</f>
        <v>0</v>
      </c>
      <c r="AK251" s="195"/>
      <c r="AL251" s="194">
        <f>IF(OR(Table51013454[[#This Row],[تاريخ الشراء-الاستلام]]="",Table51013454[[#This Row],[الإجمالي]]="",Table51013454[[#This Row],[العمر الافتراضي]]=""),"",IF(((AE251+AG251)-Table51013454[[#This Row],[مجمع إهلاك المستبعد 
بتاريخ الأستبعاد]])&lt;=0,0,((AE251+AG251)-Table51013454[[#This Row],[مجمع إهلاك المستبعد 
بتاريخ الأستبعاد]])))</f>
        <v>5.9178082191780819</v>
      </c>
      <c r="AM251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الشراء-الاستلام]]&gt;DATE(2017,12,31),0,AA251-AL251)))</f>
        <v>474.08219178082192</v>
      </c>
    </row>
    <row r="252" spans="1:39" ht="77.25" hidden="1">
      <c r="A252" s="226">
        <f>IF(B252="","",SUBTOTAL(3,$B$6:B279))</f>
        <v>23</v>
      </c>
      <c r="B252" s="198" t="s">
        <v>528</v>
      </c>
      <c r="C252" s="215" t="s">
        <v>12</v>
      </c>
      <c r="D252" s="215" t="s">
        <v>34</v>
      </c>
      <c r="E252" s="198" t="s">
        <v>51</v>
      </c>
      <c r="F252" s="198" t="s">
        <v>437</v>
      </c>
      <c r="G252" s="198" t="s">
        <v>437</v>
      </c>
      <c r="H252" s="199" t="s">
        <v>65</v>
      </c>
      <c r="I252" s="198"/>
      <c r="J252" s="213"/>
      <c r="K252" s="213">
        <v>42791</v>
      </c>
      <c r="L252" s="212"/>
      <c r="M252" s="225" t="s">
        <v>525</v>
      </c>
      <c r="N252" s="224">
        <v>1</v>
      </c>
      <c r="O252" s="223"/>
      <c r="P252" s="222">
        <v>11000</v>
      </c>
      <c r="Q252" s="221">
        <f t="shared" si="1"/>
        <v>11000</v>
      </c>
      <c r="R252" s="220"/>
      <c r="S252" s="219"/>
      <c r="T252" s="218"/>
      <c r="U252" s="218"/>
      <c r="V252" s="218"/>
      <c r="W252" s="218">
        <f>Table51013454[[#This Row],[العدد]]*Table51013454[[#This Row],[السعر الافرادي]]</f>
        <v>0</v>
      </c>
      <c r="X252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2" s="202">
        <f>Table51013454[[#This Row],[الكمية]]-Table51013454[[#This Row],[العدد]]</f>
        <v>1</v>
      </c>
      <c r="Z252" s="201">
        <f>Table51013454[[#This Row],[سعر/الحبة]]</f>
        <v>11000</v>
      </c>
      <c r="AA252" s="201">
        <f>Table51013454[[#This Row],[الإجمالي]]-Table51013454[[#This Row],[إجمالي المستبعد]]</f>
        <v>11000</v>
      </c>
      <c r="AB252" s="200">
        <v>0.15</v>
      </c>
      <c r="AC252" s="199"/>
      <c r="AD252" s="198" t="s">
        <v>55</v>
      </c>
      <c r="AE252" s="194"/>
      <c r="AF252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الشراء-الاستلام]]&lt;DATE(2017,1,1),Q252-AE252,0))</f>
        <v>0</v>
      </c>
      <c r="AG252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1396.8493150684933</v>
      </c>
      <c r="AH25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2" s="196">
        <f>Table51013454[[#This Row],[اهلاك المستبعد
في 2017]]+Table51013454[[#This Row],[مجمع إهلاك المستبعد 
01-01-2017]]</f>
        <v>0</v>
      </c>
      <c r="AJ252" s="196">
        <f>Table51013454[[#This Row],[إجمالي المستبعد]]-Table51013454[[#This Row],[مجمع إهلاك المستبعد 
بتاريخ الأستبعاد]]</f>
        <v>0</v>
      </c>
      <c r="AK252" s="195"/>
      <c r="AL252" s="194">
        <f>IF(OR(Table51013454[[#This Row],[تاريخ الشراء-الاستلام]]="",Table51013454[[#This Row],[الإجمالي]]="",Table51013454[[#This Row],[العمر الافتراضي]]=""),"",IF(((AE252+AG252)-Table51013454[[#This Row],[مجمع إهلاك المستبعد 
بتاريخ الأستبعاد]])&lt;=0,0,((AE252+AG252)-Table51013454[[#This Row],[مجمع إهلاك المستبعد 
بتاريخ الأستبعاد]])))</f>
        <v>1396.8493150684933</v>
      </c>
      <c r="AM252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الشراء-الاستلام]]&gt;DATE(2017,12,31),0,AA252-AL252)))</f>
        <v>9603.1506849315065</v>
      </c>
    </row>
    <row r="253" spans="1:39" ht="77.25" hidden="1">
      <c r="A253" s="226">
        <f>IF(B253="","",SUBTOTAL(3,$B$6:B279))</f>
        <v>23</v>
      </c>
      <c r="B253" s="198" t="s">
        <v>527</v>
      </c>
      <c r="C253" s="215" t="s">
        <v>12</v>
      </c>
      <c r="D253" s="215" t="s">
        <v>488</v>
      </c>
      <c r="E253" s="198" t="s">
        <v>51</v>
      </c>
      <c r="F253" s="198" t="s">
        <v>437</v>
      </c>
      <c r="G253" s="198" t="s">
        <v>72</v>
      </c>
      <c r="H253" s="199" t="s">
        <v>72</v>
      </c>
      <c r="I253" s="198"/>
      <c r="J253" s="213"/>
      <c r="K253" s="213">
        <v>42791</v>
      </c>
      <c r="L253" s="212"/>
      <c r="M253" s="225" t="s">
        <v>525</v>
      </c>
      <c r="N253" s="224">
        <v>1</v>
      </c>
      <c r="O253" s="223"/>
      <c r="P253" s="222">
        <v>449</v>
      </c>
      <c r="Q253" s="221">
        <f t="shared" si="1"/>
        <v>449</v>
      </c>
      <c r="R253" s="220"/>
      <c r="S253" s="219"/>
      <c r="T253" s="218"/>
      <c r="U253" s="218"/>
      <c r="V253" s="218"/>
      <c r="W253" s="218">
        <f>Table51013454[[#This Row],[العدد]]*Table51013454[[#This Row],[السعر الافرادي]]</f>
        <v>0</v>
      </c>
      <c r="X25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3" s="202">
        <f>Table51013454[[#This Row],[الكمية]]-Table51013454[[#This Row],[العدد]]</f>
        <v>1</v>
      </c>
      <c r="Z253" s="201">
        <f>Table51013454[[#This Row],[سعر/الحبة]]</f>
        <v>449</v>
      </c>
      <c r="AA253" s="201">
        <f>Table51013454[[#This Row],[الإجمالي]]-Table51013454[[#This Row],[إجمالي المستبعد]]</f>
        <v>449</v>
      </c>
      <c r="AB253" s="200">
        <v>0.15</v>
      </c>
      <c r="AC253" s="199"/>
      <c r="AD253" s="198" t="s">
        <v>55</v>
      </c>
      <c r="AE253" s="194"/>
      <c r="AF25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الشراء-الاستلام]]&lt;DATE(2017,1,1),Q253-AE253,0))</f>
        <v>0</v>
      </c>
      <c r="AG25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57.016849315068491</v>
      </c>
      <c r="AH25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3" s="196">
        <f>Table51013454[[#This Row],[اهلاك المستبعد
في 2017]]+Table51013454[[#This Row],[مجمع إهلاك المستبعد 
01-01-2017]]</f>
        <v>0</v>
      </c>
      <c r="AJ253" s="196">
        <f>Table51013454[[#This Row],[إجمالي المستبعد]]-Table51013454[[#This Row],[مجمع إهلاك المستبعد 
بتاريخ الأستبعاد]]</f>
        <v>0</v>
      </c>
      <c r="AK253" s="195"/>
      <c r="AL253" s="194">
        <f>IF(OR(Table51013454[[#This Row],[تاريخ الشراء-الاستلام]]="",Table51013454[[#This Row],[الإجمالي]]="",Table51013454[[#This Row],[العمر الافتراضي]]=""),"",IF(((AE253+AG253)-Table51013454[[#This Row],[مجمع إهلاك المستبعد 
بتاريخ الأستبعاد]])&lt;=0,0,((AE253+AG253)-Table51013454[[#This Row],[مجمع إهلاك المستبعد 
بتاريخ الأستبعاد]])))</f>
        <v>57.016849315068491</v>
      </c>
      <c r="AM25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الشراء-الاستلام]]&gt;DATE(2017,12,31),0,AA253-AL253)))</f>
        <v>391.9831506849315</v>
      </c>
    </row>
    <row r="254" spans="1:39" ht="77.25" hidden="1">
      <c r="A254" s="226">
        <f>IF(B254="","",SUBTOTAL(3,$B$6:B279))</f>
        <v>23</v>
      </c>
      <c r="B254" s="198" t="s">
        <v>526</v>
      </c>
      <c r="C254" s="215" t="s">
        <v>12</v>
      </c>
      <c r="D254" s="215" t="s">
        <v>488</v>
      </c>
      <c r="E254" s="198" t="s">
        <v>51</v>
      </c>
      <c r="F254" s="198" t="s">
        <v>437</v>
      </c>
      <c r="G254" s="198" t="s">
        <v>72</v>
      </c>
      <c r="H254" s="199" t="s">
        <v>72</v>
      </c>
      <c r="I254" s="198"/>
      <c r="J254" s="213"/>
      <c r="K254" s="213">
        <v>42791</v>
      </c>
      <c r="L254" s="212"/>
      <c r="M254" s="225" t="s">
        <v>525</v>
      </c>
      <c r="N254" s="224">
        <v>1</v>
      </c>
      <c r="O254" s="223"/>
      <c r="P254" s="222">
        <v>649</v>
      </c>
      <c r="Q254" s="221">
        <f t="shared" si="1"/>
        <v>649</v>
      </c>
      <c r="R254" s="220"/>
      <c r="S254" s="219"/>
      <c r="T254" s="218"/>
      <c r="U254" s="218"/>
      <c r="V254" s="218"/>
      <c r="W254" s="218">
        <f>Table51013454[[#This Row],[العدد]]*Table51013454[[#This Row],[السعر الافرادي]]</f>
        <v>0</v>
      </c>
      <c r="X254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4" s="202">
        <f>Table51013454[[#This Row],[الكمية]]-Table51013454[[#This Row],[العدد]]</f>
        <v>1</v>
      </c>
      <c r="Z254" s="201">
        <f>Table51013454[[#This Row],[سعر/الحبة]]</f>
        <v>649</v>
      </c>
      <c r="AA254" s="201">
        <f>Table51013454[[#This Row],[الإجمالي]]-Table51013454[[#This Row],[إجمالي المستبعد]]</f>
        <v>649</v>
      </c>
      <c r="AB254" s="200">
        <v>0.15</v>
      </c>
      <c r="AC254" s="199"/>
      <c r="AD254" s="198" t="s">
        <v>55</v>
      </c>
      <c r="AE254" s="194"/>
      <c r="AF254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الشراء-الاستلام]]&lt;DATE(2017,1,1),Q254-AE254,0))</f>
        <v>0</v>
      </c>
      <c r="AG254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82.41410958904109</v>
      </c>
      <c r="AH254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4" s="196">
        <f>Table51013454[[#This Row],[اهلاك المستبعد
في 2017]]+Table51013454[[#This Row],[مجمع إهلاك المستبعد 
01-01-2017]]</f>
        <v>0</v>
      </c>
      <c r="AJ254" s="196">
        <f>Table51013454[[#This Row],[إجمالي المستبعد]]-Table51013454[[#This Row],[مجمع إهلاك المستبعد 
بتاريخ الأستبعاد]]</f>
        <v>0</v>
      </c>
      <c r="AK254" s="195"/>
      <c r="AL254" s="194">
        <f>IF(OR(Table51013454[[#This Row],[تاريخ الشراء-الاستلام]]="",Table51013454[[#This Row],[الإجمالي]]="",Table51013454[[#This Row],[العمر الافتراضي]]=""),"",IF(((AE254+AG254)-Table51013454[[#This Row],[مجمع إهلاك المستبعد 
بتاريخ الأستبعاد]])&lt;=0,0,((AE254+AG254)-Table51013454[[#This Row],[مجمع إهلاك المستبعد 
بتاريخ الأستبعاد]])))</f>
        <v>82.41410958904109</v>
      </c>
      <c r="AM254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الشراء-الاستلام]]&gt;DATE(2017,12,31),0,AA254-AL254)))</f>
        <v>566.58589041095888</v>
      </c>
    </row>
    <row r="255" spans="1:39" ht="77.25" hidden="1">
      <c r="A255" s="226">
        <f>IF(B255="","",SUBTOTAL(3,$B$6:B279))</f>
        <v>23</v>
      </c>
      <c r="B255" s="198" t="s">
        <v>524</v>
      </c>
      <c r="C255" s="215" t="s">
        <v>12</v>
      </c>
      <c r="D255" s="215" t="s">
        <v>488</v>
      </c>
      <c r="E255" s="198" t="s">
        <v>51</v>
      </c>
      <c r="F255" s="198" t="s">
        <v>52</v>
      </c>
      <c r="G255" s="198" t="s">
        <v>72</v>
      </c>
      <c r="H255" s="199" t="s">
        <v>72</v>
      </c>
      <c r="I255" s="198"/>
      <c r="J255" s="213"/>
      <c r="K255" s="213">
        <v>42807</v>
      </c>
      <c r="L255" s="212"/>
      <c r="M255" s="225" t="s">
        <v>523</v>
      </c>
      <c r="N255" s="224">
        <v>5</v>
      </c>
      <c r="O255" s="223"/>
      <c r="P255" s="222">
        <v>440</v>
      </c>
      <c r="Q255" s="221">
        <f t="shared" si="1"/>
        <v>2200</v>
      </c>
      <c r="R255" s="220"/>
      <c r="S255" s="219"/>
      <c r="T255" s="218"/>
      <c r="U255" s="218"/>
      <c r="V255" s="218"/>
      <c r="W255" s="218">
        <f>Table51013454[[#This Row],[العدد]]*Table51013454[[#This Row],[السعر الافرادي]]</f>
        <v>0</v>
      </c>
      <c r="X255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5" s="202">
        <f>Table51013454[[#This Row],[الكمية]]-Table51013454[[#This Row],[العدد]]</f>
        <v>5</v>
      </c>
      <c r="Z255" s="201">
        <f>Table51013454[[#This Row],[سعر/الحبة]]</f>
        <v>440</v>
      </c>
      <c r="AA255" s="201">
        <f>Table51013454[[#This Row],[الإجمالي]]-Table51013454[[#This Row],[إجمالي المستبعد]]</f>
        <v>2200</v>
      </c>
      <c r="AB255" s="200">
        <v>0.15</v>
      </c>
      <c r="AC255" s="199"/>
      <c r="AD255" s="198" t="s">
        <v>55</v>
      </c>
      <c r="AE255" s="194"/>
      <c r="AF25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الشراء-الاستلام]]&lt;DATE(2017,1,1),Q255-AE255,0))</f>
        <v>0</v>
      </c>
      <c r="AG25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264.90410958904107</v>
      </c>
      <c r="AH25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5" s="196">
        <f>Table51013454[[#This Row],[اهلاك المستبعد
في 2017]]+Table51013454[[#This Row],[مجمع إهلاك المستبعد 
01-01-2017]]</f>
        <v>0</v>
      </c>
      <c r="AJ255" s="196">
        <f>Table51013454[[#This Row],[إجمالي المستبعد]]-Table51013454[[#This Row],[مجمع إهلاك المستبعد 
بتاريخ الأستبعاد]]</f>
        <v>0</v>
      </c>
      <c r="AK255" s="195"/>
      <c r="AL255" s="194">
        <f>IF(OR(Table51013454[[#This Row],[تاريخ الشراء-الاستلام]]="",Table51013454[[#This Row],[الإجمالي]]="",Table51013454[[#This Row],[العمر الافتراضي]]=""),"",IF(((AE255+AG255)-Table51013454[[#This Row],[مجمع إهلاك المستبعد 
بتاريخ الأستبعاد]])&lt;=0,0,((AE255+AG255)-Table51013454[[#This Row],[مجمع إهلاك المستبعد 
بتاريخ الأستبعاد]])))</f>
        <v>264.90410958904107</v>
      </c>
      <c r="AM25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الشراء-الاستلام]]&gt;DATE(2017,12,31),0,AA255-AL255)))</f>
        <v>1935.0958904109589</v>
      </c>
    </row>
    <row r="256" spans="1:39" ht="77.25" hidden="1">
      <c r="A256" s="226">
        <f>IF(B256="","",SUBTOTAL(3,$B$6:B279))</f>
        <v>23</v>
      </c>
      <c r="B256" s="198" t="s">
        <v>522</v>
      </c>
      <c r="C256" s="215" t="s">
        <v>12</v>
      </c>
      <c r="D256" s="215" t="s">
        <v>488</v>
      </c>
      <c r="E256" s="198" t="s">
        <v>51</v>
      </c>
      <c r="F256" s="198" t="s">
        <v>81</v>
      </c>
      <c r="G256" s="198"/>
      <c r="H256" s="199" t="s">
        <v>72</v>
      </c>
      <c r="I256" s="198"/>
      <c r="J256" s="213"/>
      <c r="K256" s="213">
        <v>42809</v>
      </c>
      <c r="L256" s="212"/>
      <c r="M256" s="225" t="s">
        <v>519</v>
      </c>
      <c r="N256" s="224">
        <v>1</v>
      </c>
      <c r="O256" s="223"/>
      <c r="P256" s="222">
        <v>1050</v>
      </c>
      <c r="Q256" s="221">
        <f t="shared" si="1"/>
        <v>1050</v>
      </c>
      <c r="R256" s="220"/>
      <c r="S256" s="219"/>
      <c r="T256" s="218"/>
      <c r="U256" s="218"/>
      <c r="V256" s="218"/>
      <c r="W256" s="218">
        <f>Table51013454[[#This Row],[العدد]]*Table51013454[[#This Row],[السعر الافرادي]]</f>
        <v>0</v>
      </c>
      <c r="X256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6" s="202">
        <f>Table51013454[[#This Row],[الكمية]]-Table51013454[[#This Row],[العدد]]</f>
        <v>1</v>
      </c>
      <c r="Z256" s="201">
        <f>Table51013454[[#This Row],[سعر/الحبة]]</f>
        <v>1050</v>
      </c>
      <c r="AA256" s="201">
        <f>Table51013454[[#This Row],[الإجمالي]]-Table51013454[[#This Row],[إجمالي المستبعد]]</f>
        <v>1050</v>
      </c>
      <c r="AB256" s="200">
        <v>0.15</v>
      </c>
      <c r="AC256" s="199"/>
      <c r="AD256" s="198" t="s">
        <v>55</v>
      </c>
      <c r="AE256" s="194"/>
      <c r="AF256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الشراء-الاستلام]]&lt;DATE(2017,1,1),Q256-AE256,0))</f>
        <v>0</v>
      </c>
      <c r="AG256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125.56849315068493</v>
      </c>
      <c r="AH256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6" s="196">
        <f>Table51013454[[#This Row],[اهلاك المستبعد
في 2017]]+Table51013454[[#This Row],[مجمع إهلاك المستبعد 
01-01-2017]]</f>
        <v>0</v>
      </c>
      <c r="AJ256" s="196">
        <f>Table51013454[[#This Row],[إجمالي المستبعد]]-Table51013454[[#This Row],[مجمع إهلاك المستبعد 
بتاريخ الأستبعاد]]</f>
        <v>0</v>
      </c>
      <c r="AK256" s="195"/>
      <c r="AL256" s="194">
        <f>IF(OR(Table51013454[[#This Row],[تاريخ الشراء-الاستلام]]="",Table51013454[[#This Row],[الإجمالي]]="",Table51013454[[#This Row],[العمر الافتراضي]]=""),"",IF(((AE256+AG256)-Table51013454[[#This Row],[مجمع إهلاك المستبعد 
بتاريخ الأستبعاد]])&lt;=0,0,((AE256+AG256)-Table51013454[[#This Row],[مجمع إهلاك المستبعد 
بتاريخ الأستبعاد]])))</f>
        <v>125.56849315068493</v>
      </c>
      <c r="AM256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الشراء-الاستلام]]&gt;DATE(2017,12,31),0,AA256-AL256)))</f>
        <v>924.43150684931504</v>
      </c>
    </row>
    <row r="257" spans="1:39" ht="77.25" hidden="1">
      <c r="A257" s="226">
        <f>IF(B257="","",SUBTOTAL(3,$B$6:B279))</f>
        <v>23</v>
      </c>
      <c r="B257" s="198" t="s">
        <v>521</v>
      </c>
      <c r="C257" s="215" t="s">
        <v>12</v>
      </c>
      <c r="D257" s="215" t="s">
        <v>488</v>
      </c>
      <c r="E257" s="198" t="s">
        <v>51</v>
      </c>
      <c r="F257" s="198" t="s">
        <v>81</v>
      </c>
      <c r="G257" s="198"/>
      <c r="H257" s="199" t="s">
        <v>72</v>
      </c>
      <c r="I257" s="198"/>
      <c r="J257" s="213"/>
      <c r="K257" s="213">
        <v>42809</v>
      </c>
      <c r="L257" s="212"/>
      <c r="M257" s="225" t="s">
        <v>519</v>
      </c>
      <c r="N257" s="224">
        <v>1</v>
      </c>
      <c r="O257" s="223"/>
      <c r="P257" s="222">
        <v>500</v>
      </c>
      <c r="Q257" s="221">
        <f t="shared" si="1"/>
        <v>500</v>
      </c>
      <c r="R257" s="220"/>
      <c r="S257" s="219"/>
      <c r="T257" s="218"/>
      <c r="U257" s="218"/>
      <c r="V257" s="218"/>
      <c r="W257" s="218">
        <f>Table51013454[[#This Row],[العدد]]*Table51013454[[#This Row],[السعر الافرادي]]</f>
        <v>0</v>
      </c>
      <c r="X25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7" s="202">
        <f>Table51013454[[#This Row],[الكمية]]-Table51013454[[#This Row],[العدد]]</f>
        <v>1</v>
      </c>
      <c r="Z257" s="201">
        <f>Table51013454[[#This Row],[سعر/الحبة]]</f>
        <v>500</v>
      </c>
      <c r="AA257" s="201">
        <f>Table51013454[[#This Row],[الإجمالي]]-Table51013454[[#This Row],[إجمالي المستبعد]]</f>
        <v>500</v>
      </c>
      <c r="AB257" s="200">
        <v>0.15</v>
      </c>
      <c r="AC257" s="199"/>
      <c r="AD257" s="198" t="s">
        <v>55</v>
      </c>
      <c r="AE257" s="194"/>
      <c r="AF257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الشراء-الاستلام]]&lt;DATE(2017,1,1),Q257-AE257,0))</f>
        <v>0</v>
      </c>
      <c r="AG257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59.794520547945204</v>
      </c>
      <c r="AH25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7" s="196">
        <f>Table51013454[[#This Row],[اهلاك المستبعد
في 2017]]+Table51013454[[#This Row],[مجمع إهلاك المستبعد 
01-01-2017]]</f>
        <v>0</v>
      </c>
      <c r="AJ257" s="196">
        <f>Table51013454[[#This Row],[إجمالي المستبعد]]-Table51013454[[#This Row],[مجمع إهلاك المستبعد 
بتاريخ الأستبعاد]]</f>
        <v>0</v>
      </c>
      <c r="AK257" s="195"/>
      <c r="AL257" s="194">
        <f>IF(OR(Table51013454[[#This Row],[تاريخ الشراء-الاستلام]]="",Table51013454[[#This Row],[الإجمالي]]="",Table51013454[[#This Row],[العمر الافتراضي]]=""),"",IF(((AE257+AG257)-Table51013454[[#This Row],[مجمع إهلاك المستبعد 
بتاريخ الأستبعاد]])&lt;=0,0,((AE257+AG257)-Table51013454[[#This Row],[مجمع إهلاك المستبعد 
بتاريخ الأستبعاد]])))</f>
        <v>59.794520547945204</v>
      </c>
      <c r="AM257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الشراء-الاستلام]]&gt;DATE(2017,12,31),0,AA257-AL257)))</f>
        <v>440.20547945205482</v>
      </c>
    </row>
    <row r="258" spans="1:39" ht="77.25" hidden="1">
      <c r="A258" s="226">
        <f>IF(B258="","",SUBTOTAL(3,$B$6:B279))</f>
        <v>23</v>
      </c>
      <c r="B258" s="198" t="s">
        <v>520</v>
      </c>
      <c r="C258" s="215" t="s">
        <v>12</v>
      </c>
      <c r="D258" s="215" t="s">
        <v>488</v>
      </c>
      <c r="E258" s="198" t="s">
        <v>51</v>
      </c>
      <c r="F258" s="198" t="s">
        <v>81</v>
      </c>
      <c r="G258" s="198"/>
      <c r="H258" s="199" t="s">
        <v>72</v>
      </c>
      <c r="I258" s="198"/>
      <c r="J258" s="213"/>
      <c r="K258" s="213">
        <v>42809</v>
      </c>
      <c r="L258" s="212"/>
      <c r="M258" s="225" t="s">
        <v>519</v>
      </c>
      <c r="N258" s="224">
        <v>1</v>
      </c>
      <c r="O258" s="223"/>
      <c r="P258" s="222">
        <v>1350</v>
      </c>
      <c r="Q258" s="221">
        <f t="shared" si="1"/>
        <v>1350</v>
      </c>
      <c r="R258" s="220"/>
      <c r="S258" s="219"/>
      <c r="T258" s="218"/>
      <c r="U258" s="218"/>
      <c r="V258" s="218"/>
      <c r="W258" s="218">
        <f>Table51013454[[#This Row],[العدد]]*Table51013454[[#This Row],[السعر الافرادي]]</f>
        <v>0</v>
      </c>
      <c r="X25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8" s="202">
        <f>Table51013454[[#This Row],[الكمية]]-Table51013454[[#This Row],[العدد]]</f>
        <v>1</v>
      </c>
      <c r="Z258" s="201">
        <f>Table51013454[[#This Row],[سعر/الحبة]]</f>
        <v>1350</v>
      </c>
      <c r="AA258" s="201">
        <f>Table51013454[[#This Row],[الإجمالي]]-Table51013454[[#This Row],[إجمالي المستبعد]]</f>
        <v>1350</v>
      </c>
      <c r="AB258" s="200">
        <v>0.15</v>
      </c>
      <c r="AC258" s="199"/>
      <c r="AD258" s="198" t="s">
        <v>55</v>
      </c>
      <c r="AE258" s="194"/>
      <c r="AF25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الشراء-الاستلام]]&lt;DATE(2017,1,1),Q258-AE258,0))</f>
        <v>0</v>
      </c>
      <c r="AG25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161.44520547945206</v>
      </c>
      <c r="AH25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8" s="196">
        <f>Table51013454[[#This Row],[اهلاك المستبعد
في 2017]]+Table51013454[[#This Row],[مجمع إهلاك المستبعد 
01-01-2017]]</f>
        <v>0</v>
      </c>
      <c r="AJ258" s="196">
        <f>Table51013454[[#This Row],[إجمالي المستبعد]]-Table51013454[[#This Row],[مجمع إهلاك المستبعد 
بتاريخ الأستبعاد]]</f>
        <v>0</v>
      </c>
      <c r="AK258" s="195"/>
      <c r="AL258" s="194">
        <f>IF(OR(Table51013454[[#This Row],[تاريخ الشراء-الاستلام]]="",Table51013454[[#This Row],[الإجمالي]]="",Table51013454[[#This Row],[العمر الافتراضي]]=""),"",IF(((AE258+AG258)-Table51013454[[#This Row],[مجمع إهلاك المستبعد 
بتاريخ الأستبعاد]])&lt;=0,0,((AE258+AG258)-Table51013454[[#This Row],[مجمع إهلاك المستبعد 
بتاريخ الأستبعاد]])))</f>
        <v>161.44520547945206</v>
      </c>
      <c r="AM25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الشراء-الاستلام]]&gt;DATE(2017,12,31),0,AA258-AL258)))</f>
        <v>1188.5547945205481</v>
      </c>
    </row>
    <row r="259" spans="1:39" ht="77.25" hidden="1">
      <c r="A259" s="226">
        <f>IF(B259="","",SUBTOTAL(3,$B$6:B279))</f>
        <v>23</v>
      </c>
      <c r="B259" s="198" t="s">
        <v>518</v>
      </c>
      <c r="C259" s="215" t="s">
        <v>12</v>
      </c>
      <c r="D259" s="215" t="s">
        <v>488</v>
      </c>
      <c r="E259" s="198" t="s">
        <v>51</v>
      </c>
      <c r="F259" s="198" t="s">
        <v>96</v>
      </c>
      <c r="G259" s="198"/>
      <c r="H259" s="199" t="s">
        <v>72</v>
      </c>
      <c r="I259" s="198"/>
      <c r="J259" s="213"/>
      <c r="K259" s="213">
        <v>42838</v>
      </c>
      <c r="L259" s="212"/>
      <c r="M259" s="225" t="s">
        <v>517</v>
      </c>
      <c r="N259" s="224">
        <v>1</v>
      </c>
      <c r="O259" s="223"/>
      <c r="P259" s="222">
        <v>2200</v>
      </c>
      <c r="Q259" s="221">
        <f t="shared" si="1"/>
        <v>2200</v>
      </c>
      <c r="R259" s="220"/>
      <c r="S259" s="219"/>
      <c r="T259" s="218"/>
      <c r="U259" s="218"/>
      <c r="V259" s="218"/>
      <c r="W259" s="218">
        <f>Table51013454[[#This Row],[العدد]]*Table51013454[[#This Row],[السعر الافرادي]]</f>
        <v>0</v>
      </c>
      <c r="X259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59" s="202">
        <f>Table51013454[[#This Row],[الكمية]]-Table51013454[[#This Row],[العدد]]</f>
        <v>1</v>
      </c>
      <c r="Z259" s="201">
        <f>Table51013454[[#This Row],[سعر/الحبة]]</f>
        <v>2200</v>
      </c>
      <c r="AA259" s="201">
        <f>Table51013454[[#This Row],[الإجمالي]]-Table51013454[[#This Row],[إجمالي المستبعد]]</f>
        <v>2200</v>
      </c>
      <c r="AB259" s="200">
        <v>0.15</v>
      </c>
      <c r="AC259" s="199"/>
      <c r="AD259" s="198" t="s">
        <v>55</v>
      </c>
      <c r="AE259" s="194"/>
      <c r="AF25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الشراء-الاستلام]]&lt;DATE(2017,1,1),Q259-AE259,0))</f>
        <v>0</v>
      </c>
      <c r="AG25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236.8767123287671</v>
      </c>
      <c r="AH25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59" s="196">
        <f>Table51013454[[#This Row],[اهلاك المستبعد
في 2017]]+Table51013454[[#This Row],[مجمع إهلاك المستبعد 
01-01-2017]]</f>
        <v>0</v>
      </c>
      <c r="AJ259" s="196">
        <f>Table51013454[[#This Row],[إجمالي المستبعد]]-Table51013454[[#This Row],[مجمع إهلاك المستبعد 
بتاريخ الأستبعاد]]</f>
        <v>0</v>
      </c>
      <c r="AK259" s="195"/>
      <c r="AL259" s="194">
        <f>IF(OR(Table51013454[[#This Row],[تاريخ الشراء-الاستلام]]="",Table51013454[[#This Row],[الإجمالي]]="",Table51013454[[#This Row],[العمر الافتراضي]]=""),"",IF(((AE259+AG259)-Table51013454[[#This Row],[مجمع إهلاك المستبعد 
بتاريخ الأستبعاد]])&lt;=0,0,((AE259+AG259)-Table51013454[[#This Row],[مجمع إهلاك المستبعد 
بتاريخ الأستبعاد]])))</f>
        <v>236.8767123287671</v>
      </c>
      <c r="AM25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الشراء-الاستلام]]&gt;DATE(2017,12,31),0,AA259-AL259)))</f>
        <v>1963.1232876712329</v>
      </c>
    </row>
    <row r="260" spans="1:39" ht="77.25" hidden="1">
      <c r="A260" s="226">
        <f>IF(B260="","",SUBTOTAL(3,$B$6:B279))</f>
        <v>23</v>
      </c>
      <c r="B260" s="198" t="s">
        <v>516</v>
      </c>
      <c r="C260" s="215" t="s">
        <v>12</v>
      </c>
      <c r="D260" s="215" t="s">
        <v>488</v>
      </c>
      <c r="E260" s="198" t="s">
        <v>51</v>
      </c>
      <c r="F260" s="198" t="s">
        <v>52</v>
      </c>
      <c r="G260" s="198" t="s">
        <v>72</v>
      </c>
      <c r="H260" s="199" t="s">
        <v>72</v>
      </c>
      <c r="I260" s="198"/>
      <c r="J260" s="213"/>
      <c r="K260" s="213">
        <v>42870</v>
      </c>
      <c r="L260" s="212"/>
      <c r="M260" s="225" t="s">
        <v>504</v>
      </c>
      <c r="N260" s="224">
        <v>5</v>
      </c>
      <c r="O260" s="223"/>
      <c r="P260" s="222">
        <v>1260</v>
      </c>
      <c r="Q260" s="221">
        <f t="shared" si="1"/>
        <v>6300</v>
      </c>
      <c r="R260" s="220"/>
      <c r="S260" s="219"/>
      <c r="T260" s="218"/>
      <c r="U260" s="218"/>
      <c r="V260" s="218"/>
      <c r="W260" s="218">
        <f>Table51013454[[#This Row],[العدد]]*Table51013454[[#This Row],[السعر الافرادي]]</f>
        <v>0</v>
      </c>
      <c r="X260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0" s="202">
        <f>Table51013454[[#This Row],[الكمية]]-Table51013454[[#This Row],[العدد]]</f>
        <v>5</v>
      </c>
      <c r="Z260" s="201">
        <f>Table51013454[[#This Row],[سعر/الحبة]]</f>
        <v>1260</v>
      </c>
      <c r="AA260" s="201">
        <f>Table51013454[[#This Row],[الإجمالي]]-Table51013454[[#This Row],[إجمالي المستبعد]]</f>
        <v>6300</v>
      </c>
      <c r="AB260" s="200">
        <v>0.15</v>
      </c>
      <c r="AC260" s="199"/>
      <c r="AD260" s="198" t="s">
        <v>55</v>
      </c>
      <c r="AE260" s="194"/>
      <c r="AF260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الشراء-الاستلام]]&lt;DATE(2017,1,1),Q260-AE260,0))</f>
        <v>0</v>
      </c>
      <c r="AG260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595.47945205479459</v>
      </c>
      <c r="AH26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0" s="196">
        <f>Table51013454[[#This Row],[اهلاك المستبعد
في 2017]]+Table51013454[[#This Row],[مجمع إهلاك المستبعد 
01-01-2017]]</f>
        <v>0</v>
      </c>
      <c r="AJ260" s="196">
        <f>Table51013454[[#This Row],[إجمالي المستبعد]]-Table51013454[[#This Row],[مجمع إهلاك المستبعد 
بتاريخ الأستبعاد]]</f>
        <v>0</v>
      </c>
      <c r="AK260" s="195"/>
      <c r="AL260" s="194">
        <f>IF(OR(Table51013454[[#This Row],[تاريخ الشراء-الاستلام]]="",Table51013454[[#This Row],[الإجمالي]]="",Table51013454[[#This Row],[العمر الافتراضي]]=""),"",IF(((AE260+AG260)-Table51013454[[#This Row],[مجمع إهلاك المستبعد 
بتاريخ الأستبعاد]])&lt;=0,0,((AE260+AG260)-Table51013454[[#This Row],[مجمع إهلاك المستبعد 
بتاريخ الأستبعاد]])))</f>
        <v>595.47945205479459</v>
      </c>
      <c r="AM260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الشراء-الاستلام]]&gt;DATE(2017,12,31),0,AA260-AL260)))</f>
        <v>5704.5205479452052</v>
      </c>
    </row>
    <row r="261" spans="1:39" ht="77.25" hidden="1">
      <c r="A261" s="226">
        <f>IF(B261="","",SUBTOTAL(3,$B$6:B279))</f>
        <v>23</v>
      </c>
      <c r="B261" s="198" t="s">
        <v>515</v>
      </c>
      <c r="C261" s="215" t="s">
        <v>12</v>
      </c>
      <c r="D261" s="215" t="s">
        <v>488</v>
      </c>
      <c r="E261" s="198" t="s">
        <v>51</v>
      </c>
      <c r="F261" s="198" t="s">
        <v>437</v>
      </c>
      <c r="G261" s="198" t="s">
        <v>72</v>
      </c>
      <c r="H261" s="199" t="s">
        <v>72</v>
      </c>
      <c r="I261" s="198"/>
      <c r="J261" s="213"/>
      <c r="K261" s="213">
        <v>42870</v>
      </c>
      <c r="L261" s="212"/>
      <c r="M261" s="225" t="s">
        <v>504</v>
      </c>
      <c r="N261" s="224">
        <v>2</v>
      </c>
      <c r="O261" s="223"/>
      <c r="P261" s="222">
        <v>900</v>
      </c>
      <c r="Q261" s="221">
        <f t="shared" si="1"/>
        <v>1800</v>
      </c>
      <c r="R261" s="220"/>
      <c r="S261" s="219"/>
      <c r="T261" s="218"/>
      <c r="U261" s="218"/>
      <c r="V261" s="218"/>
      <c r="W261" s="218">
        <f>Table51013454[[#This Row],[العدد]]*Table51013454[[#This Row],[السعر الافرادي]]</f>
        <v>0</v>
      </c>
      <c r="X261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1" s="202">
        <f>Table51013454[[#This Row],[الكمية]]-Table51013454[[#This Row],[العدد]]</f>
        <v>2</v>
      </c>
      <c r="Z261" s="201">
        <f>Table51013454[[#This Row],[سعر/الحبة]]</f>
        <v>900</v>
      </c>
      <c r="AA261" s="201">
        <f>Table51013454[[#This Row],[الإجمالي]]-Table51013454[[#This Row],[إجمالي المستبعد]]</f>
        <v>1800</v>
      </c>
      <c r="AB261" s="200">
        <v>0.15</v>
      </c>
      <c r="AC261" s="199"/>
      <c r="AD261" s="198" t="s">
        <v>55</v>
      </c>
      <c r="AE261" s="194"/>
      <c r="AF261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الشراء-الاستلام]]&lt;DATE(2017,1,1),Q261-AE261,0))</f>
        <v>0</v>
      </c>
      <c r="AG261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170.13698630136986</v>
      </c>
      <c r="AH26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1" s="196">
        <f>Table51013454[[#This Row],[اهلاك المستبعد
في 2017]]+Table51013454[[#This Row],[مجمع إهلاك المستبعد 
01-01-2017]]</f>
        <v>0</v>
      </c>
      <c r="AJ261" s="196">
        <f>Table51013454[[#This Row],[إجمالي المستبعد]]-Table51013454[[#This Row],[مجمع إهلاك المستبعد 
بتاريخ الأستبعاد]]</f>
        <v>0</v>
      </c>
      <c r="AK261" s="195"/>
      <c r="AL261" s="194">
        <f>IF(OR(Table51013454[[#This Row],[تاريخ الشراء-الاستلام]]="",Table51013454[[#This Row],[الإجمالي]]="",Table51013454[[#This Row],[العمر الافتراضي]]=""),"",IF(((AE261+AG261)-Table51013454[[#This Row],[مجمع إهلاك المستبعد 
بتاريخ الأستبعاد]])&lt;=0,0,((AE261+AG261)-Table51013454[[#This Row],[مجمع إهلاك المستبعد 
بتاريخ الأستبعاد]])))</f>
        <v>170.13698630136986</v>
      </c>
      <c r="AM261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الشراء-الاستلام]]&gt;DATE(2017,12,31),0,AA261-AL261)))</f>
        <v>1629.8630136986301</v>
      </c>
    </row>
    <row r="262" spans="1:39" ht="77.25" hidden="1">
      <c r="A262" s="226">
        <f>IF(B262="","",SUBTOTAL(3,$B$6:B279))</f>
        <v>23</v>
      </c>
      <c r="B262" s="198" t="s">
        <v>514</v>
      </c>
      <c r="C262" s="215" t="s">
        <v>12</v>
      </c>
      <c r="D262" s="215" t="s">
        <v>488</v>
      </c>
      <c r="E262" s="198" t="s">
        <v>51</v>
      </c>
      <c r="F262" s="198" t="s">
        <v>437</v>
      </c>
      <c r="G262" s="198" t="s">
        <v>72</v>
      </c>
      <c r="H262" s="199" t="s">
        <v>72</v>
      </c>
      <c r="I262" s="198"/>
      <c r="J262" s="213"/>
      <c r="K262" s="213">
        <v>42870</v>
      </c>
      <c r="L262" s="212"/>
      <c r="M262" s="225" t="s">
        <v>504</v>
      </c>
      <c r="N262" s="224">
        <v>4</v>
      </c>
      <c r="O262" s="223"/>
      <c r="P262" s="222">
        <v>412.5</v>
      </c>
      <c r="Q262" s="221">
        <f t="shared" ref="Q262:Q279" si="2">P262*N262</f>
        <v>1650</v>
      </c>
      <c r="R262" s="220"/>
      <c r="S262" s="219"/>
      <c r="T262" s="218"/>
      <c r="U262" s="218"/>
      <c r="V262" s="218"/>
      <c r="W262" s="218">
        <f>Table51013454[[#This Row],[العدد]]*Table51013454[[#This Row],[السعر الافرادي]]</f>
        <v>0</v>
      </c>
      <c r="X262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2" s="202">
        <f>Table51013454[[#This Row],[الكمية]]-Table51013454[[#This Row],[العدد]]</f>
        <v>4</v>
      </c>
      <c r="Z262" s="201">
        <f>Table51013454[[#This Row],[سعر/الحبة]]</f>
        <v>412.5</v>
      </c>
      <c r="AA262" s="201">
        <f>Table51013454[[#This Row],[الإجمالي]]-Table51013454[[#This Row],[إجمالي المستبعد]]</f>
        <v>1650</v>
      </c>
      <c r="AB262" s="200">
        <v>0.15</v>
      </c>
      <c r="AC262" s="199"/>
      <c r="AD262" s="198" t="s">
        <v>55</v>
      </c>
      <c r="AE262" s="194"/>
      <c r="AF262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الشراء-الاستلام]]&lt;DATE(2017,1,1),Q262-AE262,0))</f>
        <v>0</v>
      </c>
      <c r="AG262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155.95890410958904</v>
      </c>
      <c r="AH26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2" s="196">
        <f>Table51013454[[#This Row],[اهلاك المستبعد
في 2017]]+Table51013454[[#This Row],[مجمع إهلاك المستبعد 
01-01-2017]]</f>
        <v>0</v>
      </c>
      <c r="AJ262" s="196">
        <f>Table51013454[[#This Row],[إجمالي المستبعد]]-Table51013454[[#This Row],[مجمع إهلاك المستبعد 
بتاريخ الأستبعاد]]</f>
        <v>0</v>
      </c>
      <c r="AK262" s="195"/>
      <c r="AL262" s="194">
        <f>IF(OR(Table51013454[[#This Row],[تاريخ الشراء-الاستلام]]="",Table51013454[[#This Row],[الإجمالي]]="",Table51013454[[#This Row],[العمر الافتراضي]]=""),"",IF(((AE262+AG262)-Table51013454[[#This Row],[مجمع إهلاك المستبعد 
بتاريخ الأستبعاد]])&lt;=0,0,((AE262+AG262)-Table51013454[[#This Row],[مجمع إهلاك المستبعد 
بتاريخ الأستبعاد]])))</f>
        <v>155.95890410958904</v>
      </c>
      <c r="AM262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الشراء-الاستلام]]&gt;DATE(2017,12,31),0,AA262-AL262)))</f>
        <v>1494.041095890411</v>
      </c>
    </row>
    <row r="263" spans="1:39" ht="77.25" hidden="1">
      <c r="A263" s="226">
        <f>IF(B263="","",SUBTOTAL(3,$B$6:B279))</f>
        <v>23</v>
      </c>
      <c r="B263" s="198" t="s">
        <v>513</v>
      </c>
      <c r="C263" s="215" t="s">
        <v>12</v>
      </c>
      <c r="D263" s="215" t="s">
        <v>488</v>
      </c>
      <c r="E263" s="198" t="s">
        <v>51</v>
      </c>
      <c r="F263" s="198" t="s">
        <v>96</v>
      </c>
      <c r="G263" s="198"/>
      <c r="H263" s="199" t="s">
        <v>72</v>
      </c>
      <c r="I263" s="198"/>
      <c r="J263" s="213"/>
      <c r="K263" s="213">
        <v>43021</v>
      </c>
      <c r="L263" s="212"/>
      <c r="M263" s="225" t="s">
        <v>512</v>
      </c>
      <c r="N263" s="224">
        <v>1</v>
      </c>
      <c r="O263" s="223"/>
      <c r="P263" s="222">
        <v>2500</v>
      </c>
      <c r="Q263" s="221">
        <f t="shared" si="2"/>
        <v>2500</v>
      </c>
      <c r="R263" s="220"/>
      <c r="S263" s="219"/>
      <c r="T263" s="218"/>
      <c r="U263" s="218"/>
      <c r="V263" s="218"/>
      <c r="W263" s="218">
        <f>Table51013454[[#This Row],[العدد]]*Table51013454[[#This Row],[السعر الافرادي]]</f>
        <v>0</v>
      </c>
      <c r="X26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3" s="202">
        <f>Table51013454[[#This Row],[الكمية]]-Table51013454[[#This Row],[العدد]]</f>
        <v>1</v>
      </c>
      <c r="Z263" s="201">
        <f>Table51013454[[#This Row],[سعر/الحبة]]</f>
        <v>2500</v>
      </c>
      <c r="AA263" s="201">
        <f>Table51013454[[#This Row],[الإجمالي]]-Table51013454[[#This Row],[إجمالي المستبعد]]</f>
        <v>2500</v>
      </c>
      <c r="AB263" s="200">
        <v>0.15</v>
      </c>
      <c r="AC263" s="199"/>
      <c r="AD263" s="198" t="s">
        <v>55</v>
      </c>
      <c r="AE263" s="194"/>
      <c r="AF26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الشراء-الاستلام]]&lt;DATE(2017,1,1),Q263-AE263,0))</f>
        <v>0</v>
      </c>
      <c r="AG26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81.164383561643845</v>
      </c>
      <c r="AH26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3" s="196">
        <f>Table51013454[[#This Row],[اهلاك المستبعد
في 2017]]+Table51013454[[#This Row],[مجمع إهلاك المستبعد 
01-01-2017]]</f>
        <v>0</v>
      </c>
      <c r="AJ263" s="196">
        <f>Table51013454[[#This Row],[إجمالي المستبعد]]-Table51013454[[#This Row],[مجمع إهلاك المستبعد 
بتاريخ الأستبعاد]]</f>
        <v>0</v>
      </c>
      <c r="AK263" s="195"/>
      <c r="AL263" s="194">
        <f>IF(OR(Table51013454[[#This Row],[تاريخ الشراء-الاستلام]]="",Table51013454[[#This Row],[الإجمالي]]="",Table51013454[[#This Row],[العمر الافتراضي]]=""),"",IF(((AE263+AG263)-Table51013454[[#This Row],[مجمع إهلاك المستبعد 
بتاريخ الأستبعاد]])&lt;=0,0,((AE263+AG263)-Table51013454[[#This Row],[مجمع إهلاك المستبعد 
بتاريخ الأستبعاد]])))</f>
        <v>81.164383561643845</v>
      </c>
      <c r="AM26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الشراء-الاستلام]]&gt;DATE(2017,12,31),0,AA263-AL263)))</f>
        <v>2418.8356164383563</v>
      </c>
    </row>
    <row r="264" spans="1:39" ht="77.25" hidden="1">
      <c r="A264" s="226">
        <f>IF(B264="","",SUBTOTAL(3,$B$6:B279))</f>
        <v>23</v>
      </c>
      <c r="B264" s="198" t="s">
        <v>511</v>
      </c>
      <c r="C264" s="215" t="s">
        <v>12</v>
      </c>
      <c r="D264" s="215" t="s">
        <v>510</v>
      </c>
      <c r="E264" s="198" t="s">
        <v>509</v>
      </c>
      <c r="F264" s="198" t="s">
        <v>437</v>
      </c>
      <c r="G264" s="198" t="s">
        <v>437</v>
      </c>
      <c r="H264" s="199" t="s">
        <v>65</v>
      </c>
      <c r="I264" s="198"/>
      <c r="J264" s="213"/>
      <c r="K264" s="213">
        <v>43070</v>
      </c>
      <c r="L264" s="212"/>
      <c r="M264" s="225" t="s">
        <v>508</v>
      </c>
      <c r="N264" s="224">
        <v>1</v>
      </c>
      <c r="O264" s="223"/>
      <c r="P264" s="222">
        <v>300</v>
      </c>
      <c r="Q264" s="221">
        <f t="shared" si="2"/>
        <v>300</v>
      </c>
      <c r="R264" s="220"/>
      <c r="S264" s="219"/>
      <c r="T264" s="218"/>
      <c r="U264" s="218"/>
      <c r="V264" s="218"/>
      <c r="W264" s="218">
        <f>Table51013454[[#This Row],[العدد]]*Table51013454[[#This Row],[السعر الافرادي]]</f>
        <v>0</v>
      </c>
      <c r="X264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4" s="202">
        <f>Table51013454[[#This Row],[الكمية]]-Table51013454[[#This Row],[العدد]]</f>
        <v>1</v>
      </c>
      <c r="Z264" s="201">
        <f>Table51013454[[#This Row],[سعر/الحبة]]</f>
        <v>300</v>
      </c>
      <c r="AA264" s="201">
        <f>Table51013454[[#This Row],[الإجمالي]]-Table51013454[[#This Row],[إجمالي المستبعد]]</f>
        <v>300</v>
      </c>
      <c r="AB264" s="200">
        <v>0.15</v>
      </c>
      <c r="AC264" s="199"/>
      <c r="AD264" s="198" t="s">
        <v>55</v>
      </c>
      <c r="AE264" s="194"/>
      <c r="AF264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الشراء-الاستلام]]&lt;DATE(2017,1,1),Q264-AE264,0))</f>
        <v>0</v>
      </c>
      <c r="AG264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3.6986301369863011</v>
      </c>
      <c r="AH264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4" s="196">
        <f>Table51013454[[#This Row],[اهلاك المستبعد
في 2017]]+Table51013454[[#This Row],[مجمع إهلاك المستبعد 
01-01-2017]]</f>
        <v>0</v>
      </c>
      <c r="AJ264" s="196">
        <f>Table51013454[[#This Row],[إجمالي المستبعد]]-Table51013454[[#This Row],[مجمع إهلاك المستبعد 
بتاريخ الأستبعاد]]</f>
        <v>0</v>
      </c>
      <c r="AK264" s="195"/>
      <c r="AL264" s="194">
        <f>IF(OR(Table51013454[[#This Row],[تاريخ الشراء-الاستلام]]="",Table51013454[[#This Row],[الإجمالي]]="",Table51013454[[#This Row],[العمر الافتراضي]]=""),"",IF(((AE264+AG264)-Table51013454[[#This Row],[مجمع إهلاك المستبعد 
بتاريخ الأستبعاد]])&lt;=0,0,((AE264+AG264)-Table51013454[[#This Row],[مجمع إهلاك المستبعد 
بتاريخ الأستبعاد]])))</f>
        <v>3.6986301369863011</v>
      </c>
      <c r="AM264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الشراء-الاستلام]]&gt;DATE(2017,12,31),0,AA264-AL264)))</f>
        <v>296.30136986301369</v>
      </c>
    </row>
    <row r="265" spans="1:39" ht="77.25" hidden="1">
      <c r="A265" s="226">
        <f>IF(B265="","",SUBTOTAL(3,$B$6:B279))</f>
        <v>23</v>
      </c>
      <c r="B265" s="198" t="s">
        <v>507</v>
      </c>
      <c r="C265" s="215" t="s">
        <v>12</v>
      </c>
      <c r="D265" s="215" t="s">
        <v>492</v>
      </c>
      <c r="E265" s="198" t="s">
        <v>491</v>
      </c>
      <c r="F265" s="198" t="s">
        <v>437</v>
      </c>
      <c r="G265" s="198" t="s">
        <v>437</v>
      </c>
      <c r="H265" s="199" t="s">
        <v>65</v>
      </c>
      <c r="I265" s="198"/>
      <c r="J265" s="213"/>
      <c r="K265" s="213">
        <v>42752</v>
      </c>
      <c r="L265" s="212"/>
      <c r="M265" s="225" t="s">
        <v>506</v>
      </c>
      <c r="N265" s="224">
        <v>1</v>
      </c>
      <c r="O265" s="223"/>
      <c r="P265" s="222">
        <v>650</v>
      </c>
      <c r="Q265" s="221">
        <f t="shared" si="2"/>
        <v>650</v>
      </c>
      <c r="R265" s="220"/>
      <c r="S265" s="219"/>
      <c r="T265" s="218"/>
      <c r="U265" s="218"/>
      <c r="V265" s="218"/>
      <c r="W265" s="218">
        <f>Table51013454[[#This Row],[العدد]]*Table51013454[[#This Row],[السعر الافرادي]]</f>
        <v>0</v>
      </c>
      <c r="X265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5" s="202">
        <f>Table51013454[[#This Row],[الكمية]]-Table51013454[[#This Row],[العدد]]</f>
        <v>1</v>
      </c>
      <c r="Z265" s="201">
        <f>Table51013454[[#This Row],[سعر/الحبة]]</f>
        <v>650</v>
      </c>
      <c r="AA265" s="201">
        <f>Table51013454[[#This Row],[الإجمالي]]-Table51013454[[#This Row],[إجمالي المستبعد]]</f>
        <v>650</v>
      </c>
      <c r="AB265" s="200">
        <v>0.15</v>
      </c>
      <c r="AC265" s="199"/>
      <c r="AD265" s="198" t="s">
        <v>55</v>
      </c>
      <c r="AE265" s="194"/>
      <c r="AF26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الشراء-الاستلام]]&lt;DATE(2017,1,1),Q265-AE265,0))</f>
        <v>0</v>
      </c>
      <c r="AG26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92.958904109589042</v>
      </c>
      <c r="AH26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5" s="196">
        <f>Table51013454[[#This Row],[اهلاك المستبعد
في 2017]]+Table51013454[[#This Row],[مجمع إهلاك المستبعد 
01-01-2017]]</f>
        <v>0</v>
      </c>
      <c r="AJ265" s="196">
        <f>Table51013454[[#This Row],[إجمالي المستبعد]]-Table51013454[[#This Row],[مجمع إهلاك المستبعد 
بتاريخ الأستبعاد]]</f>
        <v>0</v>
      </c>
      <c r="AK265" s="195"/>
      <c r="AL265" s="194">
        <f>IF(OR(Table51013454[[#This Row],[تاريخ الشراء-الاستلام]]="",Table51013454[[#This Row],[الإجمالي]]="",Table51013454[[#This Row],[العمر الافتراضي]]=""),"",IF(((AE265+AG265)-Table51013454[[#This Row],[مجمع إهلاك المستبعد 
بتاريخ الأستبعاد]])&lt;=0,0,((AE265+AG265)-Table51013454[[#This Row],[مجمع إهلاك المستبعد 
بتاريخ الأستبعاد]])))</f>
        <v>92.958904109589042</v>
      </c>
      <c r="AM26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الشراء-الاستلام]]&gt;DATE(2017,12,31),0,AA265-AL265)))</f>
        <v>557.04109589041093</v>
      </c>
    </row>
    <row r="266" spans="1:39" ht="77.25" hidden="1">
      <c r="A266" s="226">
        <f>IF(B266="","",SUBTOTAL(3,$B$6:B279))</f>
        <v>23</v>
      </c>
      <c r="B266" s="198" t="s">
        <v>503</v>
      </c>
      <c r="C266" s="215" t="s">
        <v>12</v>
      </c>
      <c r="D266" s="215" t="s">
        <v>492</v>
      </c>
      <c r="E266" s="198" t="s">
        <v>491</v>
      </c>
      <c r="F266" s="198" t="s">
        <v>437</v>
      </c>
      <c r="G266" s="198" t="s">
        <v>437</v>
      </c>
      <c r="H266" s="199" t="s">
        <v>65</v>
      </c>
      <c r="I266" s="198"/>
      <c r="J266" s="213"/>
      <c r="K266" s="213">
        <v>42752</v>
      </c>
      <c r="L266" s="212"/>
      <c r="M266" s="225" t="s">
        <v>506</v>
      </c>
      <c r="N266" s="224">
        <v>10</v>
      </c>
      <c r="O266" s="223"/>
      <c r="P266" s="222">
        <v>399</v>
      </c>
      <c r="Q266" s="221">
        <f t="shared" si="2"/>
        <v>3990</v>
      </c>
      <c r="R266" s="220"/>
      <c r="S266" s="219"/>
      <c r="T266" s="218"/>
      <c r="U266" s="218"/>
      <c r="V266" s="218"/>
      <c r="W266" s="218">
        <f>Table51013454[[#This Row],[العدد]]*Table51013454[[#This Row],[السعر الافرادي]]</f>
        <v>0</v>
      </c>
      <c r="X266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6" s="202">
        <f>Table51013454[[#This Row],[الكمية]]-Table51013454[[#This Row],[العدد]]</f>
        <v>10</v>
      </c>
      <c r="Z266" s="201">
        <f>Table51013454[[#This Row],[سعر/الحبة]]</f>
        <v>399</v>
      </c>
      <c r="AA266" s="201">
        <f>Table51013454[[#This Row],[الإجمالي]]-Table51013454[[#This Row],[إجمالي المستبعد]]</f>
        <v>3990</v>
      </c>
      <c r="AB266" s="200">
        <v>0.15</v>
      </c>
      <c r="AC266" s="199"/>
      <c r="AD266" s="198" t="s">
        <v>55</v>
      </c>
      <c r="AE266" s="194"/>
      <c r="AF266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الشراء-الاستلام]]&lt;DATE(2017,1,1),Q266-AE266,0))</f>
        <v>0</v>
      </c>
      <c r="AG266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570.62465753424658</v>
      </c>
      <c r="AH266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6" s="196">
        <f>Table51013454[[#This Row],[اهلاك المستبعد
في 2017]]+Table51013454[[#This Row],[مجمع إهلاك المستبعد 
01-01-2017]]</f>
        <v>0</v>
      </c>
      <c r="AJ266" s="196">
        <f>Table51013454[[#This Row],[إجمالي المستبعد]]-Table51013454[[#This Row],[مجمع إهلاك المستبعد 
بتاريخ الأستبعاد]]</f>
        <v>0</v>
      </c>
      <c r="AK266" s="195"/>
      <c r="AL266" s="194">
        <f>IF(OR(Table51013454[[#This Row],[تاريخ الشراء-الاستلام]]="",Table51013454[[#This Row],[الإجمالي]]="",Table51013454[[#This Row],[العمر الافتراضي]]=""),"",IF(((AE266+AG266)-Table51013454[[#This Row],[مجمع إهلاك المستبعد 
بتاريخ الأستبعاد]])&lt;=0,0,((AE266+AG266)-Table51013454[[#This Row],[مجمع إهلاك المستبعد 
بتاريخ الأستبعاد]])))</f>
        <v>570.62465753424658</v>
      </c>
      <c r="AM266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الشراء-الاستلام]]&gt;DATE(2017,12,31),0,AA266-AL266)))</f>
        <v>3419.3753424657534</v>
      </c>
    </row>
    <row r="267" spans="1:39" ht="77.25" hidden="1">
      <c r="A267" s="226">
        <f>IF(B267="","",SUBTOTAL(3,$B$6:B279))</f>
        <v>23</v>
      </c>
      <c r="B267" s="198" t="s">
        <v>505</v>
      </c>
      <c r="C267" s="215" t="s">
        <v>12</v>
      </c>
      <c r="D267" s="215" t="s">
        <v>492</v>
      </c>
      <c r="E267" s="198" t="s">
        <v>491</v>
      </c>
      <c r="F267" s="198" t="s">
        <v>437</v>
      </c>
      <c r="G267" s="198" t="s">
        <v>437</v>
      </c>
      <c r="H267" s="199" t="s">
        <v>65</v>
      </c>
      <c r="I267" s="198"/>
      <c r="J267" s="213"/>
      <c r="K267" s="213">
        <v>42858</v>
      </c>
      <c r="L267" s="212"/>
      <c r="M267" s="225" t="s">
        <v>504</v>
      </c>
      <c r="N267" s="224">
        <v>4</v>
      </c>
      <c r="O267" s="223"/>
      <c r="P267" s="222">
        <v>1414</v>
      </c>
      <c r="Q267" s="221">
        <f t="shared" si="2"/>
        <v>5656</v>
      </c>
      <c r="R267" s="220"/>
      <c r="S267" s="219"/>
      <c r="T267" s="218"/>
      <c r="U267" s="218"/>
      <c r="V267" s="218"/>
      <c r="W267" s="218">
        <f>Table51013454[[#This Row],[العدد]]*Table51013454[[#This Row],[السعر الافرادي]]</f>
        <v>0</v>
      </c>
      <c r="X267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7" s="202">
        <f>Table51013454[[#This Row],[الكمية]]-Table51013454[[#This Row],[العدد]]</f>
        <v>4</v>
      </c>
      <c r="Z267" s="201">
        <f>Table51013454[[#This Row],[سعر/الحبة]]</f>
        <v>1414</v>
      </c>
      <c r="AA267" s="201">
        <f>Table51013454[[#This Row],[الإجمالي]]-Table51013454[[#This Row],[إجمالي المستبعد]]</f>
        <v>5656</v>
      </c>
      <c r="AB267" s="200">
        <v>0.15</v>
      </c>
      <c r="AC267" s="199"/>
      <c r="AD267" s="198" t="s">
        <v>55</v>
      </c>
      <c r="AE267" s="194"/>
      <c r="AF267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الشراء-الاستلام]]&lt;DATE(2017,1,1),Q267-AE267,0))</f>
        <v>0</v>
      </c>
      <c r="AG267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562.50082191780825</v>
      </c>
      <c r="AH26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7" s="196">
        <f>Table51013454[[#This Row],[اهلاك المستبعد
في 2017]]+Table51013454[[#This Row],[مجمع إهلاك المستبعد 
01-01-2017]]</f>
        <v>0</v>
      </c>
      <c r="AJ267" s="196">
        <f>Table51013454[[#This Row],[إجمالي المستبعد]]-Table51013454[[#This Row],[مجمع إهلاك المستبعد 
بتاريخ الأستبعاد]]</f>
        <v>0</v>
      </c>
      <c r="AK267" s="195"/>
      <c r="AL267" s="194">
        <f>IF(OR(Table51013454[[#This Row],[تاريخ الشراء-الاستلام]]="",Table51013454[[#This Row],[الإجمالي]]="",Table51013454[[#This Row],[العمر الافتراضي]]=""),"",IF(((AE267+AG267)-Table51013454[[#This Row],[مجمع إهلاك المستبعد 
بتاريخ الأستبعاد]])&lt;=0,0,((AE267+AG267)-Table51013454[[#This Row],[مجمع إهلاك المستبعد 
بتاريخ الأستبعاد]])))</f>
        <v>562.50082191780825</v>
      </c>
      <c r="AM267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الشراء-الاستلام]]&gt;DATE(2017,12,31),0,AA267-AL267)))</f>
        <v>5093.499178082192</v>
      </c>
    </row>
    <row r="268" spans="1:39" ht="77.25" hidden="1">
      <c r="A268" s="226">
        <f>IF(B268="","",SUBTOTAL(3,$B$6:B279))</f>
        <v>23</v>
      </c>
      <c r="B268" s="198" t="s">
        <v>503</v>
      </c>
      <c r="C268" s="215" t="s">
        <v>12</v>
      </c>
      <c r="D268" s="215" t="s">
        <v>492</v>
      </c>
      <c r="E268" s="198" t="s">
        <v>491</v>
      </c>
      <c r="F268" s="198" t="s">
        <v>437</v>
      </c>
      <c r="G268" s="198" t="s">
        <v>437</v>
      </c>
      <c r="H268" s="199" t="s">
        <v>65</v>
      </c>
      <c r="I268" s="198"/>
      <c r="J268" s="213"/>
      <c r="K268" s="213">
        <v>42858</v>
      </c>
      <c r="L268" s="212"/>
      <c r="M268" s="225" t="s">
        <v>502</v>
      </c>
      <c r="N268" s="224">
        <v>5</v>
      </c>
      <c r="O268" s="223"/>
      <c r="P268" s="222">
        <v>399</v>
      </c>
      <c r="Q268" s="221">
        <f t="shared" si="2"/>
        <v>1995</v>
      </c>
      <c r="R268" s="220"/>
      <c r="S268" s="219"/>
      <c r="T268" s="218"/>
      <c r="U268" s="218"/>
      <c r="V268" s="218"/>
      <c r="W268" s="218">
        <f>Table51013454[[#This Row],[العدد]]*Table51013454[[#This Row],[السعر الافرادي]]</f>
        <v>0</v>
      </c>
      <c r="X268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8" s="202">
        <f>Table51013454[[#This Row],[الكمية]]-Table51013454[[#This Row],[العدد]]</f>
        <v>5</v>
      </c>
      <c r="Z268" s="201">
        <f>Table51013454[[#This Row],[سعر/الحبة]]</f>
        <v>399</v>
      </c>
      <c r="AA268" s="201">
        <f>Table51013454[[#This Row],[الإجمالي]]-Table51013454[[#This Row],[إجمالي المستبعد]]</f>
        <v>1995</v>
      </c>
      <c r="AB268" s="200">
        <v>0.15</v>
      </c>
      <c r="AC268" s="199"/>
      <c r="AD268" s="198" t="s">
        <v>55</v>
      </c>
      <c r="AE268" s="194"/>
      <c r="AF26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الشراء-الاستلام]]&lt;DATE(2017,1,1),Q268-AE268,0))</f>
        <v>0</v>
      </c>
      <c r="AG26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198.40684931506848</v>
      </c>
      <c r="AH26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8" s="196">
        <f>Table51013454[[#This Row],[اهلاك المستبعد
في 2017]]+Table51013454[[#This Row],[مجمع إهلاك المستبعد 
01-01-2017]]</f>
        <v>0</v>
      </c>
      <c r="AJ268" s="196">
        <f>Table51013454[[#This Row],[إجمالي المستبعد]]-Table51013454[[#This Row],[مجمع إهلاك المستبعد 
بتاريخ الأستبعاد]]</f>
        <v>0</v>
      </c>
      <c r="AK268" s="195"/>
      <c r="AL268" s="194">
        <f>IF(OR(Table51013454[[#This Row],[تاريخ الشراء-الاستلام]]="",Table51013454[[#This Row],[الإجمالي]]="",Table51013454[[#This Row],[العمر الافتراضي]]=""),"",IF(((AE268+AG268)-Table51013454[[#This Row],[مجمع إهلاك المستبعد 
بتاريخ الأستبعاد]])&lt;=0,0,((AE268+AG268)-Table51013454[[#This Row],[مجمع إهلاك المستبعد 
بتاريخ الأستبعاد]])))</f>
        <v>198.40684931506848</v>
      </c>
      <c r="AM26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الشراء-الاستلام]]&gt;DATE(2017,12,31),0,AA268-AL268)))</f>
        <v>1796.5931506849315</v>
      </c>
    </row>
    <row r="269" spans="1:39" ht="77.25" hidden="1">
      <c r="A269" s="226">
        <f>IF(B269="","",SUBTOTAL(3,$B$6:B279))</f>
        <v>23</v>
      </c>
      <c r="B269" s="198" t="s">
        <v>501</v>
      </c>
      <c r="C269" s="215" t="s">
        <v>12</v>
      </c>
      <c r="D269" s="215" t="s">
        <v>492</v>
      </c>
      <c r="E269" s="198" t="s">
        <v>491</v>
      </c>
      <c r="F269" s="198" t="s">
        <v>437</v>
      </c>
      <c r="G269" s="198" t="s">
        <v>437</v>
      </c>
      <c r="H269" s="199" t="s">
        <v>65</v>
      </c>
      <c r="I269" s="198"/>
      <c r="J269" s="213"/>
      <c r="K269" s="213">
        <v>43041</v>
      </c>
      <c r="L269" s="212"/>
      <c r="M269" s="225" t="s">
        <v>500</v>
      </c>
      <c r="N269" s="224">
        <v>1</v>
      </c>
      <c r="O269" s="223"/>
      <c r="P269" s="222">
        <v>2349</v>
      </c>
      <c r="Q269" s="221">
        <f t="shared" si="2"/>
        <v>2349</v>
      </c>
      <c r="R269" s="220"/>
      <c r="S269" s="219"/>
      <c r="T269" s="218"/>
      <c r="U269" s="218"/>
      <c r="V269" s="218"/>
      <c r="W269" s="218">
        <f>Table51013454[[#This Row],[العدد]]*Table51013454[[#This Row],[السعر الافرادي]]</f>
        <v>0</v>
      </c>
      <c r="X269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69" s="202">
        <f>Table51013454[[#This Row],[الكمية]]-Table51013454[[#This Row],[العدد]]</f>
        <v>1</v>
      </c>
      <c r="Z269" s="201">
        <f>Table51013454[[#This Row],[سعر/الحبة]]</f>
        <v>2349</v>
      </c>
      <c r="AA269" s="201">
        <f>Table51013454[[#This Row],[الإجمالي]]-Table51013454[[#This Row],[إجمالي المستبعد]]</f>
        <v>2349</v>
      </c>
      <c r="AB269" s="200">
        <v>0.15</v>
      </c>
      <c r="AC269" s="199"/>
      <c r="AD269" s="198" t="s">
        <v>55</v>
      </c>
      <c r="AE269" s="194"/>
      <c r="AF26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الشراء-الاستلام]]&lt;DATE(2017,1,1),Q269-AE269,0))</f>
        <v>0</v>
      </c>
      <c r="AG26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56.955205479452047</v>
      </c>
      <c r="AH26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69" s="196">
        <f>Table51013454[[#This Row],[اهلاك المستبعد
في 2017]]+Table51013454[[#This Row],[مجمع إهلاك المستبعد 
01-01-2017]]</f>
        <v>0</v>
      </c>
      <c r="AJ269" s="196">
        <f>Table51013454[[#This Row],[إجمالي المستبعد]]-Table51013454[[#This Row],[مجمع إهلاك المستبعد 
بتاريخ الأستبعاد]]</f>
        <v>0</v>
      </c>
      <c r="AK269" s="195"/>
      <c r="AL269" s="194">
        <f>IF(OR(Table51013454[[#This Row],[تاريخ الشراء-الاستلام]]="",Table51013454[[#This Row],[الإجمالي]]="",Table51013454[[#This Row],[العمر الافتراضي]]=""),"",IF(((AE269+AG269)-Table51013454[[#This Row],[مجمع إهلاك المستبعد 
بتاريخ الأستبعاد]])&lt;=0,0,((AE269+AG269)-Table51013454[[#This Row],[مجمع إهلاك المستبعد 
بتاريخ الأستبعاد]])))</f>
        <v>56.955205479452047</v>
      </c>
      <c r="AM26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الشراء-الاستلام]]&gt;DATE(2017,12,31),0,AA269-AL269)))</f>
        <v>2292.0447945205478</v>
      </c>
    </row>
    <row r="270" spans="1:39" ht="77.25" hidden="1">
      <c r="A270" s="226">
        <f>IF(B270="","",SUBTOTAL(3,$B$6:B279))</f>
        <v>23</v>
      </c>
      <c r="B270" s="198" t="s">
        <v>499</v>
      </c>
      <c r="C270" s="215" t="s">
        <v>12</v>
      </c>
      <c r="D270" s="215" t="s">
        <v>492</v>
      </c>
      <c r="E270" s="198" t="s">
        <v>491</v>
      </c>
      <c r="F270" s="198" t="s">
        <v>437</v>
      </c>
      <c r="G270" s="198" t="s">
        <v>437</v>
      </c>
      <c r="H270" s="199" t="s">
        <v>65</v>
      </c>
      <c r="I270" s="198"/>
      <c r="J270" s="213"/>
      <c r="K270" s="213">
        <v>43041</v>
      </c>
      <c r="L270" s="212"/>
      <c r="M270" s="225" t="s">
        <v>498</v>
      </c>
      <c r="N270" s="224">
        <v>1</v>
      </c>
      <c r="O270" s="223"/>
      <c r="P270" s="222">
        <v>1980</v>
      </c>
      <c r="Q270" s="221">
        <f t="shared" si="2"/>
        <v>1980</v>
      </c>
      <c r="R270" s="220"/>
      <c r="S270" s="219"/>
      <c r="T270" s="218"/>
      <c r="U270" s="218"/>
      <c r="V270" s="218"/>
      <c r="W270" s="218">
        <f>Table51013454[[#This Row],[العدد]]*Table51013454[[#This Row],[السعر الافرادي]]</f>
        <v>0</v>
      </c>
      <c r="X270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0" s="202">
        <f>Table51013454[[#This Row],[الكمية]]-Table51013454[[#This Row],[العدد]]</f>
        <v>1</v>
      </c>
      <c r="Z270" s="201">
        <f>Table51013454[[#This Row],[سعر/الحبة]]</f>
        <v>1980</v>
      </c>
      <c r="AA270" s="201">
        <f>Table51013454[[#This Row],[الإجمالي]]-Table51013454[[#This Row],[إجمالي المستبعد]]</f>
        <v>1980</v>
      </c>
      <c r="AB270" s="200">
        <v>0.15</v>
      </c>
      <c r="AC270" s="199"/>
      <c r="AD270" s="198" t="s">
        <v>55</v>
      </c>
      <c r="AE270" s="194"/>
      <c r="AF270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الشراء-الاستلام]]&lt;DATE(2017,1,1),Q270-AE270,0))</f>
        <v>0</v>
      </c>
      <c r="AG270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48.008219178082193</v>
      </c>
      <c r="AH270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0" s="196">
        <f>Table51013454[[#This Row],[اهلاك المستبعد
في 2017]]+Table51013454[[#This Row],[مجمع إهلاك المستبعد 
01-01-2017]]</f>
        <v>0</v>
      </c>
      <c r="AJ270" s="196">
        <f>Table51013454[[#This Row],[إجمالي المستبعد]]-Table51013454[[#This Row],[مجمع إهلاك المستبعد 
بتاريخ الأستبعاد]]</f>
        <v>0</v>
      </c>
      <c r="AK270" s="195"/>
      <c r="AL270" s="194">
        <f>IF(OR(Table51013454[[#This Row],[تاريخ الشراء-الاستلام]]="",Table51013454[[#This Row],[الإجمالي]]="",Table51013454[[#This Row],[العمر الافتراضي]]=""),"",IF(((AE270+AG270)-Table51013454[[#This Row],[مجمع إهلاك المستبعد 
بتاريخ الأستبعاد]])&lt;=0,0,((AE270+AG270)-Table51013454[[#This Row],[مجمع إهلاك المستبعد 
بتاريخ الأستبعاد]])))</f>
        <v>48.008219178082193</v>
      </c>
      <c r="AM270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الشراء-الاستلام]]&gt;DATE(2017,12,31),0,AA270-AL270)))</f>
        <v>1931.9917808219177</v>
      </c>
    </row>
    <row r="271" spans="1:39" ht="77.25" hidden="1">
      <c r="A271" s="226">
        <f>IF(B271="","",SUBTOTAL(3,$B$6:B279))</f>
        <v>23</v>
      </c>
      <c r="B271" s="198" t="s">
        <v>497</v>
      </c>
      <c r="C271" s="215" t="s">
        <v>12</v>
      </c>
      <c r="D271" s="215" t="s">
        <v>492</v>
      </c>
      <c r="E271" s="198" t="s">
        <v>491</v>
      </c>
      <c r="F271" s="198" t="s">
        <v>437</v>
      </c>
      <c r="G271" s="198" t="s">
        <v>437</v>
      </c>
      <c r="H271" s="199" t="s">
        <v>72</v>
      </c>
      <c r="I271" s="198"/>
      <c r="J271" s="213"/>
      <c r="K271" s="213">
        <v>43081</v>
      </c>
      <c r="L271" s="212"/>
      <c r="M271" s="225" t="s">
        <v>496</v>
      </c>
      <c r="N271" s="224">
        <v>1</v>
      </c>
      <c r="O271" s="223"/>
      <c r="P271" s="222">
        <v>400</v>
      </c>
      <c r="Q271" s="221">
        <f t="shared" si="2"/>
        <v>400</v>
      </c>
      <c r="R271" s="220"/>
      <c r="S271" s="219"/>
      <c r="T271" s="218"/>
      <c r="U271" s="218"/>
      <c r="V271" s="218"/>
      <c r="W271" s="218">
        <f>Table51013454[[#This Row],[العدد]]*Table51013454[[#This Row],[السعر الافرادي]]</f>
        <v>0</v>
      </c>
      <c r="X271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1" s="202">
        <f>Table51013454[[#This Row],[الكمية]]-Table51013454[[#This Row],[العدد]]</f>
        <v>1</v>
      </c>
      <c r="Z271" s="201">
        <f>Table51013454[[#This Row],[سعر/الحبة]]</f>
        <v>400</v>
      </c>
      <c r="AA271" s="201">
        <f>Table51013454[[#This Row],[الإجمالي]]-Table51013454[[#This Row],[إجمالي المستبعد]]</f>
        <v>400</v>
      </c>
      <c r="AB271" s="200">
        <v>0.15</v>
      </c>
      <c r="AC271" s="199"/>
      <c r="AD271" s="198" t="s">
        <v>55</v>
      </c>
      <c r="AE271" s="194"/>
      <c r="AF271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الشراء-الاستلام]]&lt;DATE(2017,1,1),Q271-AE271,0))</f>
        <v>0</v>
      </c>
      <c r="AG271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3.1232876712328768</v>
      </c>
      <c r="AH271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1" s="196">
        <f>Table51013454[[#This Row],[اهلاك المستبعد
في 2017]]+Table51013454[[#This Row],[مجمع إهلاك المستبعد 
01-01-2017]]</f>
        <v>0</v>
      </c>
      <c r="AJ271" s="196">
        <f>Table51013454[[#This Row],[إجمالي المستبعد]]-Table51013454[[#This Row],[مجمع إهلاك المستبعد 
بتاريخ الأستبعاد]]</f>
        <v>0</v>
      </c>
      <c r="AK271" s="195"/>
      <c r="AL271" s="194">
        <f>IF(OR(Table51013454[[#This Row],[تاريخ الشراء-الاستلام]]="",Table51013454[[#This Row],[الإجمالي]]="",Table51013454[[#This Row],[العمر الافتراضي]]=""),"",IF(((AE271+AG271)-Table51013454[[#This Row],[مجمع إهلاك المستبعد 
بتاريخ الأستبعاد]])&lt;=0,0,((AE271+AG271)-Table51013454[[#This Row],[مجمع إهلاك المستبعد 
بتاريخ الأستبعاد]])))</f>
        <v>3.1232876712328768</v>
      </c>
      <c r="AM271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الشراء-الاستلام]]&gt;DATE(2017,12,31),0,AA271-AL271)))</f>
        <v>396.8767123287671</v>
      </c>
    </row>
    <row r="272" spans="1:39" ht="77.25" hidden="1">
      <c r="A272" s="226">
        <f>IF(B272="","",SUBTOTAL(3,$B$6:B279))</f>
        <v>23</v>
      </c>
      <c r="B272" s="198" t="s">
        <v>495</v>
      </c>
      <c r="C272" s="215" t="s">
        <v>12</v>
      </c>
      <c r="D272" s="215" t="s">
        <v>492</v>
      </c>
      <c r="E272" s="198" t="s">
        <v>491</v>
      </c>
      <c r="F272" s="198" t="s">
        <v>437</v>
      </c>
      <c r="G272" s="198" t="s">
        <v>437</v>
      </c>
      <c r="H272" s="199" t="s">
        <v>494</v>
      </c>
      <c r="I272" s="198"/>
      <c r="J272" s="213"/>
      <c r="K272" s="213">
        <v>43081</v>
      </c>
      <c r="L272" s="212"/>
      <c r="M272" s="225" t="s">
        <v>490</v>
      </c>
      <c r="N272" s="224">
        <v>1</v>
      </c>
      <c r="O272" s="223"/>
      <c r="P272" s="222">
        <v>3030</v>
      </c>
      <c r="Q272" s="221">
        <f t="shared" si="2"/>
        <v>3030</v>
      </c>
      <c r="R272" s="220"/>
      <c r="S272" s="219"/>
      <c r="T272" s="218"/>
      <c r="U272" s="218"/>
      <c r="V272" s="218"/>
      <c r="W272" s="218">
        <f>Table51013454[[#This Row],[العدد]]*Table51013454[[#This Row],[السعر الافرادي]]</f>
        <v>0</v>
      </c>
      <c r="X272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2" s="202">
        <f>Table51013454[[#This Row],[الكمية]]-Table51013454[[#This Row],[العدد]]</f>
        <v>1</v>
      </c>
      <c r="Z272" s="201">
        <f>Table51013454[[#This Row],[سعر/الحبة]]</f>
        <v>3030</v>
      </c>
      <c r="AA272" s="201">
        <f>Table51013454[[#This Row],[الإجمالي]]-Table51013454[[#This Row],[إجمالي المستبعد]]</f>
        <v>3030</v>
      </c>
      <c r="AB272" s="200">
        <v>0.15</v>
      </c>
      <c r="AC272" s="199"/>
      <c r="AD272" s="198" t="s">
        <v>55</v>
      </c>
      <c r="AE272" s="194"/>
      <c r="AF272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الشراء-الاستلام]]&lt;DATE(2017,1,1),Q272-AE272,0))</f>
        <v>0</v>
      </c>
      <c r="AG272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23.658904109589042</v>
      </c>
      <c r="AH272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2" s="196">
        <f>Table51013454[[#This Row],[اهلاك المستبعد
في 2017]]+Table51013454[[#This Row],[مجمع إهلاك المستبعد 
01-01-2017]]</f>
        <v>0</v>
      </c>
      <c r="AJ272" s="196">
        <f>Table51013454[[#This Row],[إجمالي المستبعد]]-Table51013454[[#This Row],[مجمع إهلاك المستبعد 
بتاريخ الأستبعاد]]</f>
        <v>0</v>
      </c>
      <c r="AK272" s="195"/>
      <c r="AL272" s="194">
        <f>IF(OR(Table51013454[[#This Row],[تاريخ الشراء-الاستلام]]="",Table51013454[[#This Row],[الإجمالي]]="",Table51013454[[#This Row],[العمر الافتراضي]]=""),"",IF(((AE272+AG272)-Table51013454[[#This Row],[مجمع إهلاك المستبعد 
بتاريخ الأستبعاد]])&lt;=0,0,((AE272+AG272)-Table51013454[[#This Row],[مجمع إهلاك المستبعد 
بتاريخ الأستبعاد]])))</f>
        <v>23.658904109589042</v>
      </c>
      <c r="AM272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الشراء-الاستلام]]&gt;DATE(2017,12,31),0,AA272-AL272)))</f>
        <v>3006.341095890411</v>
      </c>
    </row>
    <row r="273" spans="1:39" ht="77.25" hidden="1">
      <c r="A273" s="226">
        <f>IF(B273="","",SUBTOTAL(3,$B$6:B279))</f>
        <v>23</v>
      </c>
      <c r="B273" s="198" t="s">
        <v>493</v>
      </c>
      <c r="C273" s="215" t="s">
        <v>12</v>
      </c>
      <c r="D273" s="215" t="s">
        <v>492</v>
      </c>
      <c r="E273" s="198" t="s">
        <v>491</v>
      </c>
      <c r="F273" s="198" t="s">
        <v>437</v>
      </c>
      <c r="G273" s="198" t="s">
        <v>437</v>
      </c>
      <c r="H273" s="199" t="s">
        <v>65</v>
      </c>
      <c r="I273" s="198"/>
      <c r="J273" s="213"/>
      <c r="K273" s="213">
        <v>43081</v>
      </c>
      <c r="L273" s="212"/>
      <c r="M273" s="225" t="s">
        <v>490</v>
      </c>
      <c r="N273" s="224">
        <v>1</v>
      </c>
      <c r="O273" s="223"/>
      <c r="P273" s="222">
        <v>1200</v>
      </c>
      <c r="Q273" s="221">
        <f t="shared" si="2"/>
        <v>1200</v>
      </c>
      <c r="R273" s="220"/>
      <c r="S273" s="219"/>
      <c r="T273" s="218"/>
      <c r="U273" s="218"/>
      <c r="V273" s="218"/>
      <c r="W273" s="218">
        <f>Table51013454[[#This Row],[العدد]]*Table51013454[[#This Row],[السعر الافرادي]]</f>
        <v>0</v>
      </c>
      <c r="X273" s="217" t="b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3" s="202">
        <f>Table51013454[[#This Row],[الكمية]]-Table51013454[[#This Row],[العدد]]</f>
        <v>1</v>
      </c>
      <c r="Z273" s="201">
        <f>Table51013454[[#This Row],[سعر/الحبة]]</f>
        <v>1200</v>
      </c>
      <c r="AA273" s="201">
        <f>Table51013454[[#This Row],[الإجمالي]]-Table51013454[[#This Row],[إجمالي المستبعد]]</f>
        <v>1200</v>
      </c>
      <c r="AB273" s="200">
        <v>0.15</v>
      </c>
      <c r="AC273" s="199"/>
      <c r="AD273" s="198" t="s">
        <v>55</v>
      </c>
      <c r="AE273" s="194"/>
      <c r="AF273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الشراء-الاستلام]]&lt;DATE(2017,1,1),Q273-AE273,0))</f>
        <v>0</v>
      </c>
      <c r="AG273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9.3698630136986303</v>
      </c>
      <c r="AH273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3" s="196">
        <f>Table51013454[[#This Row],[اهلاك المستبعد
في 2017]]+Table51013454[[#This Row],[مجمع إهلاك المستبعد 
01-01-2017]]</f>
        <v>0</v>
      </c>
      <c r="AJ273" s="196">
        <f>Table51013454[[#This Row],[إجمالي المستبعد]]-Table51013454[[#This Row],[مجمع إهلاك المستبعد 
بتاريخ الأستبعاد]]</f>
        <v>0</v>
      </c>
      <c r="AK273" s="195"/>
      <c r="AL273" s="194">
        <f>IF(OR(Table51013454[[#This Row],[تاريخ الشراء-الاستلام]]="",Table51013454[[#This Row],[الإجمالي]]="",Table51013454[[#This Row],[العمر الافتراضي]]=""),"",IF(((AE273+AG273)-Table51013454[[#This Row],[مجمع إهلاك المستبعد 
بتاريخ الأستبعاد]])&lt;=0,0,((AE273+AG273)-Table51013454[[#This Row],[مجمع إهلاك المستبعد 
بتاريخ الأستبعاد]])))</f>
        <v>9.3698630136986303</v>
      </c>
      <c r="AM273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الشراء-الاستلام]]&gt;DATE(2017,12,31),0,AA273-AL273)))</f>
        <v>1190.6301369863013</v>
      </c>
    </row>
    <row r="274" spans="1:39" ht="77.25" hidden="1">
      <c r="A274" s="226">
        <f>IF(B274="","",SUBTOTAL(3,$B$6:B279))</f>
        <v>23</v>
      </c>
      <c r="B274" s="198" t="s">
        <v>489</v>
      </c>
      <c r="C274" s="215" t="s">
        <v>12</v>
      </c>
      <c r="D274" s="215" t="s">
        <v>488</v>
      </c>
      <c r="E274" s="198" t="s">
        <v>51</v>
      </c>
      <c r="F274" s="198" t="s">
        <v>52</v>
      </c>
      <c r="G274" s="198" t="s">
        <v>72</v>
      </c>
      <c r="H274" s="199" t="s">
        <v>72</v>
      </c>
      <c r="I274" s="198"/>
      <c r="J274" s="213"/>
      <c r="K274" s="213">
        <v>42278</v>
      </c>
      <c r="L274" s="212"/>
      <c r="M274" s="225"/>
      <c r="N274" s="224">
        <v>2</v>
      </c>
      <c r="O274" s="223"/>
      <c r="P274" s="222">
        <v>500</v>
      </c>
      <c r="Q274" s="221">
        <f t="shared" si="2"/>
        <v>1000</v>
      </c>
      <c r="R274" s="241" t="s">
        <v>487</v>
      </c>
      <c r="S274" s="240">
        <v>42862</v>
      </c>
      <c r="T274" s="218">
        <v>2</v>
      </c>
      <c r="U274" s="218" t="s">
        <v>486</v>
      </c>
      <c r="V274" s="218">
        <v>500</v>
      </c>
      <c r="W274" s="218">
        <f>Table51013454[[#This Row],[العدد]]*Table51013454[[#This Row],[السعر الافرادي]]</f>
        <v>1000</v>
      </c>
      <c r="X274" s="217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51.780821917808218</v>
      </c>
      <c r="Y274" s="202">
        <f>Table51013454[[#This Row],[الكمية]]-Table51013454[[#This Row],[العدد]]</f>
        <v>0</v>
      </c>
      <c r="Z274" s="201">
        <f>Table51013454[[#This Row],[سعر/الحبة]]</f>
        <v>500</v>
      </c>
      <c r="AA274" s="201">
        <f>Table51013454[[#This Row],[الإجمالي]]-Table51013454[[#This Row],[إجمالي المستبعد]]</f>
        <v>0</v>
      </c>
      <c r="AB274" s="200">
        <v>0.15</v>
      </c>
      <c r="AC274" s="199"/>
      <c r="AD274" s="198" t="s">
        <v>55</v>
      </c>
      <c r="AE274" s="194"/>
      <c r="AF274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الشراء-الاستلام]]&lt;DATE(2017,1,1),Q274-AE274,0))</f>
        <v>1000</v>
      </c>
      <c r="AG274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51.780821917808218</v>
      </c>
      <c r="AH274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188.21917808219177</v>
      </c>
      <c r="AI274" s="196">
        <f>Table51013454[[#This Row],[اهلاك المستبعد
في 2017]]+Table51013454[[#This Row],[مجمع إهلاك المستبعد 
01-01-2017]]</f>
        <v>240</v>
      </c>
      <c r="AJ274" s="196">
        <f>Table51013454[[#This Row],[إجمالي المستبعد]]-Table51013454[[#This Row],[مجمع إهلاك المستبعد 
بتاريخ الأستبعاد]]</f>
        <v>760</v>
      </c>
      <c r="AK274" s="195"/>
      <c r="AL274" s="194">
        <f>IF(OR(Table51013454[[#This Row],[تاريخ الشراء-الاستلام]]="",Table51013454[[#This Row],[الإجمالي]]="",Table51013454[[#This Row],[العمر الافتراضي]]=""),"",IF(((AE274+AG274)-Table51013454[[#This Row],[مجمع إهلاك المستبعد 
بتاريخ الأستبعاد]])&lt;=0,0,((AE274+AG274)-Table51013454[[#This Row],[مجمع إهلاك المستبعد 
بتاريخ الأستبعاد]])))</f>
        <v>0</v>
      </c>
      <c r="AM274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الشراء-الاستلام]]&gt;DATE(2017,12,31),0,AA274-AL274)))</f>
        <v>0</v>
      </c>
    </row>
    <row r="275" spans="1:39" ht="78" hidden="1">
      <c r="A275" s="226">
        <f>IF(B275="","",SUBTOTAL(3,$B$6:B279))</f>
        <v>23</v>
      </c>
      <c r="B275" s="198" t="s">
        <v>480</v>
      </c>
      <c r="C275" s="215" t="s">
        <v>91</v>
      </c>
      <c r="D275" s="215"/>
      <c r="E275" s="198" t="s">
        <v>31</v>
      </c>
      <c r="F275" s="198" t="s">
        <v>126</v>
      </c>
      <c r="G275" s="198"/>
      <c r="H275" s="199" t="s">
        <v>72</v>
      </c>
      <c r="I275" s="199"/>
      <c r="J275" s="214" t="s">
        <v>485</v>
      </c>
      <c r="K275" s="213">
        <v>41272</v>
      </c>
      <c r="L275" s="212"/>
      <c r="M275" s="225"/>
      <c r="N275" s="224">
        <v>1</v>
      </c>
      <c r="O275" s="223"/>
      <c r="P275" s="222">
        <v>289000</v>
      </c>
      <c r="Q275" s="221">
        <f t="shared" si="2"/>
        <v>289000</v>
      </c>
      <c r="R275" s="220"/>
      <c r="S275" s="219"/>
      <c r="T275" s="218"/>
      <c r="U275" s="218"/>
      <c r="V275" s="218"/>
      <c r="W275" s="218">
        <f>Table51013454[[#This Row],[العدد]]*Table51013454[[#This Row],[السعر الافرادي]]</f>
        <v>0</v>
      </c>
      <c r="X275" s="217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5" s="202">
        <f>Table51013454[[#This Row],[الكمية]]-Table51013454[[#This Row],[العدد]]</f>
        <v>1</v>
      </c>
      <c r="Z275" s="201">
        <f>Table51013454[[#This Row],[سعر/الحبة]]</f>
        <v>289000</v>
      </c>
      <c r="AA275" s="201">
        <f>Table51013454[[#This Row],[الإجمالي]]-Table51013454[[#This Row],[إجمالي المستبعد]]</f>
        <v>289000</v>
      </c>
      <c r="AB275" s="200">
        <v>0.25</v>
      </c>
      <c r="AC275" s="199"/>
      <c r="AD275" s="198" t="s">
        <v>55</v>
      </c>
      <c r="AE275" s="194"/>
      <c r="AF275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الشراء-الاستلام]]&lt;DATE(2017,1,1),Q275-AE275,0))</f>
        <v>289000</v>
      </c>
      <c r="AG275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72250</v>
      </c>
      <c r="AH275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5" s="196">
        <f>Table51013454[[#This Row],[اهلاك المستبعد
في 2017]]+Table51013454[[#This Row],[مجمع إهلاك المستبعد 
01-01-2017]]</f>
        <v>0</v>
      </c>
      <c r="AJ275" s="196">
        <f>Table51013454[[#This Row],[إجمالي المستبعد]]-Table51013454[[#This Row],[مجمع إهلاك المستبعد 
بتاريخ الأستبعاد]]</f>
        <v>0</v>
      </c>
      <c r="AK275" s="195"/>
      <c r="AL275" s="194">
        <f>IF(OR(Table51013454[[#This Row],[تاريخ الشراء-الاستلام]]="",Table51013454[[#This Row],[الإجمالي]]="",Table51013454[[#This Row],[العمر الافتراضي]]=""),"",IF(((AE275+AG275)-Table51013454[[#This Row],[مجمع إهلاك المستبعد 
بتاريخ الأستبعاد]])&lt;=0,0,((AE275+AG275)-Table51013454[[#This Row],[مجمع إهلاك المستبعد 
بتاريخ الأستبعاد]])))</f>
        <v>72250</v>
      </c>
      <c r="AM275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الشراء-الاستلام]]&gt;DATE(2017,12,31),0,AA275-AL275)))</f>
        <v>216750</v>
      </c>
    </row>
    <row r="276" spans="1:39" ht="78" hidden="1">
      <c r="A276" s="226">
        <f>IF(B276="","",SUBTOTAL(3,$B$6:B279))</f>
        <v>23</v>
      </c>
      <c r="B276" s="198" t="s">
        <v>480</v>
      </c>
      <c r="C276" s="215" t="s">
        <v>91</v>
      </c>
      <c r="D276" s="215"/>
      <c r="E276" s="198" t="s">
        <v>31</v>
      </c>
      <c r="F276" s="198" t="s">
        <v>126</v>
      </c>
      <c r="G276" s="198"/>
      <c r="H276" s="199" t="s">
        <v>72</v>
      </c>
      <c r="I276" s="199"/>
      <c r="J276" s="214" t="s">
        <v>484</v>
      </c>
      <c r="K276" s="213">
        <v>39783</v>
      </c>
      <c r="L276" s="212"/>
      <c r="M276" s="225"/>
      <c r="N276" s="224">
        <v>1</v>
      </c>
      <c r="O276" s="223"/>
      <c r="P276" s="222">
        <v>250000</v>
      </c>
      <c r="Q276" s="221">
        <f t="shared" si="2"/>
        <v>250000</v>
      </c>
      <c r="R276" s="220"/>
      <c r="S276" s="219"/>
      <c r="T276" s="218"/>
      <c r="U276" s="218"/>
      <c r="V276" s="218"/>
      <c r="W276" s="218">
        <f>Table51013454[[#This Row],[العدد]]*Table51013454[[#This Row],[السعر الافرادي]]</f>
        <v>0</v>
      </c>
      <c r="X276" s="217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6" s="202">
        <f>Table51013454[[#This Row],[الكمية]]-Table51013454[[#This Row],[العدد]]</f>
        <v>1</v>
      </c>
      <c r="Z276" s="201">
        <f>Table51013454[[#This Row],[سعر/الحبة]]</f>
        <v>250000</v>
      </c>
      <c r="AA276" s="201">
        <f>Table51013454[[#This Row],[الإجمالي]]-Table51013454[[#This Row],[إجمالي المستبعد]]</f>
        <v>250000</v>
      </c>
      <c r="AB276" s="200">
        <v>0.25</v>
      </c>
      <c r="AC276" s="199"/>
      <c r="AD276" s="198"/>
      <c r="AE276" s="194">
        <v>250000</v>
      </c>
      <c r="AF276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الشراء-الاستلام]]&lt;DATE(2017,1,1),Q276-AE276,0))</f>
        <v>0</v>
      </c>
      <c r="AG276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76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6" s="196">
        <f>Table51013454[[#This Row],[اهلاك المستبعد
في 2017]]+Table51013454[[#This Row],[مجمع إهلاك المستبعد 
01-01-2017]]</f>
        <v>0</v>
      </c>
      <c r="AJ276" s="196">
        <f>Table51013454[[#This Row],[إجمالي المستبعد]]-Table51013454[[#This Row],[مجمع إهلاك المستبعد 
بتاريخ الأستبعاد]]</f>
        <v>0</v>
      </c>
      <c r="AK276" s="195"/>
      <c r="AL276" s="194">
        <f>IF(OR(Table51013454[[#This Row],[تاريخ الشراء-الاستلام]]="",Table51013454[[#This Row],[الإجمالي]]="",Table51013454[[#This Row],[العمر الافتراضي]]=""),"",IF(((AE276+AG276)-Table51013454[[#This Row],[مجمع إهلاك المستبعد 
بتاريخ الأستبعاد]])&lt;=0,0,((AE276+AG276)-Table51013454[[#This Row],[مجمع إهلاك المستبعد 
بتاريخ الأستبعاد]])))</f>
        <v>250000</v>
      </c>
      <c r="AM276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الشراء-الاستلام]]&gt;DATE(2017,12,31),0,AA276-AL276)))</f>
        <v>0</v>
      </c>
    </row>
    <row r="277" spans="1:39" ht="78" hidden="1">
      <c r="A277" s="239">
        <f>IF(B277="","",SUBTOTAL(3,$B$6:B277))</f>
        <v>23</v>
      </c>
      <c r="B277" s="230" t="s">
        <v>483</v>
      </c>
      <c r="C277" s="238" t="s">
        <v>91</v>
      </c>
      <c r="D277" s="215"/>
      <c r="E277" s="198" t="s">
        <v>31</v>
      </c>
      <c r="F277" s="230" t="s">
        <v>482</v>
      </c>
      <c r="G277" s="198"/>
      <c r="H277" s="231" t="s">
        <v>72</v>
      </c>
      <c r="I277" s="231"/>
      <c r="J277" s="237" t="s">
        <v>481</v>
      </c>
      <c r="K277" s="236">
        <v>41638</v>
      </c>
      <c r="L277" s="235"/>
      <c r="M277" s="225"/>
      <c r="N277" s="224">
        <v>1</v>
      </c>
      <c r="O277" s="223"/>
      <c r="P277" s="222">
        <v>50000</v>
      </c>
      <c r="Q277" s="221">
        <f t="shared" si="2"/>
        <v>50000</v>
      </c>
      <c r="R277" s="220"/>
      <c r="S277" s="219"/>
      <c r="T277" s="218"/>
      <c r="U277" s="218"/>
      <c r="V277" s="218"/>
      <c r="W277" s="218">
        <f>Table51013454[[#This Row],[العدد]]*Table51013454[[#This Row],[السعر الافرادي]]</f>
        <v>0</v>
      </c>
      <c r="X277" s="217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7" s="234">
        <f>Table51013454[[#This Row],[الكمية]]-Table51013454[[#This Row],[العدد]]</f>
        <v>1</v>
      </c>
      <c r="Z277" s="233">
        <f>Table51013454[[#This Row],[سعر/الحبة]]</f>
        <v>50000</v>
      </c>
      <c r="AA277" s="233">
        <f>Table51013454[[#This Row],[الإجمالي]]-Table51013454[[#This Row],[إجمالي المستبعد]]</f>
        <v>50000</v>
      </c>
      <c r="AB277" s="232">
        <v>0.15</v>
      </c>
      <c r="AC277" s="231"/>
      <c r="AD277" s="230"/>
      <c r="AE277" s="228">
        <v>30040.32</v>
      </c>
      <c r="AF277" s="228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الشراء-الاستلام]]&lt;DATE(2017,1,1),Q277-AE277,0))</f>
        <v>19959.68</v>
      </c>
      <c r="AG277" s="229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7500</v>
      </c>
      <c r="AH277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7" s="196">
        <f>Table51013454[[#This Row],[اهلاك المستبعد
في 2017]]+Table51013454[[#This Row],[مجمع إهلاك المستبعد 
01-01-2017]]</f>
        <v>0</v>
      </c>
      <c r="AJ277" s="196">
        <f>Table51013454[[#This Row],[إجمالي المستبعد]]-Table51013454[[#This Row],[مجمع إهلاك المستبعد 
بتاريخ الأستبعاد]]</f>
        <v>0</v>
      </c>
      <c r="AK277" s="195"/>
      <c r="AL277" s="228">
        <f>IF(OR(Table51013454[[#This Row],[تاريخ الشراء-الاستلام]]="",Table51013454[[#This Row],[الإجمالي]]="",Table51013454[[#This Row],[العمر الافتراضي]]=""),"",IF(((AE277+AG277)-Table51013454[[#This Row],[مجمع إهلاك المستبعد 
بتاريخ الأستبعاد]])&lt;=0,0,((AE277+AG277)-Table51013454[[#This Row],[مجمع إهلاك المستبعد 
بتاريخ الأستبعاد]])))</f>
        <v>37540.32</v>
      </c>
      <c r="AM277" s="227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الشراء-الاستلام]]&gt;DATE(2017,12,31),0,AA277-AL277)))</f>
        <v>12459.68</v>
      </c>
    </row>
    <row r="278" spans="1:39" ht="78" hidden="1">
      <c r="A278" s="226">
        <f>IF(B278="","",SUBTOTAL(3,$B$6:B279))</f>
        <v>23</v>
      </c>
      <c r="B278" s="198" t="s">
        <v>480</v>
      </c>
      <c r="C278" s="215" t="s">
        <v>91</v>
      </c>
      <c r="D278" s="215"/>
      <c r="E278" s="198" t="s">
        <v>31</v>
      </c>
      <c r="F278" s="198" t="s">
        <v>126</v>
      </c>
      <c r="G278" s="198"/>
      <c r="H278" s="199" t="s">
        <v>72</v>
      </c>
      <c r="I278" s="199"/>
      <c r="J278" s="214" t="s">
        <v>479</v>
      </c>
      <c r="K278" s="213">
        <v>39783</v>
      </c>
      <c r="L278" s="212"/>
      <c r="M278" s="225"/>
      <c r="N278" s="224">
        <v>1</v>
      </c>
      <c r="O278" s="223"/>
      <c r="P278" s="222">
        <v>250000</v>
      </c>
      <c r="Q278" s="221">
        <f t="shared" si="2"/>
        <v>250000</v>
      </c>
      <c r="R278" s="220"/>
      <c r="S278" s="219"/>
      <c r="T278" s="218"/>
      <c r="U278" s="218"/>
      <c r="V278" s="218"/>
      <c r="W278" s="218">
        <f>Table51013454[[#This Row],[العدد]]*Table51013454[[#This Row],[السعر الافرادي]]</f>
        <v>0</v>
      </c>
      <c r="X278" s="217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8" s="202">
        <f>Table51013454[[#This Row],[الكمية]]-Table51013454[[#This Row],[العدد]]</f>
        <v>1</v>
      </c>
      <c r="Z278" s="201">
        <f>Table51013454[[#This Row],[سعر/الحبة]]</f>
        <v>250000</v>
      </c>
      <c r="AA278" s="201">
        <f>Table51013454[[#This Row],[الإجمالي]]-Table51013454[[#This Row],[إجمالي المستبعد]]</f>
        <v>250000</v>
      </c>
      <c r="AB278" s="200">
        <v>0.25</v>
      </c>
      <c r="AC278" s="199"/>
      <c r="AD278" s="198"/>
      <c r="AE278" s="194">
        <v>250000</v>
      </c>
      <c r="AF278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الشراء-الاستلام]]&lt;DATE(2017,1,1),Q278-AE278,0))</f>
        <v>0</v>
      </c>
      <c r="AG278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78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8" s="196">
        <f>Table51013454[[#This Row],[اهلاك المستبعد
في 2017]]+Table51013454[[#This Row],[مجمع إهلاك المستبعد 
01-01-2017]]</f>
        <v>0</v>
      </c>
      <c r="AJ278" s="196">
        <f>Table51013454[[#This Row],[إجمالي المستبعد]]-Table51013454[[#This Row],[مجمع إهلاك المستبعد 
بتاريخ الأستبعاد]]</f>
        <v>0</v>
      </c>
      <c r="AK278" s="195"/>
      <c r="AL278" s="194">
        <f>IF(OR(Table51013454[[#This Row],[تاريخ الشراء-الاستلام]]="",Table51013454[[#This Row],[الإجمالي]]="",Table51013454[[#This Row],[العمر الافتراضي]]=""),"",IF(((AE278+AG278)-Table51013454[[#This Row],[مجمع إهلاك المستبعد 
بتاريخ الأستبعاد]])&lt;=0,0,((AE278+AG278)-Table51013454[[#This Row],[مجمع إهلاك المستبعد 
بتاريخ الأستبعاد]])))</f>
        <v>250000</v>
      </c>
      <c r="AM278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الشراء-الاستلام]]&gt;DATE(2017,12,31),0,AA278-AL278)))</f>
        <v>0</v>
      </c>
    </row>
    <row r="279" spans="1:39" ht="78.75" hidden="1" thickBot="1">
      <c r="A279" s="216">
        <f>IF(B279="","",SUBTOTAL(3,$B$6:B279))</f>
        <v>23</v>
      </c>
      <c r="B279" s="198" t="s">
        <v>110</v>
      </c>
      <c r="C279" s="215" t="s">
        <v>91</v>
      </c>
      <c r="D279" s="215"/>
      <c r="E279" s="198" t="s">
        <v>31</v>
      </c>
      <c r="F279" s="198" t="s">
        <v>126</v>
      </c>
      <c r="G279" s="198"/>
      <c r="H279" s="199" t="s">
        <v>72</v>
      </c>
      <c r="I279" s="199"/>
      <c r="J279" s="214" t="s">
        <v>478</v>
      </c>
      <c r="K279" s="213">
        <v>39783</v>
      </c>
      <c r="L279" s="212"/>
      <c r="M279" s="211"/>
      <c r="N279" s="210">
        <v>1</v>
      </c>
      <c r="O279" s="209"/>
      <c r="P279" s="208">
        <v>250000</v>
      </c>
      <c r="Q279" s="207">
        <f t="shared" si="2"/>
        <v>250000</v>
      </c>
      <c r="R279" s="206"/>
      <c r="S279" s="205"/>
      <c r="T279" s="204"/>
      <c r="U279" s="204"/>
      <c r="V279" s="204"/>
      <c r="W279" s="204">
        <f>Table51013454[[#This Row],[العدد]]*Table51013454[[#This Row],[السعر الافرادي]]</f>
        <v>0</v>
      </c>
      <c r="X279" s="203">
        <f>IF(AND(Table51013454[[#This Row],[تاريخ الشراء-الاستلام]]&lt;=(DATE(2017,1,1)),(Table51013454[[#This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Row],[التاريخ]]-DATE(2017,1,1))*((Table51013454[[#This Row],[إجمالي المستبعد]]*Table51013454[[#This Row],[العمر الافتراضي]])/365),IF(AND(Table51013454[[#This Row],[تاريخ الشراء-الاستلام]]&gt;(DATE(2017,1,1)),(Table51013454[[#This Row],[إجمالي المستبعد]]-Table51013454[[#This Row],[مجمع إهلاك المستبعد 
01-01-2017]])&gt;(Table51013454[[#This Row],[الإجمالي]]*Table51013454[[#This Row],[العمر الافتراضي]])),(Table51013454[[#This Row],[التاريخ]]-Table51013454[[#This Row],[تاريخ الشراء-الاستلام]])*((Table51013454[[#This Row],[إجمالي المستبعد]]*Table51013454[[#This Row],[العمر الافتراضي]])/365),IF(AND(Table51013454[[#This Row],[تاريخ الشراء-الاستلام]]&lt;=(DATE(2017,1,1)),(Table51013454[[#This Row],[إجمالي المستبعد]]-Table51013454[[#This Row],[مجمع إهلاك المستبعد 
01-01-2017]])&lt;(Table51013454[[#This Row],[الإجمالي]]*Table51013454[[#This Row],[العمر الافتراضي]])),Table51013454[[#This Row],[إجمالي المستبعد]]-Table51013454[[#This Row],[مجمع إهلاك المستبعد 
01-01-2017]])))</f>
        <v>0</v>
      </c>
      <c r="Y279" s="202">
        <f>Table51013454[[#This Row],[الكمية]]-Table51013454[[#This Row],[العدد]]</f>
        <v>1</v>
      </c>
      <c r="Z279" s="201">
        <f>Table51013454[[#This Row],[سعر/الحبة]]</f>
        <v>250000</v>
      </c>
      <c r="AA279" s="201">
        <f>Table51013454[[#This Row],[الإجمالي]]-Table51013454[[#This Row],[إجمالي المستبعد]]</f>
        <v>250000</v>
      </c>
      <c r="AB279" s="200">
        <v>0.25</v>
      </c>
      <c r="AC279" s="199"/>
      <c r="AD279" s="198"/>
      <c r="AE279" s="194">
        <v>250000</v>
      </c>
      <c r="AF279" s="194">
        <f>IF(OR(Table51013454[[#This Row],[تاريخ الشراء-الاستلام]]="",Table51013454[[#This Row],[الإجمالي]]="",Table51013454[[#This Row],[العمر الافتراضي]]=""),"",IF(Table51013454[[#This Row],[تاريخ الشراء-الاستلام]]&lt;DATE(2017,1,1),Q279-AE279,0))</f>
        <v>0</v>
      </c>
      <c r="AG279" s="197">
        <f>IF(OR(Table51013454[[#This Row],[تاريخ الشراء-الاستلام]]="",Table51013454[[#This Row],[الإجمالي]]="",Table51013454[[#This Row],[العمر الافتراضي]]=""),"",IF(AND(Table51013454[[#This Row],[مجمع الاهلاك 
في 01-01-2017]]&lt;Table51013454[[#This Row],[الإجمالي الصافي]],Table51013454[[#This Row],[القيمة الدفترية 
في 01-01-2017]]&gt;(Table51013454[[#This Row],[الإجمالي الصافي]]*Table51013454[[#This Row],[العمر الافتراضي]]),DATE(2017,12,31)&gt;Table51013454[[#This Row],[تاريخ الشراء-الاستلام]]),Table51013454[[#This Row],[الإجمالي الصافي]]*Table51013454[[#This Row],[العمر الافتراضي]],IF(AND(Table51013454[[#This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01-01-2017]]&gt;(Table51013454[[#This Row],[الإجمالي الصافي]]*Table51013454[[#This Row],[العمر الافتراضي]])),(DATE(2017,12,31)-Table51013454[[#This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01-01-2017]]=0),(DATE(2017,12,31)-Table51013454[[#This Row],[تاريخ الشراء-الاستلام]])*((Table51013454[[#This Row],[الإجمالي الصافي]]*Table51013454[[#This Row],[العمر الافتراضي]])/365),IF(AND(Table51013454[[#This Row],[مجمع الاهلاك 
في 01-01-2017]]&lt;Table51013454[[#This Row],[الإجمالي الصافي]],DATE(2017,12,31)&gt;Table51013454[[#This Row],[تاريخ الشراء-الاستلام]],Table51013454[[#This Row],[القيمة الدفترية 
في 01-01-2017]]&lt;(Table51013454[[#This Row],[الإجمالي الصافي]]*Table51013454[[#This Row],[العمر الافتراضي]])),Table51013454[[#This Row],[القيمة الدفترية 
في 01-01-2017]],0)))))+Table51013454[[#This Row],[اهلاك المستبعد
في 2017]]</f>
        <v>0</v>
      </c>
      <c r="AH279" s="196">
        <f>IF(Table51013454[[#This Row],[تاريخ الشراء-الاستلام]]&gt;=DATE(2017,1,1),0,IF(AND(Table51013454[[#This Row],[إجمالي المستبعد]]&gt;((DATE(2017,1,1)-Table51013454[[#This Row],[تاريخ الشراء-الاستلام]])*((Table51013454[[#This Row],[إجمالي المستبعد]]*Table51013454[[#This Row],[العمر الافتراضي]])/365)),Table51013454[[#This Row],[تاريخ الشراء-الاستلام]]&lt;DATE(2017,1,1)),(DATE(2017,1,1)-Table51013454[[#This Row],[تاريخ الشراء-الاستلام]])*((Table51013454[[#This Row],[إجمالي المستبعد]]*Table51013454[[#This Row],[العمر الافتراضي]])/365),Table51013454[[#This Row],[إجمالي المستبعد]]))</f>
        <v>0</v>
      </c>
      <c r="AI279" s="196">
        <f>Table51013454[[#This Row],[اهلاك المستبعد
في 2017]]+Table51013454[[#This Row],[مجمع إهلاك المستبعد 
01-01-2017]]</f>
        <v>0</v>
      </c>
      <c r="AJ279" s="196">
        <f>Table51013454[[#This Row],[إجمالي المستبعد]]-Table51013454[[#This Row],[مجمع إهلاك المستبعد 
بتاريخ الأستبعاد]]</f>
        <v>0</v>
      </c>
      <c r="AK279" s="195"/>
      <c r="AL279" s="194">
        <f>IF(OR(Table51013454[[#This Row],[تاريخ الشراء-الاستلام]]="",Table51013454[[#This Row],[الإجمالي]]="",Table51013454[[#This Row],[العمر الافتراضي]]=""),"",IF(((AE279+AG279)-Table51013454[[#This Row],[مجمع إهلاك المستبعد 
بتاريخ الأستبعاد]])&lt;=0,0,((AE279+AG279)-Table51013454[[#This Row],[مجمع إهلاك المستبعد 
بتاريخ الأستبعاد]])))</f>
        <v>250000</v>
      </c>
      <c r="AM279" s="193">
        <f>IF(Table51013454[[#This Row],[مجموعة الاصول]]="أراضي",Table51013454[[#This Row],[الإجمالي]],IF(OR(Table51013454[[#This Row],[تاريخ الشراء-الاستلام]]="",Table51013454[[#This Row],[الإجمالي]]="",Table51013454[[#This Row],[العمر الافتراضي]]=""),"",IF(Table51013454[[#This Row],[تاريخ الشراء-الاستلام]]&gt;DATE(2017,12,31),0,AA279-AL279)))</f>
        <v>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U5 O5:O144 O146:O1288" name="Range6"/>
    <protectedRange sqref="AC6:AD1298" name="Range4"/>
    <protectedRange sqref="AB6:AB1298" name="Range3"/>
    <protectedRange sqref="N114:O116 N118:O119 J145 M140:M144 N117:P117 N6:P113 N120:P144 M6:M8 M10:M36 B6:L144 B146:P1298" name="Range2"/>
    <protectedRange sqref="B136:D137 B5:D14 D23" name="Range1"/>
    <protectedRange sqref="P114:P116 P118:P119" name="Range2_1"/>
    <protectedRange sqref="B145:I145" name="Range2_5"/>
    <protectedRange sqref="O145" name="Range6_2"/>
    <protectedRange sqref="K145:P145" name="Range2_6"/>
  </protectedRanges>
  <mergeCells count="3">
    <mergeCell ref="Y4:AA4"/>
    <mergeCell ref="R4:X4"/>
    <mergeCell ref="M4:Q4"/>
  </mergeCells>
  <dataValidations count="4">
    <dataValidation type="list" allowBlank="1" showInputMessage="1" showErrorMessage="1" sqref="F6:F279" xr:uid="{00000000-0002-0000-0400-000000000000}">
      <formula1>المشروع</formula1>
    </dataValidation>
    <dataValidation type="list" allowBlank="1" showInputMessage="1" showErrorMessage="1" sqref="E6:E279" xr:uid="{00000000-0002-0000-0400-000001000000}">
      <formula1>مجموعة_الاصول</formula1>
    </dataValidation>
    <dataValidation type="list" allowBlank="1" showInputMessage="1" showErrorMessage="1" sqref="G145 H6:H144" xr:uid="{00000000-0002-0000-0400-000002000000}">
      <formula1>الإدارة</formula1>
    </dataValidation>
    <dataValidation type="list" allowBlank="1" showInputMessage="1" showErrorMessage="1" sqref="H145:I145 I6:I144" xr:uid="{00000000-0002-0000-0400-000003000000}">
      <formula1>المستخدم</formula1>
    </dataValidation>
  </dataValidations>
  <printOptions horizontalCentered="1"/>
  <pageMargins left="0" right="0" top="0.15748031496062992" bottom="0.15748031496062992" header="0.31496062992125984" footer="0.31496062992125984"/>
  <pageSetup scale="30" orientation="landscape" r:id="rId1"/>
  <rowBreaks count="1" manualBreakCount="1">
    <brk id="73" max="16383" man="1"/>
  </rowBreaks>
  <colBreaks count="3" manualBreakCount="3">
    <brk id="15" max="1048575" man="1"/>
    <brk id="15125" max="283" man="1"/>
    <brk id="15126" max="283" man="1"/>
  </colBreaks>
  <drawing r:id="rId2"/>
  <legacyDrawing r:id="rId3"/>
  <controls>
    <mc:AlternateContent xmlns:mc="http://schemas.openxmlformats.org/markup-compatibility/2006">
      <mc:Choice Requires="x14">
        <control shapeId="18440" r:id="rId4" name="CommandButton3">
          <controlPr defaultSize="0" autoLine="0" r:id="rId5">
            <anchor moveWithCells="1">
              <from>
                <xdr:col>15854</xdr:col>
                <xdr:colOff>571500</xdr:colOff>
                <xdr:row>0</xdr:row>
                <xdr:rowOff>9525</xdr:rowOff>
              </from>
              <to>
                <xdr:col>15855</xdr:col>
                <xdr:colOff>0</xdr:colOff>
                <xdr:row>0</xdr:row>
                <xdr:rowOff>28575</xdr:rowOff>
              </to>
            </anchor>
          </controlPr>
        </control>
      </mc:Choice>
      <mc:Fallback>
        <control shapeId="18440" r:id="rId4" name="CommandButton3"/>
      </mc:Fallback>
    </mc:AlternateContent>
    <mc:AlternateContent xmlns:mc="http://schemas.openxmlformats.org/markup-compatibility/2006">
      <mc:Choice Requires="x14">
        <control shapeId="18439" r:id="rId6" name="Image4">
          <controlPr defaultSize="0" autoLine="0" r:id="rId7">
            <anchor moveWithCells="1">
              <from>
                <xdr:col>15854</xdr:col>
                <xdr:colOff>390525</xdr:colOff>
                <xdr:row>0</xdr:row>
                <xdr:rowOff>0</xdr:rowOff>
              </from>
              <to>
                <xdr:col>15854</xdr:col>
                <xdr:colOff>447675</xdr:colOff>
                <xdr:row>0</xdr:row>
                <xdr:rowOff>47625</xdr:rowOff>
              </to>
            </anchor>
          </controlPr>
        </control>
      </mc:Choice>
      <mc:Fallback>
        <control shapeId="18439" r:id="rId6" name="Image4"/>
      </mc:Fallback>
    </mc:AlternateContent>
    <mc:AlternateContent xmlns:mc="http://schemas.openxmlformats.org/markup-compatibility/2006">
      <mc:Choice Requires="x14">
        <control shapeId="18438" r:id="rId8" name="Image3">
          <controlPr defaultSize="0" autoLine="0" r:id="rId9">
            <anchor moveWithCells="1">
              <from>
                <xdr:col>16223</xdr:col>
                <xdr:colOff>333375</xdr:colOff>
                <xdr:row>0</xdr:row>
                <xdr:rowOff>0</xdr:rowOff>
              </from>
              <to>
                <xdr:col>16223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18438" r:id="rId8" name="Image3"/>
      </mc:Fallback>
    </mc:AlternateContent>
    <mc:AlternateContent xmlns:mc="http://schemas.openxmlformats.org/markup-compatibility/2006">
      <mc:Choice Requires="x14">
        <control shapeId="18437" r:id="rId10" name="CommandButton2">
          <controlPr defaultSize="0" autoLine="0" r:id="rId11">
            <anchor moveWithCells="1">
              <from>
                <xdr:col>16223</xdr:col>
                <xdr:colOff>352425</xdr:colOff>
                <xdr:row>0</xdr:row>
                <xdr:rowOff>9525</xdr:rowOff>
              </from>
              <to>
                <xdr:col>16223</xdr:col>
                <xdr:colOff>361950</xdr:colOff>
                <xdr:row>0</xdr:row>
                <xdr:rowOff>19050</xdr:rowOff>
              </to>
            </anchor>
          </controlPr>
        </control>
      </mc:Choice>
      <mc:Fallback>
        <control shapeId="18437" r:id="rId10" name="CommandButton2"/>
      </mc:Fallback>
    </mc:AlternateContent>
    <mc:AlternateContent xmlns:mc="http://schemas.openxmlformats.org/markup-compatibility/2006">
      <mc:Choice Requires="x14">
        <control shapeId="18436" r:id="rId12" name="Image2">
          <controlPr defaultSize="0" autoLine="0" r:id="rId13">
            <anchor moveWithCells="1">
              <from>
                <xdr:col>16223</xdr:col>
                <xdr:colOff>314325</xdr:colOff>
                <xdr:row>0</xdr:row>
                <xdr:rowOff>0</xdr:rowOff>
              </from>
              <to>
                <xdr:col>16223</xdr:col>
                <xdr:colOff>333375</xdr:colOff>
                <xdr:row>0</xdr:row>
                <xdr:rowOff>19050</xdr:rowOff>
              </to>
            </anchor>
          </controlPr>
        </control>
      </mc:Choice>
      <mc:Fallback>
        <control shapeId="18436" r:id="rId12" name="Image2"/>
      </mc:Fallback>
    </mc:AlternateContent>
    <mc:AlternateContent xmlns:mc="http://schemas.openxmlformats.org/markup-compatibility/2006">
      <mc:Choice Requires="x14">
        <control shapeId="18435" r:id="rId14" name="CommandButton1">
          <controlPr defaultSize="0" autoFill="0" autoLine="0" r:id="rId15">
            <anchor moveWithCells="1">
              <from>
                <xdr:col>16224</xdr:col>
                <xdr:colOff>38100</xdr:colOff>
                <xdr:row>0</xdr:row>
                <xdr:rowOff>0</xdr:rowOff>
              </from>
              <to>
                <xdr:col>16224</xdr:col>
                <xdr:colOff>57150</xdr:colOff>
                <xdr:row>0</xdr:row>
                <xdr:rowOff>9525</xdr:rowOff>
              </to>
            </anchor>
          </controlPr>
        </control>
      </mc:Choice>
      <mc:Fallback>
        <control shapeId="18435" r:id="rId14" name="CommandButton1"/>
      </mc:Fallback>
    </mc:AlternateContent>
    <mc:AlternateContent xmlns:mc="http://schemas.openxmlformats.org/markup-compatibility/2006">
      <mc:Choice Requires="x14">
        <control shapeId="18434" r:id="rId16" name="Image1">
          <controlPr defaultSize="0" autoLine="0" r:id="rId13">
            <anchor moveWithCells="1">
              <from>
                <xdr:col>16224</xdr:col>
                <xdr:colOff>9525</xdr:colOff>
                <xdr:row>0</xdr:row>
                <xdr:rowOff>0</xdr:rowOff>
              </from>
              <to>
                <xdr:col>16224</xdr:col>
                <xdr:colOff>28575</xdr:colOff>
                <xdr:row>0</xdr:row>
                <xdr:rowOff>19050</xdr:rowOff>
              </to>
            </anchor>
          </controlPr>
        </control>
      </mc:Choice>
      <mc:Fallback>
        <control shapeId="18434" r:id="rId16" name="Image1"/>
      </mc:Fallback>
    </mc:AlternateContent>
  </controls>
  <tableParts count="1">
    <tablePart r:id="rId1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0"/>
  <sheetViews>
    <sheetView rightToLeft="1" workbookViewId="0">
      <selection activeCell="G15" sqref="G15"/>
    </sheetView>
  </sheetViews>
  <sheetFormatPr defaultRowHeight="15"/>
  <cols>
    <col min="7" max="7" width="10.5703125" bestFit="1" customWidth="1"/>
    <col min="8" max="8" width="11" customWidth="1"/>
  </cols>
  <sheetData>
    <row r="1" spans="1:14" s="538" customFormat="1" ht="18.75">
      <c r="A1" s="636" t="s">
        <v>331</v>
      </c>
      <c r="B1" s="540"/>
      <c r="C1" s="540"/>
      <c r="D1" s="540"/>
      <c r="E1" s="540"/>
      <c r="F1" s="540"/>
      <c r="G1" s="540"/>
      <c r="I1" s="540"/>
      <c r="J1" s="536"/>
      <c r="K1" s="593" t="s">
        <v>1469</v>
      </c>
      <c r="N1" s="381"/>
    </row>
    <row r="2" spans="1:14" s="538" customFormat="1" ht="11.25" customHeight="1">
      <c r="A2" s="539"/>
      <c r="B2" s="540"/>
      <c r="C2" s="540"/>
      <c r="D2" s="540"/>
      <c r="E2" s="540"/>
      <c r="F2" s="540"/>
      <c r="G2" s="540"/>
      <c r="I2" s="540"/>
      <c r="J2" s="536"/>
      <c r="K2" s="593"/>
      <c r="N2" s="381"/>
    </row>
    <row r="3" spans="1:14" s="538" customFormat="1" ht="18.75">
      <c r="A3" s="542" t="s">
        <v>332</v>
      </c>
      <c r="B3" s="543"/>
      <c r="C3" s="543"/>
      <c r="D3" s="543"/>
      <c r="E3" s="543"/>
      <c r="F3" s="543"/>
      <c r="G3" s="543"/>
      <c r="I3" s="543"/>
      <c r="K3" s="543"/>
      <c r="N3" s="381"/>
    </row>
    <row r="4" spans="1:14" s="538" customFormat="1" ht="18.75">
      <c r="G4" s="633">
        <v>2017</v>
      </c>
      <c r="H4" s="544"/>
      <c r="I4" s="633">
        <v>2016</v>
      </c>
      <c r="J4" s="545"/>
      <c r="K4" s="633">
        <v>2015</v>
      </c>
      <c r="N4" s="381"/>
    </row>
    <row r="5" spans="1:14" s="538" customFormat="1" ht="9" customHeight="1">
      <c r="G5" s="83"/>
      <c r="I5" s="83"/>
      <c r="K5" s="83"/>
      <c r="N5" s="381"/>
    </row>
    <row r="6" spans="1:14" s="538" customFormat="1" ht="18.75">
      <c r="A6" s="635" t="s">
        <v>333</v>
      </c>
      <c r="G6" s="546">
        <v>1105214.29</v>
      </c>
      <c r="I6" s="546">
        <v>189853</v>
      </c>
      <c r="K6" s="546">
        <v>405916</v>
      </c>
      <c r="N6" s="381"/>
    </row>
    <row r="7" spans="1:14" s="538" customFormat="1" ht="18.75">
      <c r="A7" s="544" t="s">
        <v>13</v>
      </c>
      <c r="G7" s="546">
        <v>150000</v>
      </c>
      <c r="I7" s="546">
        <v>220000</v>
      </c>
      <c r="K7" s="546">
        <v>110000</v>
      </c>
      <c r="N7" s="381"/>
    </row>
    <row r="8" spans="1:14" s="538" customFormat="1" ht="18.75">
      <c r="A8" s="635" t="s">
        <v>14</v>
      </c>
      <c r="G8" s="546">
        <v>132231.64999999991</v>
      </c>
      <c r="I8" s="546">
        <v>104533.60000000009</v>
      </c>
      <c r="K8" s="546">
        <v>291188</v>
      </c>
      <c r="N8" s="381"/>
    </row>
    <row r="9" spans="1:14" s="538" customFormat="1" ht="18.75">
      <c r="A9" s="635" t="s">
        <v>223</v>
      </c>
      <c r="G9" s="546">
        <v>451974</v>
      </c>
      <c r="I9" s="546">
        <v>123515</v>
      </c>
      <c r="K9" s="92">
        <v>0</v>
      </c>
      <c r="N9" s="381"/>
    </row>
    <row r="10" spans="1:14" s="538" customFormat="1" ht="18.75">
      <c r="A10" s="635" t="s">
        <v>1470</v>
      </c>
      <c r="G10" s="546">
        <f>G29</f>
        <v>525697</v>
      </c>
      <c r="I10" s="546">
        <v>203829</v>
      </c>
      <c r="K10" s="546">
        <v>22600</v>
      </c>
      <c r="N10" s="381"/>
    </row>
    <row r="11" spans="1:14" s="538" customFormat="1" ht="18.75">
      <c r="A11" s="544" t="s">
        <v>1507</v>
      </c>
      <c r="G11" s="546">
        <v>14375</v>
      </c>
      <c r="I11" s="92">
        <v>0</v>
      </c>
      <c r="K11" s="546" t="s">
        <v>1394</v>
      </c>
      <c r="N11" s="381"/>
    </row>
    <row r="12" spans="1:14" s="538" customFormat="1" ht="18.75">
      <c r="A12" s="544" t="s">
        <v>1508</v>
      </c>
      <c r="G12" s="92">
        <v>0</v>
      </c>
      <c r="I12" s="546">
        <v>41667</v>
      </c>
      <c r="K12" s="92">
        <v>0</v>
      </c>
      <c r="N12" s="381"/>
    </row>
    <row r="13" spans="1:14" s="538" customFormat="1" ht="18.75">
      <c r="A13" s="544" t="s">
        <v>1527</v>
      </c>
      <c r="G13" s="546">
        <v>69240</v>
      </c>
      <c r="I13" s="92"/>
      <c r="K13" s="546"/>
      <c r="N13" s="381"/>
    </row>
    <row r="14" spans="1:14" s="538" customFormat="1" ht="9" customHeight="1">
      <c r="N14" s="381"/>
    </row>
    <row r="15" spans="1:14" s="53" customFormat="1" ht="19.5" thickBot="1">
      <c r="A15" s="545" t="s">
        <v>330</v>
      </c>
      <c r="G15" s="77">
        <f>SUM(G6:G13)</f>
        <v>2448731.94</v>
      </c>
      <c r="I15" s="77">
        <f>SUM(I6:I12)</f>
        <v>883397.60000000009</v>
      </c>
      <c r="K15" s="77">
        <f>SUM(K6:K12)</f>
        <v>829704</v>
      </c>
      <c r="N15" s="560"/>
    </row>
    <row r="16" spans="1:14" ht="15.75" thickTop="1"/>
    <row r="21" spans="1:7" ht="18.75">
      <c r="A21" s="636" t="s">
        <v>1509</v>
      </c>
    </row>
    <row r="23" spans="1:7" ht="18.75">
      <c r="A23" s="538"/>
      <c r="B23" s="538"/>
      <c r="C23" s="538"/>
      <c r="D23" s="538"/>
      <c r="E23" s="538"/>
      <c r="F23" s="538"/>
      <c r="G23" s="633">
        <v>2017</v>
      </c>
    </row>
    <row r="24" spans="1:7">
      <c r="A24" s="538"/>
      <c r="B24" s="538"/>
      <c r="C24" s="538"/>
      <c r="D24" s="538"/>
      <c r="E24" s="538"/>
      <c r="F24" s="538"/>
      <c r="G24" s="83"/>
    </row>
    <row r="25" spans="1:7" ht="18.75">
      <c r="A25" s="544" t="s">
        <v>1504</v>
      </c>
      <c r="B25" s="538"/>
      <c r="C25" s="538"/>
      <c r="D25" s="538"/>
      <c r="E25" s="538"/>
      <c r="F25" s="538"/>
      <c r="G25" s="546">
        <v>121940</v>
      </c>
    </row>
    <row r="26" spans="1:7" ht="18.75">
      <c r="A26" s="544" t="s">
        <v>1505</v>
      </c>
      <c r="B26" s="538"/>
      <c r="C26" s="538"/>
      <c r="D26" s="538"/>
      <c r="E26" s="538"/>
      <c r="F26" s="538"/>
      <c r="G26" s="546">
        <v>176996</v>
      </c>
    </row>
    <row r="27" spans="1:7" ht="18.75">
      <c r="A27" s="544" t="s">
        <v>1506</v>
      </c>
      <c r="B27" s="538"/>
      <c r="C27" s="538"/>
      <c r="D27" s="538"/>
      <c r="E27" s="538"/>
      <c r="F27" s="538"/>
      <c r="G27" s="546">
        <v>226761</v>
      </c>
    </row>
    <row r="28" spans="1:7">
      <c r="A28" s="538"/>
      <c r="B28" s="538"/>
      <c r="C28" s="538"/>
      <c r="D28" s="538"/>
      <c r="E28" s="538"/>
      <c r="F28" s="538"/>
      <c r="G28" s="538"/>
    </row>
    <row r="29" spans="1:7" ht="23.25" customHeight="1" thickBot="1">
      <c r="A29" s="545" t="s">
        <v>330</v>
      </c>
      <c r="B29" s="53"/>
      <c r="C29" s="53"/>
      <c r="D29" s="53"/>
      <c r="E29" s="53"/>
      <c r="F29" s="53"/>
      <c r="G29" s="634">
        <f>SUM(G25:G27)</f>
        <v>525697</v>
      </c>
    </row>
    <row r="30" spans="1:7" ht="15.75" thickTop="1"/>
  </sheetData>
  <hyperlinks>
    <hyperlink ref="K1" location="الميزانية!A1" display="home" xr:uid="{00000000-0004-0000-1100-000000000000}"/>
    <hyperlink ref="A8:A9" location="'الذمم  2017 '!A1" display="عهد العاملين" xr:uid="{00000000-0004-0000-1100-000001000000}"/>
    <hyperlink ref="A6" location="'الإيرادات المستحقة  2017'!A1" display="إيرادات مستحقة " xr:uid="{00000000-0004-0000-1100-000002000000}"/>
    <hyperlink ref="A10" location="'إيرادات مستحقة وأرصدة مدينة أخر'!A18" display="ذمم العملاء" xr:uid="{00000000-0004-0000-1100-000003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2:G15"/>
  <sheetViews>
    <sheetView rightToLeft="1" workbookViewId="0">
      <selection activeCell="D11" sqref="D11"/>
    </sheetView>
  </sheetViews>
  <sheetFormatPr defaultRowHeight="15"/>
  <cols>
    <col min="1" max="1" width="10.7109375" bestFit="1" customWidth="1"/>
    <col min="2" max="2" width="16.85546875" bestFit="1" customWidth="1"/>
    <col min="3" max="3" width="6.85546875" bestFit="1" customWidth="1"/>
    <col min="4" max="4" width="21.7109375" style="355" bestFit="1" customWidth="1"/>
    <col min="5" max="5" width="24.5703125" style="356" bestFit="1" customWidth="1"/>
    <col min="6" max="6" width="21.7109375" style="356" bestFit="1" customWidth="1"/>
    <col min="7" max="7" width="24.5703125" bestFit="1" customWidth="1"/>
    <col min="10" max="10" width="10.5703125" bestFit="1" customWidth="1"/>
  </cols>
  <sheetData>
    <row r="2" spans="1:7" ht="15.75">
      <c r="G2" s="593"/>
    </row>
    <row r="5" spans="1:7" ht="30">
      <c r="A5" s="696" t="s">
        <v>1397</v>
      </c>
      <c r="B5" s="696"/>
      <c r="C5" s="696"/>
      <c r="D5" s="696"/>
      <c r="E5" s="696"/>
      <c r="F5" s="696"/>
      <c r="G5" s="696"/>
    </row>
    <row r="6" spans="1:7" ht="15.75" thickBot="1"/>
    <row r="7" spans="1:7" ht="49.5" customHeight="1" thickBot="1">
      <c r="A7" s="357" t="s">
        <v>22</v>
      </c>
      <c r="B7" s="357" t="s">
        <v>417</v>
      </c>
      <c r="C7" s="358" t="s">
        <v>418</v>
      </c>
      <c r="D7" s="359" t="s">
        <v>717</v>
      </c>
      <c r="E7" s="360" t="s">
        <v>716</v>
      </c>
      <c r="F7" s="360" t="s">
        <v>3</v>
      </c>
      <c r="G7" s="361" t="s">
        <v>218</v>
      </c>
    </row>
    <row r="8" spans="1:7" ht="10.5" customHeight="1"/>
    <row r="9" spans="1:7" ht="45.75" customHeight="1">
      <c r="A9" s="526">
        <v>1</v>
      </c>
      <c r="B9" s="523">
        <v>131101000000</v>
      </c>
      <c r="C9" s="527" t="s">
        <v>52</v>
      </c>
      <c r="D9" s="524">
        <v>90937.21</v>
      </c>
      <c r="E9" s="525">
        <v>1047958</v>
      </c>
      <c r="F9" s="525">
        <v>90937.21</v>
      </c>
      <c r="G9" s="528">
        <f>D9-F9+E9</f>
        <v>1047958</v>
      </c>
    </row>
    <row r="10" spans="1:7" ht="45.75" customHeight="1">
      <c r="A10" s="526">
        <v>2</v>
      </c>
      <c r="B10" s="523">
        <v>131103000000</v>
      </c>
      <c r="C10" s="527" t="s">
        <v>1396</v>
      </c>
      <c r="D10" s="524">
        <v>33265.5</v>
      </c>
      <c r="E10" s="525">
        <v>52756</v>
      </c>
      <c r="F10" s="525">
        <v>33265.5</v>
      </c>
      <c r="G10" s="528">
        <f>D10-F10+E10</f>
        <v>52756</v>
      </c>
    </row>
    <row r="11" spans="1:7" ht="45.75" customHeight="1">
      <c r="A11" s="526">
        <v>3</v>
      </c>
      <c r="B11" s="523">
        <v>131110000000</v>
      </c>
      <c r="C11" s="527" t="s">
        <v>126</v>
      </c>
      <c r="D11" s="524">
        <v>65650</v>
      </c>
      <c r="E11" s="525">
        <v>4500</v>
      </c>
      <c r="F11" s="525">
        <v>65650</v>
      </c>
      <c r="G11" s="528">
        <f>D11-F11+E11</f>
        <v>4500</v>
      </c>
    </row>
    <row r="12" spans="1:7" ht="10.5" customHeight="1" thickBot="1">
      <c r="D12" s="373"/>
      <c r="E12" s="374"/>
      <c r="F12" s="374"/>
      <c r="G12" s="375"/>
    </row>
    <row r="13" spans="1:7" ht="50.25" customHeight="1" thickBot="1">
      <c r="A13" s="142" t="s">
        <v>421</v>
      </c>
      <c r="B13" s="697" t="s">
        <v>420</v>
      </c>
      <c r="C13" s="698"/>
      <c r="D13" s="376">
        <f>SUM(D9:D12)</f>
        <v>189852.71000000002</v>
      </c>
      <c r="E13" s="376">
        <f>SUM(E9:E12)</f>
        <v>1105214</v>
      </c>
      <c r="F13" s="376">
        <f>SUM(F9:F12)</f>
        <v>189852.71000000002</v>
      </c>
      <c r="G13" s="376">
        <f>SUM(G9:G12)</f>
        <v>1105214</v>
      </c>
    </row>
    <row r="15" spans="1:7" s="5" customFormat="1" ht="71.25" customHeight="1">
      <c r="A15" s="699" t="s">
        <v>1398</v>
      </c>
      <c r="B15" s="699"/>
      <c r="C15" s="699"/>
      <c r="D15" s="699"/>
      <c r="E15" s="699"/>
      <c r="F15" s="699"/>
      <c r="G15" s="699"/>
    </row>
  </sheetData>
  <mergeCells count="3">
    <mergeCell ref="A5:G5"/>
    <mergeCell ref="B13:C13"/>
    <mergeCell ref="A15:G15"/>
  </mergeCells>
  <printOptions horizontalCentered="1"/>
  <pageMargins left="0" right="0" top="0.94488188976377963" bottom="0.74803149606299213" header="0.31496062992125984" footer="0.31496062992125984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2:J15"/>
  <sheetViews>
    <sheetView rightToLeft="1" workbookViewId="0">
      <selection activeCell="I6" sqref="I6"/>
    </sheetView>
  </sheetViews>
  <sheetFormatPr defaultRowHeight="15"/>
  <cols>
    <col min="1" max="1" width="10.7109375" bestFit="1" customWidth="1"/>
    <col min="2" max="2" width="16.85546875" bestFit="1" customWidth="1"/>
    <col min="3" max="3" width="25.42578125" bestFit="1" customWidth="1"/>
    <col min="4" max="4" width="25.42578125" style="355" customWidth="1"/>
    <col min="5" max="6" width="25.42578125" style="356" customWidth="1"/>
    <col min="7" max="7" width="21.7109375" bestFit="1" customWidth="1"/>
    <col min="10" max="10" width="10.5703125" bestFit="1" customWidth="1"/>
  </cols>
  <sheetData>
    <row r="2" spans="1:10" ht="15.75">
      <c r="G2" s="593" t="s">
        <v>1469</v>
      </c>
    </row>
    <row r="5" spans="1:10" ht="30">
      <c r="A5" s="696" t="s">
        <v>229</v>
      </c>
      <c r="B5" s="696"/>
      <c r="C5" s="696"/>
      <c r="D5" s="696"/>
      <c r="E5" s="696"/>
      <c r="F5" s="696"/>
      <c r="G5" s="696"/>
    </row>
    <row r="6" spans="1:10" ht="15.75" thickBot="1"/>
    <row r="7" spans="1:10" ht="24" thickBot="1">
      <c r="A7" s="357" t="s">
        <v>22</v>
      </c>
      <c r="B7" s="357" t="s">
        <v>417</v>
      </c>
      <c r="C7" s="358" t="s">
        <v>418</v>
      </c>
      <c r="D7" s="359" t="s">
        <v>717</v>
      </c>
      <c r="E7" s="360" t="s">
        <v>716</v>
      </c>
      <c r="F7" s="360" t="s">
        <v>3</v>
      </c>
      <c r="G7" s="361" t="s">
        <v>419</v>
      </c>
    </row>
    <row r="8" spans="1:10" ht="10.5" customHeight="1" thickBot="1"/>
    <row r="9" spans="1:10" ht="19.5" thickBot="1">
      <c r="A9" s="162">
        <v>1</v>
      </c>
      <c r="B9" s="156">
        <v>221401000000</v>
      </c>
      <c r="C9" s="153" t="s">
        <v>165</v>
      </c>
      <c r="D9" s="368">
        <v>0</v>
      </c>
      <c r="E9" s="369">
        <v>0</v>
      </c>
      <c r="F9" s="369">
        <v>44998.19</v>
      </c>
      <c r="G9" s="370">
        <f>D9+F9-E9</f>
        <v>44998.19</v>
      </c>
    </row>
    <row r="10" spans="1:10" ht="19.5" thickBot="1">
      <c r="A10" s="163">
        <v>2</v>
      </c>
      <c r="B10" s="156">
        <v>221402000000</v>
      </c>
      <c r="C10" s="154" t="s">
        <v>126</v>
      </c>
      <c r="D10" s="371">
        <v>0</v>
      </c>
      <c r="E10" s="372">
        <v>0</v>
      </c>
      <c r="F10" s="372">
        <v>137515</v>
      </c>
      <c r="G10" s="370">
        <f>D10+F10-E10</f>
        <v>137515</v>
      </c>
      <c r="J10" s="129">
        <f>G10/72667</f>
        <v>1.8923995761487333</v>
      </c>
    </row>
    <row r="11" spans="1:10" ht="19.5" thickBot="1">
      <c r="A11" s="163">
        <v>3</v>
      </c>
      <c r="B11" s="156">
        <v>221403000000</v>
      </c>
      <c r="C11" s="154" t="s">
        <v>123</v>
      </c>
      <c r="D11" s="371">
        <v>0</v>
      </c>
      <c r="E11" s="372">
        <v>0</v>
      </c>
      <c r="F11" s="372">
        <v>27147</v>
      </c>
      <c r="G11" s="370">
        <f>D11+F11-E11</f>
        <v>27147</v>
      </c>
    </row>
    <row r="12" spans="1:10" ht="19.5" thickBot="1">
      <c r="A12" s="163"/>
      <c r="B12" s="156"/>
      <c r="C12" s="154" t="s">
        <v>52</v>
      </c>
      <c r="D12" s="371"/>
      <c r="E12" s="372"/>
      <c r="F12" s="372">
        <v>129895</v>
      </c>
      <c r="G12" s="370">
        <f>D12+F12-E12</f>
        <v>129895</v>
      </c>
    </row>
    <row r="13" spans="1:10" ht="18.75">
      <c r="A13" s="163"/>
      <c r="B13" s="156"/>
      <c r="C13" s="154" t="s">
        <v>1389</v>
      </c>
      <c r="D13" s="371"/>
      <c r="E13" s="372"/>
      <c r="F13" s="372">
        <v>76655</v>
      </c>
      <c r="G13" s="370">
        <f>D13+F13-E13</f>
        <v>76655</v>
      </c>
    </row>
    <row r="14" spans="1:10" ht="10.5" customHeight="1" thickBot="1">
      <c r="D14" s="373"/>
      <c r="E14" s="374"/>
      <c r="F14" s="374"/>
      <c r="G14" s="375"/>
    </row>
    <row r="15" spans="1:10" ht="23.25" thickBot="1">
      <c r="A15" s="142" t="s">
        <v>421</v>
      </c>
      <c r="B15" s="697" t="s">
        <v>420</v>
      </c>
      <c r="C15" s="698"/>
      <c r="D15" s="376">
        <f t="shared" ref="D15:E15" si="0">SUM(D9:D14)</f>
        <v>0</v>
      </c>
      <c r="E15" s="376">
        <f t="shared" si="0"/>
        <v>0</v>
      </c>
      <c r="F15" s="376">
        <f>SUM(F9:F14)</f>
        <v>416210.19</v>
      </c>
      <c r="G15" s="376">
        <f>SUM(G9:G14)</f>
        <v>416210.19</v>
      </c>
    </row>
  </sheetData>
  <mergeCells count="2">
    <mergeCell ref="A5:G5"/>
    <mergeCell ref="B15:C15"/>
  </mergeCells>
  <hyperlinks>
    <hyperlink ref="G2" location="الميزانية!A1" display="home" xr:uid="{00000000-0004-0000-1300-000000000000}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9"/>
  <dimension ref="A1:M27"/>
  <sheetViews>
    <sheetView rightToLeft="1" zoomScaleNormal="100" zoomScaleSheetLayoutView="100" workbookViewId="0">
      <selection activeCell="J20" sqref="J20"/>
    </sheetView>
  </sheetViews>
  <sheetFormatPr defaultRowHeight="15"/>
  <cols>
    <col min="1" max="1" width="2.7109375" style="5" bestFit="1" customWidth="1"/>
    <col min="2" max="2" width="53.140625" style="5" bestFit="1" customWidth="1"/>
    <col min="3" max="3" width="17.28515625" style="5" customWidth="1"/>
    <col min="4" max="4" width="14.42578125" style="5" customWidth="1"/>
    <col min="5" max="12" width="9.140625" style="5"/>
    <col min="13" max="13" width="12.42578125" style="5" bestFit="1" customWidth="1"/>
    <col min="14" max="16384" width="9.140625" style="5"/>
  </cols>
  <sheetData>
    <row r="1" spans="1:13" ht="77.25" customHeight="1">
      <c r="A1" s="719" t="s">
        <v>12</v>
      </c>
      <c r="B1" s="719"/>
      <c r="C1" s="719"/>
      <c r="D1" s="719"/>
    </row>
    <row r="2" spans="1:13" ht="42" customHeight="1" thickBot="1">
      <c r="A2" s="720" t="s">
        <v>1519</v>
      </c>
      <c r="B2" s="720"/>
      <c r="C2" s="720"/>
      <c r="D2" s="720"/>
    </row>
    <row r="3" spans="1:13" s="20" customFormat="1" ht="38.25" customHeight="1" thickBot="1">
      <c r="A3" s="17" t="s">
        <v>22</v>
      </c>
      <c r="B3" s="18" t="s">
        <v>1</v>
      </c>
      <c r="C3" s="18"/>
      <c r="D3" s="19" t="s">
        <v>218</v>
      </c>
    </row>
    <row r="4" spans="1:13" s="20" customFormat="1" ht="20.25" customHeight="1" thickBot="1">
      <c r="A4" s="21"/>
      <c r="B4" s="22" t="s">
        <v>1520</v>
      </c>
      <c r="C4" s="23"/>
      <c r="D4" s="29">
        <f>C5+C6+C7+C8+C9+C11+C10</f>
        <v>75668.36</v>
      </c>
    </row>
    <row r="5" spans="1:13" s="20" customFormat="1" ht="20.25" customHeight="1">
      <c r="A5" s="62">
        <v>1</v>
      </c>
      <c r="B5" s="25" t="s">
        <v>470</v>
      </c>
      <c r="C5" s="512">
        <v>0</v>
      </c>
      <c r="D5" s="31"/>
    </row>
    <row r="6" spans="1:13" s="20" customFormat="1" ht="20.25" customHeight="1">
      <c r="A6" s="63">
        <v>2</v>
      </c>
      <c r="B6" s="30" t="s">
        <v>471</v>
      </c>
      <c r="C6" s="513">
        <v>1186.8</v>
      </c>
      <c r="D6" s="31"/>
    </row>
    <row r="7" spans="1:13" s="20" customFormat="1" ht="20.25" customHeight="1">
      <c r="A7" s="63">
        <v>3</v>
      </c>
      <c r="B7" s="30" t="s">
        <v>472</v>
      </c>
      <c r="C7" s="513">
        <v>6938.9</v>
      </c>
      <c r="D7" s="31"/>
      <c r="M7" s="733"/>
    </row>
    <row r="8" spans="1:13" s="20" customFormat="1" ht="20.25" customHeight="1">
      <c r="A8" s="63">
        <v>4</v>
      </c>
      <c r="B8" s="30" t="s">
        <v>221</v>
      </c>
      <c r="C8" s="513">
        <v>3900</v>
      </c>
      <c r="D8" s="31"/>
    </row>
    <row r="9" spans="1:13" s="20" customFormat="1" ht="20.25" customHeight="1">
      <c r="A9" s="63">
        <v>5</v>
      </c>
      <c r="B9" s="30" t="s">
        <v>473</v>
      </c>
      <c r="C9" s="513">
        <v>9192.66</v>
      </c>
      <c r="D9" s="31"/>
    </row>
    <row r="10" spans="1:13" s="20" customFormat="1" ht="20.25" customHeight="1">
      <c r="A10" s="63">
        <v>6</v>
      </c>
      <c r="B10" s="30" t="s">
        <v>474</v>
      </c>
      <c r="C10" s="513">
        <v>5900</v>
      </c>
      <c r="D10" s="31"/>
    </row>
    <row r="11" spans="1:13" s="20" customFormat="1" ht="20.25" customHeight="1">
      <c r="A11" s="63">
        <v>7</v>
      </c>
      <c r="B11" s="30" t="s">
        <v>222</v>
      </c>
      <c r="C11" s="513">
        <v>48550</v>
      </c>
      <c r="D11" s="31"/>
    </row>
    <row r="12" spans="1:13" s="20" customFormat="1" ht="20.25" customHeight="1" thickBot="1">
      <c r="A12" s="26"/>
      <c r="B12" s="27"/>
      <c r="C12" s="514">
        <v>0</v>
      </c>
      <c r="D12" s="28"/>
    </row>
    <row r="13" spans="1:13" s="522" customFormat="1" ht="38.25" customHeight="1" thickBot="1">
      <c r="A13" s="721" t="s">
        <v>218</v>
      </c>
      <c r="B13" s="722"/>
      <c r="C13" s="521"/>
      <c r="D13" s="520">
        <f>SUM(D4:D12)</f>
        <v>75668.36</v>
      </c>
    </row>
    <row r="14" spans="1:13" s="518" customFormat="1" ht="30.75" customHeight="1" thickBot="1">
      <c r="A14" s="515" t="s">
        <v>1518</v>
      </c>
      <c r="B14" s="516"/>
      <c r="C14" s="516"/>
      <c r="D14" s="517"/>
    </row>
    <row r="15" spans="1:13" s="20" customFormat="1" ht="38.25" customHeight="1" thickBot="1">
      <c r="A15" s="17" t="s">
        <v>22</v>
      </c>
      <c r="B15" s="18" t="s">
        <v>1</v>
      </c>
      <c r="C15" s="18"/>
      <c r="D15" s="19" t="s">
        <v>218</v>
      </c>
    </row>
    <row r="16" spans="1:13" s="20" customFormat="1" ht="20.25" customHeight="1">
      <c r="A16" s="21"/>
      <c r="B16" s="22" t="s">
        <v>1521</v>
      </c>
      <c r="C16" s="23"/>
      <c r="D16" s="24">
        <f>C17+C18+C19+C20+C21+C23+C22</f>
        <v>75668.36</v>
      </c>
    </row>
    <row r="17" spans="1:4" s="20" customFormat="1" ht="20.25" customHeight="1">
      <c r="A17" s="62">
        <v>1</v>
      </c>
      <c r="B17" s="25" t="s">
        <v>1522</v>
      </c>
      <c r="C17" s="512">
        <v>0</v>
      </c>
      <c r="D17" s="32"/>
    </row>
    <row r="18" spans="1:4" s="20" customFormat="1" ht="20.25" customHeight="1">
      <c r="A18" s="63">
        <v>2</v>
      </c>
      <c r="B18" s="30" t="s">
        <v>1524</v>
      </c>
      <c r="C18" s="513">
        <v>1186.8</v>
      </c>
      <c r="D18" s="32"/>
    </row>
    <row r="19" spans="1:4" s="20" customFormat="1" ht="20.25" customHeight="1">
      <c r="A19" s="63">
        <v>3</v>
      </c>
      <c r="B19" s="30" t="s">
        <v>1523</v>
      </c>
      <c r="C19" s="513">
        <v>6938.9</v>
      </c>
      <c r="D19" s="32"/>
    </row>
    <row r="20" spans="1:4" s="20" customFormat="1" ht="20.25" customHeight="1">
      <c r="A20" s="63">
        <v>4</v>
      </c>
      <c r="B20" s="30" t="s">
        <v>221</v>
      </c>
      <c r="C20" s="513">
        <v>3900</v>
      </c>
      <c r="D20" s="32"/>
    </row>
    <row r="21" spans="1:4" s="20" customFormat="1" ht="20.25" customHeight="1">
      <c r="A21" s="63">
        <v>5</v>
      </c>
      <c r="B21" s="30" t="s">
        <v>1525</v>
      </c>
      <c r="C21" s="513">
        <v>9192.66</v>
      </c>
      <c r="D21" s="32"/>
    </row>
    <row r="22" spans="1:4" s="20" customFormat="1" ht="20.25" customHeight="1">
      <c r="A22" s="63"/>
      <c r="B22" s="30" t="s">
        <v>474</v>
      </c>
      <c r="C22" s="513">
        <v>5900</v>
      </c>
      <c r="D22" s="32"/>
    </row>
    <row r="23" spans="1:4" s="20" customFormat="1" ht="20.25" customHeight="1">
      <c r="A23" s="63">
        <v>6</v>
      </c>
      <c r="B23" s="30" t="s">
        <v>222</v>
      </c>
      <c r="C23" s="513">
        <v>48550</v>
      </c>
      <c r="D23" s="32"/>
    </row>
    <row r="24" spans="1:4" s="20" customFormat="1" ht="20.25" customHeight="1" thickBot="1">
      <c r="A24" s="26"/>
      <c r="B24" s="27" t="s">
        <v>219</v>
      </c>
      <c r="C24" s="513">
        <v>0</v>
      </c>
      <c r="D24" s="28"/>
    </row>
    <row r="25" spans="1:4" s="511" customFormat="1" ht="38.25" customHeight="1" thickBot="1">
      <c r="A25" s="721" t="s">
        <v>218</v>
      </c>
      <c r="B25" s="722"/>
      <c r="C25" s="519">
        <f>SUM(C17:C24)</f>
        <v>75668.36</v>
      </c>
      <c r="D25" s="520">
        <f>SUM(D16:D24)</f>
        <v>75668.36</v>
      </c>
    </row>
    <row r="26" spans="1:4" s="518" customFormat="1" ht="30.75" customHeight="1" thickBot="1">
      <c r="A26" s="515" t="str">
        <f>A14</f>
        <v>فقط خمسة و سبعون ألف و ستمائة و ثمانية وستون ريال و ستة و ثلاثون هلله</v>
      </c>
      <c r="B26" s="516"/>
      <c r="C26" s="516"/>
      <c r="D26" s="517"/>
    </row>
    <row r="27" spans="1:4" ht="71.25" customHeight="1">
      <c r="A27" s="717" t="s">
        <v>396</v>
      </c>
      <c r="B27" s="717"/>
      <c r="C27" s="718" t="s">
        <v>220</v>
      </c>
      <c r="D27" s="718"/>
    </row>
  </sheetData>
  <mergeCells count="6">
    <mergeCell ref="A27:B27"/>
    <mergeCell ref="C27:D27"/>
    <mergeCell ref="A1:D1"/>
    <mergeCell ref="A2:D2"/>
    <mergeCell ref="A13:B13"/>
    <mergeCell ref="A25:B25"/>
  </mergeCells>
  <hyperlinks>
    <hyperlink ref="A1" r:id="rId1" location="'الدليل '!A1" display="الدليل" xr:uid="{00000000-0004-0000-1500-000000000000}"/>
    <hyperlink ref="A1:D1" location="'ميزان المراجعة 2017'!A1" display="مؤسسة الرسين للصيانة" xr:uid="{00000000-0004-0000-1500-000001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2:J26"/>
  <sheetViews>
    <sheetView rightToLeft="1" workbookViewId="0"/>
  </sheetViews>
  <sheetFormatPr defaultRowHeight="15"/>
  <cols>
    <col min="1" max="1" width="10.7109375" bestFit="1" customWidth="1"/>
    <col min="2" max="2" width="22.85546875" bestFit="1" customWidth="1"/>
    <col min="3" max="3" width="29.140625" bestFit="1" customWidth="1"/>
    <col min="4" max="4" width="25.42578125" style="355" customWidth="1"/>
    <col min="5" max="6" width="25.42578125" style="356" customWidth="1"/>
    <col min="7" max="7" width="23" bestFit="1" customWidth="1"/>
    <col min="10" max="10" width="10.5703125" bestFit="1" customWidth="1"/>
  </cols>
  <sheetData>
    <row r="2" spans="1:10" ht="15.75">
      <c r="G2" s="593" t="s">
        <v>1469</v>
      </c>
    </row>
    <row r="5" spans="1:10" ht="30">
      <c r="A5" s="696" t="s">
        <v>229</v>
      </c>
      <c r="B5" s="696"/>
      <c r="C5" s="696"/>
      <c r="D5" s="696"/>
      <c r="E5" s="696"/>
      <c r="F5" s="696"/>
      <c r="G5" s="696"/>
    </row>
    <row r="7" spans="1:10" ht="27" thickBot="1">
      <c r="A7" s="389" t="s">
        <v>22</v>
      </c>
      <c r="B7" s="390" t="s">
        <v>417</v>
      </c>
      <c r="C7" s="391" t="s">
        <v>418</v>
      </c>
      <c r="D7" s="580" t="s">
        <v>717</v>
      </c>
      <c r="E7" s="392" t="s">
        <v>716</v>
      </c>
      <c r="F7" s="392" t="s">
        <v>3</v>
      </c>
      <c r="G7" s="393" t="s">
        <v>419</v>
      </c>
    </row>
    <row r="8" spans="1:10" ht="19.5" thickBot="1">
      <c r="A8" s="384">
        <f>SUBTOTAL(3,$C$8:C8)</f>
        <v>1</v>
      </c>
      <c r="B8" s="156">
        <v>221306000000</v>
      </c>
      <c r="C8" s="153" t="s">
        <v>232</v>
      </c>
      <c r="D8" s="377">
        <v>419311</v>
      </c>
      <c r="E8" s="377">
        <v>1413228</v>
      </c>
      <c r="F8" s="377">
        <v>2579881</v>
      </c>
      <c r="G8" s="385">
        <f t="shared" ref="G8:G17" si="0">D8+F8-E8</f>
        <v>1585964</v>
      </c>
    </row>
    <row r="9" spans="1:10" ht="19.5" thickBot="1">
      <c r="A9" s="384">
        <f>SUBTOTAL(3,$C$8:C9)</f>
        <v>2</v>
      </c>
      <c r="B9" s="157">
        <v>221182100000</v>
      </c>
      <c r="C9" s="154" t="s">
        <v>231</v>
      </c>
      <c r="D9" s="378">
        <v>1308000</v>
      </c>
      <c r="E9" s="378">
        <v>654003</v>
      </c>
      <c r="F9" s="378">
        <v>0</v>
      </c>
      <c r="G9" s="385">
        <f t="shared" si="0"/>
        <v>653997</v>
      </c>
      <c r="J9" s="129"/>
    </row>
    <row r="10" spans="1:10" ht="19.5" thickBot="1">
      <c r="A10" s="384">
        <f>SUBTOTAL(3,$C$8:C10)</f>
        <v>3</v>
      </c>
      <c r="B10" s="157">
        <v>221101080117</v>
      </c>
      <c r="C10" s="154" t="s">
        <v>726</v>
      </c>
      <c r="D10" s="378">
        <v>0</v>
      </c>
      <c r="E10" s="378">
        <v>65000</v>
      </c>
      <c r="F10" s="378">
        <v>130000</v>
      </c>
      <c r="G10" s="385">
        <f t="shared" si="0"/>
        <v>65000</v>
      </c>
    </row>
    <row r="11" spans="1:10" ht="19.5" thickBot="1">
      <c r="A11" s="384">
        <f>SUBTOTAL(3,$C$8:C11)</f>
        <v>4</v>
      </c>
      <c r="B11" s="157">
        <v>221101080116</v>
      </c>
      <c r="C11" s="154" t="s">
        <v>725</v>
      </c>
      <c r="D11" s="378">
        <v>0</v>
      </c>
      <c r="E11" s="378">
        <v>422077</v>
      </c>
      <c r="F11" s="378">
        <v>482077</v>
      </c>
      <c r="G11" s="385">
        <f t="shared" si="0"/>
        <v>60000</v>
      </c>
    </row>
    <row r="12" spans="1:10" ht="19.5" thickBot="1">
      <c r="A12" s="384">
        <f>SUBTOTAL(3,$C$8:C12)</f>
        <v>5</v>
      </c>
      <c r="B12" s="157">
        <v>221101080115</v>
      </c>
      <c r="C12" s="154" t="s">
        <v>572</v>
      </c>
      <c r="D12" s="378">
        <v>0</v>
      </c>
      <c r="E12" s="378">
        <v>0</v>
      </c>
      <c r="F12" s="378">
        <v>172000</v>
      </c>
      <c r="G12" s="385">
        <f t="shared" si="0"/>
        <v>172000</v>
      </c>
    </row>
    <row r="13" spans="1:10" ht="19.5" thickBot="1">
      <c r="A13" s="384">
        <f>SUBTOTAL(3,$C$8:C13)</f>
        <v>6</v>
      </c>
      <c r="B13" s="157">
        <v>221101080114</v>
      </c>
      <c r="C13" s="154" t="s">
        <v>724</v>
      </c>
      <c r="D13" s="378">
        <v>0</v>
      </c>
      <c r="E13" s="378">
        <v>0</v>
      </c>
      <c r="F13" s="378">
        <v>11100</v>
      </c>
      <c r="G13" s="385">
        <f t="shared" si="0"/>
        <v>11100</v>
      </c>
    </row>
    <row r="14" spans="1:10" ht="19.5" thickBot="1">
      <c r="A14" s="384">
        <f>SUBTOTAL(3,$C$8:C14)</f>
        <v>7</v>
      </c>
      <c r="B14" s="157">
        <v>221101080113</v>
      </c>
      <c r="C14" s="154" t="s">
        <v>723</v>
      </c>
      <c r="D14" s="378">
        <v>0</v>
      </c>
      <c r="E14" s="378">
        <v>287500</v>
      </c>
      <c r="F14" s="378">
        <v>1227625</v>
      </c>
      <c r="G14" s="385">
        <f t="shared" si="0"/>
        <v>940125</v>
      </c>
    </row>
    <row r="15" spans="1:10" ht="19.5" thickBot="1">
      <c r="A15" s="384">
        <f>SUBTOTAL(3,$C$8:C15)</f>
        <v>8</v>
      </c>
      <c r="B15" s="157">
        <v>221101080112</v>
      </c>
      <c r="C15" s="154" t="s">
        <v>230</v>
      </c>
      <c r="D15" s="378">
        <v>267400</v>
      </c>
      <c r="E15" s="378">
        <v>791500</v>
      </c>
      <c r="F15" s="378">
        <v>539875</v>
      </c>
      <c r="G15" s="385">
        <f t="shared" si="0"/>
        <v>15775</v>
      </c>
    </row>
    <row r="16" spans="1:10" ht="19.5" thickBot="1">
      <c r="A16" s="598">
        <f>SUBTOTAL(3,$C$8:C16)</f>
        <v>9</v>
      </c>
      <c r="B16" s="386">
        <v>221101000168</v>
      </c>
      <c r="C16" s="387" t="s">
        <v>722</v>
      </c>
      <c r="D16" s="388">
        <v>0</v>
      </c>
      <c r="E16" s="388">
        <v>42247</v>
      </c>
      <c r="F16" s="388">
        <f>42247+27000</f>
        <v>69247</v>
      </c>
      <c r="G16" s="385">
        <f t="shared" si="0"/>
        <v>27000</v>
      </c>
    </row>
    <row r="17" spans="1:10" ht="18.75">
      <c r="A17" s="595">
        <f>SUBTOTAL(3,$C$8:C17)</f>
        <v>10</v>
      </c>
      <c r="B17" s="596"/>
      <c r="C17" s="387" t="s">
        <v>1483</v>
      </c>
      <c r="D17" s="597">
        <v>750000</v>
      </c>
      <c r="E17" s="597">
        <v>750000</v>
      </c>
      <c r="F17" s="597">
        <v>40000</v>
      </c>
      <c r="G17" s="385">
        <f t="shared" si="0"/>
        <v>40000</v>
      </c>
    </row>
    <row r="18" spans="1:10" ht="10.5" customHeight="1" thickBot="1">
      <c r="D18" s="379"/>
      <c r="E18" s="379"/>
      <c r="F18" s="379"/>
      <c r="G18" s="382"/>
    </row>
    <row r="19" spans="1:10" ht="33.75" customHeight="1" thickBot="1">
      <c r="A19" s="142" t="s">
        <v>421</v>
      </c>
      <c r="B19" s="697" t="s">
        <v>420</v>
      </c>
      <c r="C19" s="698"/>
      <c r="D19" s="380">
        <f>SUM(D8:D18)</f>
        <v>2744711</v>
      </c>
      <c r="E19" s="380">
        <f>SUM(E8:E18)</f>
        <v>4425555</v>
      </c>
      <c r="F19" s="380">
        <f>SUM(F8:F18)</f>
        <v>5251805</v>
      </c>
      <c r="G19" s="383">
        <f>SUM(G8:G18)</f>
        <v>3570961</v>
      </c>
    </row>
    <row r="21" spans="1:10">
      <c r="G21" s="92"/>
    </row>
    <row r="23" spans="1:10">
      <c r="G23" s="356"/>
      <c r="H23" s="356"/>
      <c r="I23" s="356"/>
      <c r="J23" s="356"/>
    </row>
    <row r="24" spans="1:10">
      <c r="G24" s="356"/>
      <c r="H24" s="356"/>
      <c r="I24" s="356"/>
      <c r="J24" s="356"/>
    </row>
    <row r="25" spans="1:10">
      <c r="G25" s="356"/>
      <c r="H25" s="356"/>
      <c r="I25" s="356"/>
      <c r="J25" s="356"/>
    </row>
    <row r="26" spans="1:10">
      <c r="G26" s="356"/>
      <c r="H26" s="356"/>
      <c r="I26" s="356"/>
      <c r="J26" s="356"/>
    </row>
  </sheetData>
  <mergeCells count="2">
    <mergeCell ref="A5:G5"/>
    <mergeCell ref="B19:C19"/>
  </mergeCells>
  <hyperlinks>
    <hyperlink ref="G2" location="الميزانية!A1" display="home" xr:uid="{00000000-0004-0000-1800-000000000000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2:K20"/>
  <sheetViews>
    <sheetView rightToLeft="1" workbookViewId="0">
      <selection activeCell="L11" sqref="L11"/>
    </sheetView>
  </sheetViews>
  <sheetFormatPr defaultRowHeight="15"/>
  <cols>
    <col min="1" max="1" width="10.7109375" bestFit="1" customWidth="1"/>
    <col min="2" max="2" width="16.85546875" bestFit="1" customWidth="1"/>
    <col min="3" max="3" width="16.85546875" customWidth="1"/>
    <col min="4" max="4" width="25.42578125" bestFit="1" customWidth="1"/>
    <col min="5" max="5" width="25.42578125" style="355" customWidth="1"/>
    <col min="6" max="7" width="25.42578125" style="356" customWidth="1"/>
    <col min="8" max="8" width="18" bestFit="1" customWidth="1"/>
    <col min="11" max="11" width="10.5703125" bestFit="1" customWidth="1"/>
  </cols>
  <sheetData>
    <row r="2" spans="1:11" ht="15.75">
      <c r="H2" s="593" t="s">
        <v>1469</v>
      </c>
    </row>
    <row r="5" spans="1:11" ht="28.5">
      <c r="A5" s="723" t="s">
        <v>1478</v>
      </c>
      <c r="B5" s="723"/>
      <c r="C5" s="723"/>
      <c r="D5" s="723"/>
      <c r="E5" s="723"/>
      <c r="F5" s="723"/>
      <c r="G5" s="723"/>
      <c r="H5" s="723"/>
    </row>
    <row r="6" spans="1:11" ht="15.75" thickBot="1"/>
    <row r="7" spans="1:11" ht="24" thickBot="1">
      <c r="A7" s="357" t="s">
        <v>22</v>
      </c>
      <c r="B7" s="357" t="s">
        <v>417</v>
      </c>
      <c r="C7" s="577" t="s">
        <v>1439</v>
      </c>
      <c r="D7" s="358" t="s">
        <v>418</v>
      </c>
      <c r="E7" s="576" t="s">
        <v>717</v>
      </c>
      <c r="F7" s="360" t="s">
        <v>716</v>
      </c>
      <c r="G7" s="360" t="s">
        <v>3</v>
      </c>
      <c r="H7" s="361" t="s">
        <v>419</v>
      </c>
    </row>
    <row r="8" spans="1:11" ht="10.5" customHeight="1" thickBot="1"/>
    <row r="9" spans="1:11" ht="19.5" thickBot="1">
      <c r="A9" s="162">
        <v>1</v>
      </c>
      <c r="B9" s="156">
        <v>221301000000</v>
      </c>
      <c r="C9" s="578"/>
      <c r="D9" s="153" t="s">
        <v>718</v>
      </c>
      <c r="E9" s="363">
        <v>2165215.02</v>
      </c>
      <c r="F9" s="364">
        <v>2968385.77</v>
      </c>
      <c r="G9" s="364">
        <v>16069868.67</v>
      </c>
      <c r="H9" s="367">
        <f>E9+G9-F9</f>
        <v>15266697.920000002</v>
      </c>
    </row>
    <row r="10" spans="1:11" ht="19.5" thickBot="1">
      <c r="A10" s="163">
        <v>2</v>
      </c>
      <c r="B10" s="157">
        <v>221307000000</v>
      </c>
      <c r="C10" s="579">
        <v>1010158083</v>
      </c>
      <c r="D10" s="154" t="s">
        <v>719</v>
      </c>
      <c r="E10" s="365">
        <v>1051681.45</v>
      </c>
      <c r="F10" s="366">
        <v>0</v>
      </c>
      <c r="G10" s="366">
        <v>0</v>
      </c>
      <c r="H10" s="367">
        <f>E10+G10-F10</f>
        <v>1051681.45</v>
      </c>
      <c r="K10" s="129"/>
    </row>
    <row r="11" spans="1:11" ht="18.75">
      <c r="A11" s="163">
        <v>3</v>
      </c>
      <c r="B11" s="157">
        <v>221308000000</v>
      </c>
      <c r="C11" s="579"/>
      <c r="D11" s="154" t="s">
        <v>720</v>
      </c>
      <c r="E11" s="365">
        <v>256431.4</v>
      </c>
      <c r="F11" s="366">
        <v>145587.09</v>
      </c>
      <c r="G11" s="366">
        <v>0</v>
      </c>
      <c r="H11" s="367">
        <f>E11+G11-F11</f>
        <v>110844.31</v>
      </c>
    </row>
    <row r="12" spans="1:11" ht="10.5" customHeight="1" thickBot="1">
      <c r="H12" s="33"/>
    </row>
    <row r="13" spans="1:11" ht="21" thickBot="1">
      <c r="A13" s="142" t="s">
        <v>421</v>
      </c>
      <c r="B13" s="697" t="s">
        <v>420</v>
      </c>
      <c r="C13" s="724"/>
      <c r="D13" s="698"/>
      <c r="E13" s="362">
        <f t="shared" ref="E13:G13" si="0">SUM(E9:E12)</f>
        <v>3473327.8699999996</v>
      </c>
      <c r="F13" s="362">
        <f t="shared" si="0"/>
        <v>3113972.86</v>
      </c>
      <c r="G13" s="362">
        <f t="shared" si="0"/>
        <v>16069868.67</v>
      </c>
      <c r="H13" s="362">
        <f>SUM(H9:H12)</f>
        <v>16429223.680000002</v>
      </c>
    </row>
    <row r="17" spans="7:8">
      <c r="H17" s="381"/>
    </row>
    <row r="20" spans="7:8">
      <c r="G20" s="356">
        <f>18055187.28-H13-40000</f>
        <v>1585963.5999999996</v>
      </c>
    </row>
  </sheetData>
  <mergeCells count="2">
    <mergeCell ref="A5:H5"/>
    <mergeCell ref="B13:D13"/>
  </mergeCells>
  <hyperlinks>
    <hyperlink ref="H2" location="الميزانية!A1" display="home" xr:uid="{00000000-0004-0000-1900-000000000000}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 filterMode="1"/>
  <dimension ref="A1:M96"/>
  <sheetViews>
    <sheetView rightToLeft="1" view="pageBreakPreview" zoomScale="90" zoomScaleNormal="100" zoomScaleSheetLayoutView="90" workbookViewId="0">
      <pane ySplit="2" topLeftCell="A71" activePane="bottomLeft" state="frozen"/>
      <selection pane="bottomLeft" activeCell="G14" sqref="G14:G16"/>
    </sheetView>
  </sheetViews>
  <sheetFormatPr defaultRowHeight="15"/>
  <cols>
    <col min="1" max="5" width="16.42578125" style="538" customWidth="1"/>
    <col min="6" max="6" width="26.140625" style="606" bestFit="1" customWidth="1"/>
    <col min="7" max="7" width="16.42578125" style="615" customWidth="1"/>
    <col min="8" max="8" width="11" style="538" customWidth="1"/>
    <col min="9" max="11" width="16.42578125" style="538" customWidth="1"/>
    <col min="12" max="12" width="22.28515625" style="538" customWidth="1"/>
    <col min="13" max="16" width="16.42578125" style="538" customWidth="1"/>
    <col min="17" max="16384" width="9.140625" style="538"/>
  </cols>
  <sheetData>
    <row r="1" spans="1:13" ht="48" customHeight="1" thickBot="1">
      <c r="A1" s="726" t="s">
        <v>670</v>
      </c>
      <c r="B1" s="726"/>
      <c r="C1" s="726"/>
      <c r="D1" s="726"/>
      <c r="E1" s="726"/>
      <c r="F1" s="727"/>
      <c r="G1" s="726"/>
      <c r="J1" s="725" t="s">
        <v>671</v>
      </c>
      <c r="K1" s="725"/>
      <c r="L1" s="725"/>
      <c r="M1" s="725"/>
    </row>
    <row r="2" spans="1:13" ht="27.75" customHeight="1" thickBot="1">
      <c r="A2" s="602" t="s">
        <v>22</v>
      </c>
      <c r="B2" s="602" t="s">
        <v>417</v>
      </c>
      <c r="C2" s="602" t="s">
        <v>1498</v>
      </c>
      <c r="D2" s="602" t="s">
        <v>1499</v>
      </c>
      <c r="E2" s="603" t="s">
        <v>475</v>
      </c>
      <c r="F2" s="604" t="s">
        <v>418</v>
      </c>
      <c r="G2" s="605" t="s">
        <v>419</v>
      </c>
      <c r="J2" s="619" t="s">
        <v>22</v>
      </c>
      <c r="K2" s="619" t="s">
        <v>417</v>
      </c>
      <c r="L2" s="620" t="s">
        <v>418</v>
      </c>
      <c r="M2" s="621" t="s">
        <v>419</v>
      </c>
    </row>
    <row r="3" spans="1:13" ht="9" customHeight="1" thickBot="1">
      <c r="G3" s="538"/>
    </row>
    <row r="4" spans="1:13" ht="21" hidden="1" thickBot="1">
      <c r="A4" s="348">
        <f>SUBTOTAL(3,B$4:B4)</f>
        <v>0</v>
      </c>
      <c r="B4" s="349">
        <v>122101000154</v>
      </c>
      <c r="C4" s="350"/>
      <c r="D4" s="350"/>
      <c r="E4" s="350" t="s">
        <v>477</v>
      </c>
      <c r="F4" s="607" t="s">
        <v>397</v>
      </c>
      <c r="G4" s="351">
        <v>83535.649999999994</v>
      </c>
      <c r="J4" s="162">
        <v>1</v>
      </c>
      <c r="K4" s="156">
        <v>221201080600</v>
      </c>
      <c r="L4" s="622" t="s">
        <v>400</v>
      </c>
      <c r="M4" s="367">
        <v>100</v>
      </c>
    </row>
    <row r="5" spans="1:13" ht="21" hidden="1" thickBot="1">
      <c r="A5" s="348">
        <f>SUBTOTAL(3,B$4:B5)</f>
        <v>0</v>
      </c>
      <c r="B5" s="349">
        <v>122101000157</v>
      </c>
      <c r="C5" s="350"/>
      <c r="D5" s="350"/>
      <c r="E5" s="350" t="s">
        <v>477</v>
      </c>
      <c r="F5" s="607" t="s">
        <v>442</v>
      </c>
      <c r="G5" s="351">
        <v>12998</v>
      </c>
      <c r="J5" s="163">
        <v>2</v>
      </c>
      <c r="K5" s="157">
        <v>221201082858</v>
      </c>
      <c r="L5" s="623" t="s">
        <v>401</v>
      </c>
      <c r="M5" s="625">
        <v>1125</v>
      </c>
    </row>
    <row r="6" spans="1:13" ht="21" hidden="1" thickBot="1">
      <c r="A6" s="348">
        <f>SUBTOTAL(3,B$4:B6)</f>
        <v>0</v>
      </c>
      <c r="B6" s="349">
        <v>122101000158</v>
      </c>
      <c r="C6" s="350"/>
      <c r="D6" s="350"/>
      <c r="E6" s="350" t="s">
        <v>477</v>
      </c>
      <c r="F6" s="607" t="s">
        <v>672</v>
      </c>
      <c r="G6" s="351">
        <v>24880</v>
      </c>
      <c r="J6" s="163">
        <v>3</v>
      </c>
      <c r="K6" s="157">
        <v>221201090859</v>
      </c>
      <c r="L6" s="623" t="s">
        <v>402</v>
      </c>
      <c r="M6" s="625">
        <v>500</v>
      </c>
    </row>
    <row r="7" spans="1:13" ht="21" hidden="1" thickBot="1">
      <c r="A7" s="348">
        <f>SUBTOTAL(3,B$4:B7)</f>
        <v>0</v>
      </c>
      <c r="B7" s="352">
        <v>122101000159</v>
      </c>
      <c r="C7" s="353"/>
      <c r="D7" s="353"/>
      <c r="E7" s="353" t="s">
        <v>477</v>
      </c>
      <c r="F7" s="608" t="s">
        <v>398</v>
      </c>
      <c r="G7" s="354">
        <v>1840</v>
      </c>
      <c r="J7" s="163">
        <v>4</v>
      </c>
      <c r="K7" s="157">
        <v>221203450670</v>
      </c>
      <c r="L7" s="623" t="s">
        <v>403</v>
      </c>
      <c r="M7" s="625">
        <v>287</v>
      </c>
    </row>
    <row r="8" spans="1:13" ht="21" hidden="1" thickBot="1">
      <c r="A8" s="348">
        <f>SUBTOTAL(3,B$4:B8)</f>
        <v>0</v>
      </c>
      <c r="B8" s="352">
        <v>122101000162</v>
      </c>
      <c r="C8" s="353"/>
      <c r="D8" s="353"/>
      <c r="E8" s="353" t="s">
        <v>477</v>
      </c>
      <c r="F8" s="608" t="s">
        <v>399</v>
      </c>
      <c r="G8" s="354">
        <v>5678</v>
      </c>
      <c r="H8" s="538" t="s">
        <v>681</v>
      </c>
      <c r="J8" s="163">
        <v>5</v>
      </c>
      <c r="K8" s="157">
        <v>221203484910</v>
      </c>
      <c r="L8" s="623" t="s">
        <v>404</v>
      </c>
      <c r="M8" s="625">
        <v>1337</v>
      </c>
    </row>
    <row r="9" spans="1:13" ht="21" hidden="1" thickBot="1">
      <c r="A9" s="348">
        <f>SUBTOTAL(3,B$4:B9)</f>
        <v>0</v>
      </c>
      <c r="B9" s="352">
        <v>122101000163</v>
      </c>
      <c r="C9" s="353"/>
      <c r="D9" s="353"/>
      <c r="E9" s="353" t="s">
        <v>477</v>
      </c>
      <c r="F9" s="608" t="s">
        <v>673</v>
      </c>
      <c r="G9" s="354">
        <v>3300</v>
      </c>
      <c r="J9" s="163">
        <v>6</v>
      </c>
      <c r="K9" s="157">
        <v>221204987323</v>
      </c>
      <c r="L9" s="623" t="s">
        <v>416</v>
      </c>
      <c r="M9" s="625"/>
    </row>
    <row r="10" spans="1:13" ht="21" thickBot="1">
      <c r="A10" s="348">
        <f>SUBTOTAL(3,B$4:B10)</f>
        <v>1</v>
      </c>
      <c r="B10" s="151">
        <v>122201070222</v>
      </c>
      <c r="C10" s="187"/>
      <c r="D10" s="187"/>
      <c r="E10" s="187" t="s">
        <v>476</v>
      </c>
      <c r="F10" s="609" t="s">
        <v>405</v>
      </c>
      <c r="G10" s="144">
        <v>16220</v>
      </c>
      <c r="J10" s="163">
        <v>7</v>
      </c>
      <c r="K10" s="157">
        <v>122201070485</v>
      </c>
      <c r="L10" s="623" t="s">
        <v>414</v>
      </c>
      <c r="M10" s="625"/>
    </row>
    <row r="11" spans="1:13" ht="21" thickBot="1">
      <c r="A11" s="348">
        <f>SUBTOTAL(3,B$4:B11)</f>
        <v>2</v>
      </c>
      <c r="B11" s="151">
        <v>122201070485</v>
      </c>
      <c r="C11" s="187"/>
      <c r="D11" s="187"/>
      <c r="E11" s="187" t="s">
        <v>476</v>
      </c>
      <c r="F11" s="609" t="s">
        <v>674</v>
      </c>
      <c r="G11" s="144">
        <v>5510</v>
      </c>
      <c r="J11" s="164">
        <v>8</v>
      </c>
      <c r="K11" s="158">
        <v>122201070494</v>
      </c>
      <c r="L11" s="624" t="s">
        <v>415</v>
      </c>
      <c r="M11" s="626"/>
    </row>
    <row r="12" spans="1:13" ht="16.5" thickBot="1">
      <c r="A12" s="348">
        <f>SUBTOTAL(3,B$4:B12)</f>
        <v>3</v>
      </c>
      <c r="B12" s="151">
        <v>122201070486</v>
      </c>
      <c r="C12" s="187"/>
      <c r="D12" s="187"/>
      <c r="E12" s="187" t="s">
        <v>476</v>
      </c>
      <c r="F12" s="609" t="s">
        <v>406</v>
      </c>
      <c r="G12" s="144">
        <v>25006</v>
      </c>
      <c r="J12" s="135"/>
      <c r="K12" s="135"/>
      <c r="L12" s="136"/>
      <c r="M12" s="137"/>
    </row>
    <row r="13" spans="1:13" ht="21" thickBot="1">
      <c r="A13" s="348">
        <f>SUBTOTAL(3,B$4:B13)</f>
        <v>4</v>
      </c>
      <c r="B13" s="151">
        <v>122201070487</v>
      </c>
      <c r="C13" s="187"/>
      <c r="D13" s="187"/>
      <c r="E13" s="187" t="s">
        <v>476</v>
      </c>
      <c r="F13" s="609" t="s">
        <v>407</v>
      </c>
      <c r="G13" s="144">
        <f>-548+11800</f>
        <v>11252</v>
      </c>
      <c r="J13" s="142" t="s">
        <v>421</v>
      </c>
      <c r="K13" s="616" t="s">
        <v>420</v>
      </c>
      <c r="L13" s="617"/>
      <c r="M13" s="134">
        <f>SUM(M4:M12)</f>
        <v>3349</v>
      </c>
    </row>
    <row r="14" spans="1:13" ht="16.5" thickBot="1">
      <c r="A14" s="348">
        <f>SUBTOTAL(3,B$4:B14)</f>
        <v>5</v>
      </c>
      <c r="B14" s="151">
        <v>122201070488</v>
      </c>
      <c r="C14" s="187"/>
      <c r="D14" s="187"/>
      <c r="E14" s="187" t="s">
        <v>476</v>
      </c>
      <c r="F14" s="609" t="s">
        <v>408</v>
      </c>
      <c r="G14" s="144">
        <v>100</v>
      </c>
      <c r="J14" s="606"/>
      <c r="K14" s="606"/>
      <c r="M14" s="611"/>
    </row>
    <row r="15" spans="1:13" ht="16.5" thickBot="1">
      <c r="A15" s="348">
        <f>SUBTOTAL(3,B$4:B15)</f>
        <v>6</v>
      </c>
      <c r="B15" s="151">
        <v>122201070489</v>
      </c>
      <c r="C15" s="187"/>
      <c r="D15" s="187"/>
      <c r="E15" s="187" t="s">
        <v>476</v>
      </c>
      <c r="F15" s="609" t="s">
        <v>409</v>
      </c>
      <c r="G15" s="144">
        <v>100</v>
      </c>
      <c r="J15" s="606"/>
      <c r="K15" s="606"/>
      <c r="M15" s="611"/>
    </row>
    <row r="16" spans="1:13" ht="16.5" thickBot="1">
      <c r="A16" s="348">
        <f>SUBTOTAL(3,B$4:B16)</f>
        <v>7</v>
      </c>
      <c r="B16" s="151">
        <v>122201070490</v>
      </c>
      <c r="C16" s="187"/>
      <c r="D16" s="187"/>
      <c r="E16" s="187" t="s">
        <v>476</v>
      </c>
      <c r="F16" s="609" t="s">
        <v>410</v>
      </c>
      <c r="G16" s="144">
        <v>100</v>
      </c>
      <c r="J16" s="606"/>
      <c r="K16" s="606"/>
      <c r="M16" s="611"/>
    </row>
    <row r="17" spans="1:13" ht="16.5" thickBot="1">
      <c r="A17" s="348">
        <f>SUBTOTAL(3,B$4:B17)</f>
        <v>8</v>
      </c>
      <c r="B17" s="151">
        <v>122201070491</v>
      </c>
      <c r="C17" s="187"/>
      <c r="D17" s="187"/>
      <c r="E17" s="187" t="s">
        <v>476</v>
      </c>
      <c r="F17" s="609" t="s">
        <v>411</v>
      </c>
      <c r="G17" s="144">
        <v>1650</v>
      </c>
      <c r="J17" s="606"/>
      <c r="K17" s="606"/>
      <c r="M17" s="611"/>
    </row>
    <row r="18" spans="1:13" ht="16.5" thickBot="1">
      <c r="A18" s="348">
        <f>SUBTOTAL(3,B$4:B18)</f>
        <v>9</v>
      </c>
      <c r="B18" s="151">
        <v>122201070492</v>
      </c>
      <c r="C18" s="187"/>
      <c r="D18" s="187"/>
      <c r="E18" s="187" t="s">
        <v>476</v>
      </c>
      <c r="F18" s="609" t="s">
        <v>86</v>
      </c>
      <c r="G18" s="144">
        <v>1932</v>
      </c>
      <c r="J18" s="606"/>
      <c r="K18" s="606"/>
      <c r="M18" s="611"/>
    </row>
    <row r="19" spans="1:13" ht="16.5" thickBot="1">
      <c r="A19" s="348">
        <f>SUBTOTAL(3,B$4:B19)</f>
        <v>10</v>
      </c>
      <c r="B19" s="151">
        <v>122201070493</v>
      </c>
      <c r="C19" s="187"/>
      <c r="D19" s="187"/>
      <c r="E19" s="187" t="s">
        <v>476</v>
      </c>
      <c r="F19" s="609" t="s">
        <v>412</v>
      </c>
      <c r="G19" s="144">
        <v>48935</v>
      </c>
      <c r="J19" s="606"/>
      <c r="K19" s="606"/>
      <c r="M19" s="611"/>
    </row>
    <row r="20" spans="1:13" ht="16.5" thickBot="1">
      <c r="A20" s="348">
        <f>SUBTOTAL(3,B$4:B20)</f>
        <v>11</v>
      </c>
      <c r="B20" s="151">
        <v>122201070494</v>
      </c>
      <c r="C20" s="187"/>
      <c r="D20" s="187"/>
      <c r="E20" s="187" t="s">
        <v>476</v>
      </c>
      <c r="F20" s="609" t="s">
        <v>415</v>
      </c>
      <c r="G20" s="144">
        <v>114083</v>
      </c>
      <c r="J20" s="606"/>
      <c r="K20" s="606"/>
      <c r="M20" s="611"/>
    </row>
    <row r="21" spans="1:13" ht="16.5" thickBot="1">
      <c r="A21" s="348">
        <f>SUBTOTAL(3,B$4:B21)</f>
        <v>12</v>
      </c>
      <c r="B21" s="151">
        <v>122201070495</v>
      </c>
      <c r="C21" s="187"/>
      <c r="D21" s="187"/>
      <c r="E21" s="187" t="s">
        <v>476</v>
      </c>
      <c r="F21" s="609" t="s">
        <v>675</v>
      </c>
      <c r="G21" s="144">
        <v>750</v>
      </c>
      <c r="J21" s="606"/>
      <c r="K21" s="606"/>
      <c r="M21" s="611"/>
    </row>
    <row r="22" spans="1:13" ht="16.5" thickBot="1">
      <c r="A22" s="348">
        <f>SUBTOTAL(3,B$4:B22)</f>
        <v>13</v>
      </c>
      <c r="B22" s="151">
        <v>122201070497</v>
      </c>
      <c r="C22" s="187"/>
      <c r="D22" s="187"/>
      <c r="E22" s="187" t="s">
        <v>476</v>
      </c>
      <c r="F22" s="609" t="s">
        <v>676</v>
      </c>
      <c r="G22" s="144">
        <v>30682</v>
      </c>
      <c r="J22" s="606"/>
      <c r="K22" s="606"/>
      <c r="M22" s="611"/>
    </row>
    <row r="23" spans="1:13" ht="16.5" thickBot="1">
      <c r="A23" s="348">
        <f>SUBTOTAL(3,B$4:B23)</f>
        <v>14</v>
      </c>
      <c r="B23" s="151">
        <v>122201070498</v>
      </c>
      <c r="C23" s="187"/>
      <c r="D23" s="187"/>
      <c r="E23" s="187" t="s">
        <v>476</v>
      </c>
      <c r="F23" s="609" t="s">
        <v>677</v>
      </c>
      <c r="G23" s="144">
        <v>90900</v>
      </c>
      <c r="J23" s="606"/>
      <c r="K23" s="606"/>
      <c r="M23" s="611"/>
    </row>
    <row r="24" spans="1:13" ht="16.5" thickBot="1">
      <c r="A24" s="348">
        <f>SUBTOTAL(3,B$4:B24)</f>
        <v>15</v>
      </c>
      <c r="B24" s="151">
        <v>122201070500</v>
      </c>
      <c r="C24" s="187"/>
      <c r="D24" s="187"/>
      <c r="E24" s="187" t="s">
        <v>476</v>
      </c>
      <c r="F24" s="609" t="s">
        <v>678</v>
      </c>
      <c r="G24" s="144">
        <v>2265</v>
      </c>
      <c r="J24" s="606"/>
      <c r="K24" s="606"/>
      <c r="M24" s="611"/>
    </row>
    <row r="25" spans="1:13" ht="16.5" thickBot="1">
      <c r="A25" s="348">
        <f>SUBTOTAL(3,B$4:B25)</f>
        <v>16</v>
      </c>
      <c r="B25" s="151">
        <v>122201070501</v>
      </c>
      <c r="C25" s="187"/>
      <c r="D25" s="187"/>
      <c r="E25" s="187" t="s">
        <v>476</v>
      </c>
      <c r="F25" s="609" t="s">
        <v>679</v>
      </c>
      <c r="G25" s="144">
        <v>8313</v>
      </c>
      <c r="J25" s="606"/>
      <c r="K25" s="606"/>
      <c r="M25" s="611"/>
    </row>
    <row r="26" spans="1:13" ht="16.5" thickBot="1">
      <c r="A26" s="348">
        <f>SUBTOTAL(3,B$4:B26)</f>
        <v>17</v>
      </c>
      <c r="B26" s="151">
        <v>122201070502</v>
      </c>
      <c r="C26" s="187"/>
      <c r="D26" s="187"/>
      <c r="E26" s="187" t="s">
        <v>476</v>
      </c>
      <c r="F26" s="609" t="s">
        <v>680</v>
      </c>
      <c r="G26" s="144">
        <v>3500</v>
      </c>
      <c r="H26" s="538" t="s">
        <v>681</v>
      </c>
      <c r="J26" s="606"/>
      <c r="K26" s="606"/>
      <c r="M26" s="611"/>
    </row>
    <row r="27" spans="1:13" ht="16.5" thickBot="1">
      <c r="A27" s="348">
        <f>SUBTOTAL(3,B$4:B27)</f>
        <v>18</v>
      </c>
      <c r="B27" s="151">
        <v>122201070504</v>
      </c>
      <c r="C27" s="187"/>
      <c r="D27" s="187"/>
      <c r="E27" s="187" t="s">
        <v>476</v>
      </c>
      <c r="F27" s="609" t="s">
        <v>682</v>
      </c>
      <c r="G27" s="144">
        <v>14403</v>
      </c>
      <c r="J27" s="606"/>
      <c r="K27" s="606"/>
      <c r="M27" s="611"/>
    </row>
    <row r="28" spans="1:13" ht="24.75" customHeight="1" thickBot="1">
      <c r="A28" s="348">
        <f>SUBTOTAL(3,B$4:B28)</f>
        <v>19</v>
      </c>
      <c r="B28" s="151">
        <v>122201070505</v>
      </c>
      <c r="C28" s="187"/>
      <c r="D28" s="187"/>
      <c r="E28" s="187" t="s">
        <v>476</v>
      </c>
      <c r="F28" s="609" t="s">
        <v>683</v>
      </c>
      <c r="G28" s="144">
        <v>12627</v>
      </c>
      <c r="J28" s="606"/>
      <c r="K28" s="606"/>
      <c r="M28" s="611"/>
    </row>
    <row r="29" spans="1:13" ht="24.75" customHeight="1" thickBot="1">
      <c r="A29" s="348">
        <f>SUBTOTAL(3,B$4:B29)</f>
        <v>20</v>
      </c>
      <c r="B29" s="151">
        <v>122201070506</v>
      </c>
      <c r="C29" s="187"/>
      <c r="D29" s="187"/>
      <c r="E29" s="187" t="s">
        <v>476</v>
      </c>
      <c r="F29" s="609" t="s">
        <v>684</v>
      </c>
      <c r="G29" s="144">
        <v>2917</v>
      </c>
      <c r="J29" s="606"/>
      <c r="K29" s="606"/>
      <c r="M29" s="611"/>
    </row>
    <row r="30" spans="1:13" ht="24.75" customHeight="1" thickBot="1">
      <c r="A30" s="348">
        <f>SUBTOTAL(3,B$4:B30)</f>
        <v>21</v>
      </c>
      <c r="B30" s="151">
        <v>122201070507</v>
      </c>
      <c r="C30" s="187"/>
      <c r="D30" s="187"/>
      <c r="E30" s="187" t="s">
        <v>476</v>
      </c>
      <c r="F30" s="609" t="s">
        <v>685</v>
      </c>
      <c r="G30" s="144">
        <v>600</v>
      </c>
      <c r="J30" s="606"/>
      <c r="K30" s="606"/>
      <c r="M30" s="611"/>
    </row>
    <row r="31" spans="1:13" ht="24.75" customHeight="1" thickBot="1">
      <c r="A31" s="348">
        <f>SUBTOTAL(3,B$4:B31)</f>
        <v>22</v>
      </c>
      <c r="B31" s="151">
        <v>122201070508</v>
      </c>
      <c r="C31" s="187"/>
      <c r="D31" s="187"/>
      <c r="E31" s="187" t="s">
        <v>476</v>
      </c>
      <c r="F31" s="609" t="s">
        <v>686</v>
      </c>
      <c r="G31" s="144">
        <v>7139</v>
      </c>
      <c r="J31" s="606"/>
      <c r="K31" s="606"/>
      <c r="M31" s="611"/>
    </row>
    <row r="32" spans="1:13" ht="24.75" customHeight="1" thickBot="1">
      <c r="A32" s="348">
        <f>SUBTOTAL(3,B$4:B32)</f>
        <v>23</v>
      </c>
      <c r="B32" s="151">
        <v>122201070510</v>
      </c>
      <c r="C32" s="187"/>
      <c r="D32" s="187"/>
      <c r="E32" s="187" t="s">
        <v>476</v>
      </c>
      <c r="F32" s="609" t="s">
        <v>687</v>
      </c>
      <c r="G32" s="144">
        <v>4785</v>
      </c>
      <c r="J32" s="606"/>
      <c r="K32" s="606"/>
      <c r="M32" s="611"/>
    </row>
    <row r="33" spans="1:13" ht="24.75" customHeight="1" thickBot="1">
      <c r="A33" s="348">
        <f>SUBTOTAL(3,B$4:B33)</f>
        <v>24</v>
      </c>
      <c r="B33" s="151">
        <v>122201070511</v>
      </c>
      <c r="C33" s="187"/>
      <c r="D33" s="187"/>
      <c r="E33" s="187" t="s">
        <v>476</v>
      </c>
      <c r="F33" s="609" t="s">
        <v>688</v>
      </c>
      <c r="G33" s="144">
        <v>2500</v>
      </c>
      <c r="J33" s="606"/>
      <c r="K33" s="606"/>
      <c r="M33" s="611"/>
    </row>
    <row r="34" spans="1:13" ht="24.75" customHeight="1" thickBot="1">
      <c r="A34" s="348">
        <f>SUBTOTAL(3,B$4:B34)</f>
        <v>25</v>
      </c>
      <c r="B34" s="151">
        <v>122201070512</v>
      </c>
      <c r="C34" s="187"/>
      <c r="D34" s="187"/>
      <c r="E34" s="187" t="s">
        <v>476</v>
      </c>
      <c r="F34" s="609" t="s">
        <v>689</v>
      </c>
      <c r="G34" s="144">
        <v>9183</v>
      </c>
      <c r="J34" s="606"/>
      <c r="K34" s="606"/>
      <c r="M34" s="611"/>
    </row>
    <row r="35" spans="1:13" ht="24.75" customHeight="1" thickBot="1">
      <c r="A35" s="348">
        <f>SUBTOTAL(3,B$4:B35)</f>
        <v>26</v>
      </c>
      <c r="B35" s="151">
        <v>122201070514</v>
      </c>
      <c r="C35" s="187"/>
      <c r="D35" s="187"/>
      <c r="E35" s="187" t="s">
        <v>476</v>
      </c>
      <c r="F35" s="609" t="s">
        <v>690</v>
      </c>
      <c r="G35" s="144">
        <v>4000</v>
      </c>
      <c r="J35" s="606"/>
      <c r="K35" s="606"/>
      <c r="M35" s="611"/>
    </row>
    <row r="36" spans="1:13" ht="24.75" customHeight="1" thickBot="1">
      <c r="A36" s="348">
        <f>SUBTOTAL(3,B$4:B36)</f>
        <v>27</v>
      </c>
      <c r="B36" s="151">
        <v>122201070515</v>
      </c>
      <c r="C36" s="187"/>
      <c r="D36" s="187"/>
      <c r="E36" s="187" t="s">
        <v>476</v>
      </c>
      <c r="F36" s="609" t="s">
        <v>691</v>
      </c>
      <c r="G36" s="144">
        <v>700</v>
      </c>
      <c r="J36" s="606"/>
      <c r="K36" s="606"/>
      <c r="M36" s="611"/>
    </row>
    <row r="37" spans="1:13" ht="24.75" customHeight="1" thickBot="1">
      <c r="A37" s="348">
        <f>SUBTOTAL(3,B$4:B37)</f>
        <v>28</v>
      </c>
      <c r="B37" s="151">
        <v>122201070516</v>
      </c>
      <c r="C37" s="187"/>
      <c r="D37" s="187"/>
      <c r="E37" s="187" t="s">
        <v>476</v>
      </c>
      <c r="F37" s="609" t="s">
        <v>692</v>
      </c>
      <c r="G37" s="144">
        <v>1000</v>
      </c>
      <c r="J37" s="606"/>
      <c r="K37" s="606"/>
      <c r="M37" s="611"/>
    </row>
    <row r="38" spans="1:13" ht="24.75" hidden="1" customHeight="1" thickBot="1">
      <c r="A38" s="348">
        <f>SUBTOTAL(3,B$4:B38)</f>
        <v>28</v>
      </c>
      <c r="B38" s="151">
        <v>122201070517</v>
      </c>
      <c r="C38" s="187"/>
      <c r="D38" s="187"/>
      <c r="E38" s="187" t="s">
        <v>476</v>
      </c>
      <c r="F38" s="609" t="s">
        <v>693</v>
      </c>
      <c r="G38" s="144">
        <v>-14076</v>
      </c>
      <c r="J38" s="606"/>
      <c r="K38" s="606"/>
      <c r="M38" s="611"/>
    </row>
    <row r="39" spans="1:13" ht="24.75" customHeight="1" thickBot="1">
      <c r="A39" s="348">
        <f>SUBTOTAL(3,B$4:B39)</f>
        <v>29</v>
      </c>
      <c r="B39" s="151">
        <v>122201070518</v>
      </c>
      <c r="C39" s="187"/>
      <c r="D39" s="187"/>
      <c r="E39" s="187" t="s">
        <v>476</v>
      </c>
      <c r="F39" s="609" t="s">
        <v>694</v>
      </c>
      <c r="G39" s="144">
        <f>13805-10300</f>
        <v>3505</v>
      </c>
      <c r="J39" s="606"/>
      <c r="K39" s="606"/>
      <c r="M39" s="611"/>
    </row>
    <row r="40" spans="1:13" ht="24.75" customHeight="1" thickBot="1">
      <c r="A40" s="348">
        <f>SUBTOTAL(3,B$4:B40)</f>
        <v>30</v>
      </c>
      <c r="B40" s="151">
        <v>122201070519</v>
      </c>
      <c r="C40" s="187"/>
      <c r="D40" s="187"/>
      <c r="E40" s="187" t="s">
        <v>476</v>
      </c>
      <c r="F40" s="609" t="s">
        <v>695</v>
      </c>
      <c r="G40" s="144">
        <v>11991</v>
      </c>
      <c r="J40" s="606"/>
      <c r="K40" s="606"/>
      <c r="M40" s="611"/>
    </row>
    <row r="41" spans="1:13" ht="24.75" customHeight="1" thickBot="1">
      <c r="A41" s="348">
        <f>SUBTOTAL(3,B$4:B41)</f>
        <v>31</v>
      </c>
      <c r="B41" s="151">
        <v>122201070520</v>
      </c>
      <c r="C41" s="187"/>
      <c r="D41" s="187"/>
      <c r="E41" s="187" t="s">
        <v>476</v>
      </c>
      <c r="F41" s="609" t="s">
        <v>696</v>
      </c>
      <c r="G41" s="144">
        <v>1000</v>
      </c>
      <c r="J41" s="606"/>
      <c r="K41" s="606"/>
      <c r="M41" s="611"/>
    </row>
    <row r="42" spans="1:13" ht="24.75" customHeight="1" thickBot="1">
      <c r="A42" s="348">
        <f>SUBTOTAL(3,B$4:B42)</f>
        <v>32</v>
      </c>
      <c r="B42" s="151">
        <v>122201070522</v>
      </c>
      <c r="C42" s="187"/>
      <c r="D42" s="187"/>
      <c r="E42" s="187" t="s">
        <v>476</v>
      </c>
      <c r="F42" s="609" t="s">
        <v>697</v>
      </c>
      <c r="G42" s="144">
        <v>3000</v>
      </c>
      <c r="J42" s="606"/>
      <c r="K42" s="606"/>
      <c r="M42" s="611"/>
    </row>
    <row r="43" spans="1:13" ht="24.75" customHeight="1" thickBot="1">
      <c r="A43" s="348">
        <f>SUBTOTAL(3,B$4:B43)</f>
        <v>33</v>
      </c>
      <c r="B43" s="151">
        <v>122201070523</v>
      </c>
      <c r="C43" s="187"/>
      <c r="D43" s="187"/>
      <c r="E43" s="187" t="s">
        <v>476</v>
      </c>
      <c r="F43" s="609" t="s">
        <v>698</v>
      </c>
      <c r="G43" s="144">
        <v>1500</v>
      </c>
      <c r="J43" s="606"/>
      <c r="K43" s="606"/>
      <c r="M43" s="611"/>
    </row>
    <row r="44" spans="1:13" ht="24.75" customHeight="1" thickBot="1">
      <c r="A44" s="348">
        <f>SUBTOTAL(3,B$4:B44)</f>
        <v>34</v>
      </c>
      <c r="B44" s="151">
        <v>122201070524</v>
      </c>
      <c r="C44" s="187"/>
      <c r="D44" s="187"/>
      <c r="E44" s="187" t="s">
        <v>476</v>
      </c>
      <c r="F44" s="609" t="s">
        <v>699</v>
      </c>
      <c r="G44" s="144">
        <v>2000</v>
      </c>
      <c r="J44" s="606"/>
      <c r="K44" s="606"/>
      <c r="M44" s="611"/>
    </row>
    <row r="45" spans="1:13" ht="24.75" customHeight="1" thickBot="1">
      <c r="A45" s="348">
        <f>SUBTOTAL(3,B$4:B45)</f>
        <v>35</v>
      </c>
      <c r="B45" s="151">
        <v>122201070525</v>
      </c>
      <c r="C45" s="187"/>
      <c r="D45" s="187"/>
      <c r="E45" s="187" t="s">
        <v>476</v>
      </c>
      <c r="F45" s="609" t="s">
        <v>700</v>
      </c>
      <c r="G45" s="144">
        <v>150</v>
      </c>
      <c r="J45" s="606"/>
      <c r="K45" s="606"/>
      <c r="M45" s="611"/>
    </row>
    <row r="46" spans="1:13" ht="24.75" customHeight="1" thickBot="1">
      <c r="A46" s="348">
        <f>SUBTOTAL(3,B$4:B46)</f>
        <v>36</v>
      </c>
      <c r="B46" s="151">
        <v>122201070526</v>
      </c>
      <c r="C46" s="187"/>
      <c r="D46" s="187"/>
      <c r="E46" s="187" t="s">
        <v>476</v>
      </c>
      <c r="F46" s="609" t="s">
        <v>701</v>
      </c>
      <c r="G46" s="144">
        <v>150</v>
      </c>
      <c r="J46" s="606"/>
      <c r="K46" s="606"/>
      <c r="M46" s="611"/>
    </row>
    <row r="47" spans="1:13" ht="24.75" customHeight="1" thickBot="1">
      <c r="A47" s="348">
        <f>SUBTOTAL(3,B$4:B47)</f>
        <v>37</v>
      </c>
      <c r="B47" s="151">
        <v>122201070527</v>
      </c>
      <c r="C47" s="187"/>
      <c r="D47" s="187"/>
      <c r="E47" s="187" t="s">
        <v>476</v>
      </c>
      <c r="F47" s="609" t="s">
        <v>702</v>
      </c>
      <c r="G47" s="144">
        <v>150</v>
      </c>
      <c r="J47" s="606"/>
      <c r="K47" s="606"/>
      <c r="M47" s="611"/>
    </row>
    <row r="48" spans="1:13" ht="24.75" customHeight="1" thickBot="1">
      <c r="A48" s="348">
        <f>SUBTOTAL(3,B$4:B48)</f>
        <v>38</v>
      </c>
      <c r="B48" s="151">
        <v>122201070528</v>
      </c>
      <c r="C48" s="187"/>
      <c r="D48" s="187"/>
      <c r="E48" s="187" t="s">
        <v>476</v>
      </c>
      <c r="F48" s="609" t="s">
        <v>703</v>
      </c>
      <c r="G48" s="144">
        <v>4000</v>
      </c>
      <c r="J48" s="606"/>
      <c r="K48" s="606"/>
      <c r="M48" s="611"/>
    </row>
    <row r="49" spans="1:13" ht="24.75" customHeight="1" thickBot="1">
      <c r="A49" s="348">
        <f>SUBTOTAL(3,B$4:B49)</f>
        <v>39</v>
      </c>
      <c r="B49" s="151">
        <v>122201070530</v>
      </c>
      <c r="C49" s="187"/>
      <c r="D49" s="187"/>
      <c r="E49" s="187" t="s">
        <v>476</v>
      </c>
      <c r="F49" s="609" t="s">
        <v>704</v>
      </c>
      <c r="G49" s="144">
        <v>500</v>
      </c>
      <c r="J49" s="606"/>
      <c r="K49" s="606"/>
      <c r="M49" s="611"/>
    </row>
    <row r="50" spans="1:13" ht="24.75" customHeight="1" thickBot="1">
      <c r="A50" s="348">
        <f>SUBTOTAL(3,B$4:B50)</f>
        <v>40</v>
      </c>
      <c r="B50" s="151">
        <v>122201070531</v>
      </c>
      <c r="C50" s="187"/>
      <c r="D50" s="187"/>
      <c r="E50" s="187" t="s">
        <v>476</v>
      </c>
      <c r="F50" s="609" t="s">
        <v>705</v>
      </c>
      <c r="G50" s="144">
        <v>300</v>
      </c>
      <c r="J50" s="606"/>
      <c r="K50" s="606"/>
      <c r="M50" s="611"/>
    </row>
    <row r="51" spans="1:13" ht="24.75" customHeight="1" thickBot="1">
      <c r="A51" s="348">
        <f>SUBTOTAL(3,B$4:B51)</f>
        <v>41</v>
      </c>
      <c r="B51" s="151">
        <v>122201070532</v>
      </c>
      <c r="C51" s="187"/>
      <c r="D51" s="187"/>
      <c r="E51" s="187" t="s">
        <v>476</v>
      </c>
      <c r="F51" s="609" t="s">
        <v>706</v>
      </c>
      <c r="G51" s="144">
        <v>800</v>
      </c>
      <c r="J51" s="606"/>
      <c r="K51" s="606"/>
      <c r="M51" s="611"/>
    </row>
    <row r="52" spans="1:13" ht="24.75" customHeight="1" thickBot="1">
      <c r="A52" s="348">
        <f>SUBTOTAL(3,B$4:B52)</f>
        <v>42</v>
      </c>
      <c r="B52" s="151">
        <v>122201070534</v>
      </c>
      <c r="C52" s="187"/>
      <c r="D52" s="187"/>
      <c r="E52" s="187" t="s">
        <v>476</v>
      </c>
      <c r="F52" s="609" t="s">
        <v>707</v>
      </c>
      <c r="G52" s="144">
        <v>200</v>
      </c>
      <c r="J52" s="606"/>
      <c r="K52" s="606"/>
      <c r="M52" s="611"/>
    </row>
    <row r="53" spans="1:13" ht="24.75" customHeight="1" thickBot="1">
      <c r="A53" s="348">
        <f>SUBTOTAL(3,B$4:B53)</f>
        <v>43</v>
      </c>
      <c r="B53" s="151">
        <v>122201070535</v>
      </c>
      <c r="C53" s="187"/>
      <c r="D53" s="187"/>
      <c r="E53" s="187" t="s">
        <v>476</v>
      </c>
      <c r="F53" s="609" t="s">
        <v>708</v>
      </c>
      <c r="G53" s="144">
        <v>200</v>
      </c>
      <c r="J53" s="606"/>
      <c r="K53" s="606"/>
      <c r="M53" s="611"/>
    </row>
    <row r="54" spans="1:13" ht="24.75" customHeight="1" thickBot="1">
      <c r="A54" s="348">
        <f>SUBTOTAL(3,B$4:B54)</f>
        <v>44</v>
      </c>
      <c r="B54" s="151">
        <v>122201070536</v>
      </c>
      <c r="C54" s="187"/>
      <c r="D54" s="187"/>
      <c r="E54" s="187" t="s">
        <v>476</v>
      </c>
      <c r="F54" s="609" t="s">
        <v>709</v>
      </c>
      <c r="G54" s="144">
        <v>200</v>
      </c>
      <c r="J54" s="606"/>
      <c r="K54" s="606"/>
      <c r="M54" s="611"/>
    </row>
    <row r="55" spans="1:13" ht="24.75" customHeight="1" thickBot="1">
      <c r="A55" s="348">
        <f>SUBTOTAL(3,B$4:B55)</f>
        <v>45</v>
      </c>
      <c r="B55" s="151">
        <v>122201070537</v>
      </c>
      <c r="C55" s="187"/>
      <c r="D55" s="187"/>
      <c r="E55" s="187" t="s">
        <v>476</v>
      </c>
      <c r="F55" s="609" t="s">
        <v>710</v>
      </c>
      <c r="G55" s="144">
        <v>200</v>
      </c>
      <c r="J55" s="606"/>
      <c r="K55" s="606"/>
      <c r="M55" s="611"/>
    </row>
    <row r="56" spans="1:13" ht="24.75" customHeight="1" thickBot="1">
      <c r="A56" s="348">
        <f>SUBTOTAL(3,B$4:B56)</f>
        <v>46</v>
      </c>
      <c r="B56" s="151">
        <v>122201070538</v>
      </c>
      <c r="C56" s="187"/>
      <c r="D56" s="187"/>
      <c r="E56" s="187" t="s">
        <v>476</v>
      </c>
      <c r="F56" s="609" t="s">
        <v>711</v>
      </c>
      <c r="G56" s="144">
        <v>200</v>
      </c>
      <c r="J56" s="606"/>
      <c r="K56" s="606"/>
      <c r="M56" s="611"/>
    </row>
    <row r="57" spans="1:13" ht="24.75" customHeight="1" thickBot="1">
      <c r="A57" s="348">
        <f>SUBTOTAL(3,B$4:B57)</f>
        <v>47</v>
      </c>
      <c r="B57" s="151">
        <v>122201070539</v>
      </c>
      <c r="C57" s="187"/>
      <c r="D57" s="187"/>
      <c r="E57" s="187" t="s">
        <v>476</v>
      </c>
      <c r="F57" s="609">
        <v>901590</v>
      </c>
      <c r="G57" s="144">
        <v>200</v>
      </c>
      <c r="J57" s="606"/>
      <c r="K57" s="606"/>
      <c r="M57" s="611"/>
    </row>
    <row r="58" spans="1:13" ht="24.75" customHeight="1" thickBot="1">
      <c r="A58" s="348">
        <f>SUBTOTAL(3,B$4:B58)</f>
        <v>48</v>
      </c>
      <c r="B58" s="151">
        <v>122201070540</v>
      </c>
      <c r="C58" s="187"/>
      <c r="D58" s="187"/>
      <c r="E58" s="187" t="s">
        <v>476</v>
      </c>
      <c r="F58" s="609">
        <v>901591</v>
      </c>
      <c r="G58" s="144">
        <v>200</v>
      </c>
      <c r="J58" s="606"/>
      <c r="K58" s="606"/>
      <c r="M58" s="611"/>
    </row>
    <row r="59" spans="1:13" ht="24.75" customHeight="1" thickBot="1">
      <c r="A59" s="348">
        <f>SUBTOTAL(3,B$4:B59)</f>
        <v>49</v>
      </c>
      <c r="B59" s="151">
        <v>122201070541</v>
      </c>
      <c r="C59" s="187"/>
      <c r="D59" s="187"/>
      <c r="E59" s="187" t="s">
        <v>476</v>
      </c>
      <c r="F59" s="609">
        <v>901592</v>
      </c>
      <c r="G59" s="144">
        <v>200</v>
      </c>
      <c r="J59" s="606"/>
      <c r="K59" s="606"/>
      <c r="M59" s="611"/>
    </row>
    <row r="60" spans="1:13" ht="24.75" customHeight="1" thickBot="1">
      <c r="A60" s="348">
        <f>SUBTOTAL(3,B$4:B60)</f>
        <v>50</v>
      </c>
      <c r="B60" s="151">
        <v>122201070542</v>
      </c>
      <c r="C60" s="187"/>
      <c r="D60" s="187"/>
      <c r="E60" s="187" t="s">
        <v>476</v>
      </c>
      <c r="F60" s="609">
        <v>901593</v>
      </c>
      <c r="G60" s="144">
        <v>200</v>
      </c>
      <c r="J60" s="606"/>
      <c r="K60" s="606"/>
      <c r="M60" s="611"/>
    </row>
    <row r="61" spans="1:13" ht="24.75" customHeight="1" thickBot="1">
      <c r="A61" s="348">
        <f>SUBTOTAL(3,B$4:B61)</f>
        <v>51</v>
      </c>
      <c r="B61" s="151">
        <v>122201070543</v>
      </c>
      <c r="C61" s="187"/>
      <c r="D61" s="187"/>
      <c r="E61" s="187" t="s">
        <v>476</v>
      </c>
      <c r="F61" s="609">
        <v>901594</v>
      </c>
      <c r="G61" s="144">
        <v>200</v>
      </c>
      <c r="J61" s="606"/>
      <c r="K61" s="606"/>
      <c r="M61" s="611"/>
    </row>
    <row r="62" spans="1:13" ht="24.75" customHeight="1" thickBot="1">
      <c r="A62" s="348">
        <f>SUBTOTAL(3,B$4:B62)</f>
        <v>52</v>
      </c>
      <c r="B62" s="151">
        <v>122201070544</v>
      </c>
      <c r="C62" s="187"/>
      <c r="D62" s="187"/>
      <c r="E62" s="187" t="s">
        <v>476</v>
      </c>
      <c r="F62" s="609" t="s">
        <v>712</v>
      </c>
      <c r="G62" s="144">
        <v>4000</v>
      </c>
      <c r="J62" s="606"/>
      <c r="K62" s="606"/>
      <c r="M62" s="611"/>
    </row>
    <row r="63" spans="1:13" ht="24.75" customHeight="1" thickBot="1">
      <c r="A63" s="348">
        <f>SUBTOTAL(3,B$4:B63)</f>
        <v>53</v>
      </c>
      <c r="B63" s="151">
        <v>122201070545</v>
      </c>
      <c r="C63" s="187"/>
      <c r="D63" s="187"/>
      <c r="E63" s="187" t="s">
        <v>476</v>
      </c>
      <c r="F63" s="609">
        <v>85597</v>
      </c>
      <c r="G63" s="144">
        <v>200</v>
      </c>
      <c r="J63" s="606"/>
      <c r="K63" s="606"/>
      <c r="M63" s="611"/>
    </row>
    <row r="64" spans="1:13" ht="24.75" customHeight="1" thickBot="1">
      <c r="A64" s="348">
        <f>SUBTOTAL(3,B$4:B64)</f>
        <v>54</v>
      </c>
      <c r="B64" s="151">
        <v>122201070546</v>
      </c>
      <c r="C64" s="187"/>
      <c r="D64" s="187"/>
      <c r="E64" s="187" t="s">
        <v>476</v>
      </c>
      <c r="F64" s="609">
        <v>85594</v>
      </c>
      <c r="G64" s="144">
        <v>200</v>
      </c>
      <c r="J64" s="606"/>
      <c r="K64" s="606"/>
      <c r="M64" s="611"/>
    </row>
    <row r="65" spans="1:13" ht="24.75" customHeight="1" thickBot="1">
      <c r="A65" s="348">
        <f>SUBTOTAL(3,B$4:B65)</f>
        <v>55</v>
      </c>
      <c r="B65" s="151">
        <v>122201070547</v>
      </c>
      <c r="C65" s="187"/>
      <c r="D65" s="187"/>
      <c r="E65" s="187" t="s">
        <v>476</v>
      </c>
      <c r="F65" s="609">
        <v>30756</v>
      </c>
      <c r="G65" s="144">
        <v>0</v>
      </c>
      <c r="J65" s="606"/>
      <c r="K65" s="606"/>
      <c r="M65" s="611"/>
    </row>
    <row r="66" spans="1:13" ht="24.75" customHeight="1" thickBot="1">
      <c r="A66" s="348">
        <f>SUBTOTAL(3,B$4:B66)</f>
        <v>56</v>
      </c>
      <c r="B66" s="151">
        <v>122201070550</v>
      </c>
      <c r="C66" s="187"/>
      <c r="D66" s="187"/>
      <c r="E66" s="187" t="s">
        <v>476</v>
      </c>
      <c r="F66" s="609">
        <v>690194</v>
      </c>
      <c r="G66" s="144">
        <v>2500</v>
      </c>
      <c r="J66" s="606"/>
      <c r="K66" s="606"/>
      <c r="M66" s="611"/>
    </row>
    <row r="67" spans="1:13" ht="24.75" customHeight="1" thickBot="1">
      <c r="A67" s="348">
        <f>SUBTOTAL(3,B$4:B67)</f>
        <v>57</v>
      </c>
      <c r="B67" s="151">
        <v>122201070551</v>
      </c>
      <c r="C67" s="187"/>
      <c r="D67" s="187"/>
      <c r="E67" s="187" t="s">
        <v>476</v>
      </c>
      <c r="F67" s="609">
        <v>690273</v>
      </c>
      <c r="G67" s="144">
        <v>2800</v>
      </c>
      <c r="J67" s="606"/>
      <c r="K67" s="606"/>
      <c r="M67" s="611"/>
    </row>
    <row r="68" spans="1:13" ht="24.75" customHeight="1" thickBot="1">
      <c r="A68" s="348">
        <f>SUBTOTAL(3,B$4:B68)</f>
        <v>58</v>
      </c>
      <c r="B68" s="151">
        <v>122201070552</v>
      </c>
      <c r="C68" s="187"/>
      <c r="D68" s="187"/>
      <c r="E68" s="187" t="s">
        <v>476</v>
      </c>
      <c r="F68" s="609">
        <v>85524</v>
      </c>
      <c r="G68" s="144">
        <v>300</v>
      </c>
      <c r="J68" s="606"/>
      <c r="K68" s="606"/>
      <c r="M68" s="611"/>
    </row>
    <row r="69" spans="1:13" ht="24.75" customHeight="1" thickBot="1">
      <c r="A69" s="348">
        <f>SUBTOTAL(3,B$4:B69)</f>
        <v>59</v>
      </c>
      <c r="B69" s="151">
        <v>122201070553</v>
      </c>
      <c r="C69" s="187"/>
      <c r="D69" s="187"/>
      <c r="E69" s="187" t="s">
        <v>476</v>
      </c>
      <c r="F69" s="609">
        <v>84868</v>
      </c>
      <c r="G69" s="144">
        <v>300</v>
      </c>
      <c r="J69" s="606"/>
      <c r="K69" s="606"/>
      <c r="M69" s="611"/>
    </row>
    <row r="70" spans="1:13" ht="24.75" customHeight="1" thickBot="1">
      <c r="A70" s="348">
        <f>SUBTOTAL(3,B$4:B70)</f>
        <v>60</v>
      </c>
      <c r="B70" s="151">
        <v>122201070554</v>
      </c>
      <c r="C70" s="187"/>
      <c r="D70" s="187"/>
      <c r="E70" s="187" t="s">
        <v>476</v>
      </c>
      <c r="F70" s="609">
        <v>80619</v>
      </c>
      <c r="G70" s="144">
        <v>300</v>
      </c>
      <c r="J70" s="606"/>
      <c r="K70" s="606"/>
      <c r="M70" s="611"/>
    </row>
    <row r="71" spans="1:13" ht="24.75" customHeight="1" thickBot="1">
      <c r="A71" s="348">
        <f>SUBTOTAL(3,B$4:B71)</f>
        <v>61</v>
      </c>
      <c r="B71" s="151">
        <v>122201070555</v>
      </c>
      <c r="C71" s="187"/>
      <c r="D71" s="187"/>
      <c r="E71" s="187" t="s">
        <v>476</v>
      </c>
      <c r="F71" s="609">
        <v>84620</v>
      </c>
      <c r="G71" s="144">
        <v>2000</v>
      </c>
      <c r="J71" s="606"/>
      <c r="K71" s="606"/>
      <c r="M71" s="611"/>
    </row>
    <row r="72" spans="1:13" ht="24.75" customHeight="1" thickBot="1">
      <c r="A72" s="348">
        <f>SUBTOTAL(3,B$4:B72)</f>
        <v>62</v>
      </c>
      <c r="B72" s="151">
        <v>122201070556</v>
      </c>
      <c r="C72" s="187"/>
      <c r="D72" s="187"/>
      <c r="E72" s="187" t="s">
        <v>476</v>
      </c>
      <c r="F72" s="609">
        <v>690170</v>
      </c>
      <c r="G72" s="144">
        <v>300</v>
      </c>
      <c r="J72" s="606"/>
      <c r="K72" s="606"/>
      <c r="M72" s="611"/>
    </row>
    <row r="73" spans="1:13" ht="24.75" hidden="1" customHeight="1" thickBot="1">
      <c r="A73" s="348">
        <f>SUBTOTAL(3,B$4:B73)</f>
        <v>62</v>
      </c>
      <c r="B73" s="151">
        <v>122201070580</v>
      </c>
      <c r="C73" s="187"/>
      <c r="D73" s="187"/>
      <c r="E73" s="187" t="s">
        <v>476</v>
      </c>
      <c r="F73" s="609" t="s">
        <v>713</v>
      </c>
      <c r="G73" s="144">
        <v>-2048</v>
      </c>
      <c r="J73" s="606"/>
      <c r="K73" s="606"/>
      <c r="M73" s="611"/>
    </row>
    <row r="74" spans="1:13" ht="24.75" customHeight="1" thickBot="1">
      <c r="A74" s="348">
        <f>SUBTOTAL(3,B$4:B74)</f>
        <v>63</v>
      </c>
      <c r="B74" s="151">
        <v>122201091295</v>
      </c>
      <c r="C74" s="187"/>
      <c r="D74" s="187"/>
      <c r="E74" s="187" t="s">
        <v>476</v>
      </c>
      <c r="F74" s="609" t="s">
        <v>714</v>
      </c>
      <c r="G74" s="144">
        <v>3000</v>
      </c>
      <c r="J74" s="606"/>
      <c r="K74" s="606"/>
      <c r="M74" s="611"/>
    </row>
    <row r="75" spans="1:13" ht="9" customHeight="1" thickBot="1">
      <c r="A75" s="612"/>
      <c r="B75" s="613"/>
      <c r="C75" s="613"/>
      <c r="D75" s="613"/>
      <c r="E75" s="613"/>
      <c r="F75" s="613"/>
      <c r="G75" s="614"/>
      <c r="J75" s="606"/>
      <c r="K75" s="606"/>
      <c r="M75" s="611"/>
    </row>
    <row r="76" spans="1:13" ht="19.5" thickBot="1">
      <c r="A76" s="138" t="s">
        <v>421</v>
      </c>
      <c r="B76" s="728" t="s">
        <v>420</v>
      </c>
      <c r="C76" s="729"/>
      <c r="D76" s="729"/>
      <c r="E76" s="729"/>
      <c r="F76" s="730"/>
      <c r="G76" s="610">
        <f>SUBTOTAL(9,G4:G74)</f>
        <v>468098</v>
      </c>
      <c r="J76" s="606"/>
      <c r="K76" s="606"/>
    </row>
    <row r="77" spans="1:13">
      <c r="B77" s="606"/>
      <c r="C77" s="606"/>
      <c r="D77" s="606"/>
      <c r="E77" s="606"/>
      <c r="J77" s="606"/>
      <c r="K77" s="606"/>
    </row>
    <row r="78" spans="1:13">
      <c r="B78" s="606"/>
      <c r="C78" s="606"/>
      <c r="D78" s="606"/>
      <c r="E78" s="606"/>
      <c r="J78" s="606"/>
      <c r="K78" s="606"/>
    </row>
    <row r="79" spans="1:13">
      <c r="B79" s="606"/>
      <c r="C79" s="606"/>
      <c r="D79" s="606"/>
      <c r="E79" s="606"/>
    </row>
    <row r="80" spans="1:13">
      <c r="B80" s="606"/>
      <c r="C80" s="606"/>
      <c r="D80" s="606"/>
      <c r="E80" s="606"/>
    </row>
    <row r="81" spans="2:5">
      <c r="B81" s="606"/>
      <c r="C81" s="606"/>
      <c r="D81" s="606"/>
      <c r="E81" s="606"/>
    </row>
    <row r="82" spans="2:5">
      <c r="B82" s="606"/>
      <c r="C82" s="606"/>
      <c r="D82" s="606"/>
      <c r="E82" s="606"/>
    </row>
    <row r="83" spans="2:5">
      <c r="B83" s="606"/>
      <c r="C83" s="606"/>
      <c r="D83" s="606"/>
      <c r="E83" s="606"/>
    </row>
    <row r="84" spans="2:5">
      <c r="B84" s="606"/>
      <c r="C84" s="606"/>
      <c r="D84" s="606"/>
      <c r="E84" s="606"/>
    </row>
    <row r="85" spans="2:5">
      <c r="B85" s="606"/>
      <c r="C85" s="606"/>
      <c r="D85" s="606"/>
      <c r="E85" s="606"/>
    </row>
    <row r="86" spans="2:5">
      <c r="B86" s="606"/>
      <c r="C86" s="606"/>
      <c r="D86" s="606"/>
      <c r="E86" s="606"/>
    </row>
    <row r="87" spans="2:5">
      <c r="B87" s="606"/>
      <c r="C87" s="606"/>
      <c r="D87" s="606"/>
      <c r="E87" s="606"/>
    </row>
    <row r="88" spans="2:5">
      <c r="B88" s="606"/>
      <c r="C88" s="606"/>
      <c r="D88" s="606"/>
      <c r="E88" s="606"/>
    </row>
    <row r="89" spans="2:5">
      <c r="B89" s="606"/>
      <c r="C89" s="606"/>
      <c r="D89" s="606"/>
      <c r="E89" s="606"/>
    </row>
    <row r="90" spans="2:5">
      <c r="B90" s="606"/>
      <c r="C90" s="606"/>
      <c r="D90" s="606"/>
      <c r="E90" s="606"/>
    </row>
    <row r="91" spans="2:5">
      <c r="B91" s="606"/>
      <c r="C91" s="606"/>
      <c r="D91" s="606"/>
      <c r="E91" s="606"/>
    </row>
    <row r="92" spans="2:5">
      <c r="B92" s="606"/>
      <c r="C92" s="606"/>
      <c r="D92" s="606"/>
      <c r="E92" s="606"/>
    </row>
    <row r="93" spans="2:5">
      <c r="B93" s="606"/>
      <c r="C93" s="606"/>
      <c r="D93" s="606"/>
      <c r="E93" s="606"/>
    </row>
    <row r="94" spans="2:5">
      <c r="B94" s="606"/>
      <c r="C94" s="606"/>
      <c r="D94" s="606"/>
      <c r="E94" s="606"/>
    </row>
    <row r="95" spans="2:5">
      <c r="B95" s="606"/>
      <c r="C95" s="606"/>
      <c r="D95" s="606"/>
      <c r="E95" s="606"/>
    </row>
    <row r="96" spans="2:5">
      <c r="B96" s="606"/>
      <c r="C96" s="606"/>
      <c r="D96" s="606"/>
      <c r="E96" s="606"/>
    </row>
  </sheetData>
  <autoFilter ref="E2:G74" xr:uid="{00000000-0009-0000-0000-00001B000000}">
    <filterColumn colId="0">
      <filters blank="1">
        <filter val="ذمم"/>
      </filters>
    </filterColumn>
    <filterColumn colId="2">
      <filters blank="1">
        <filter val="0.00"/>
        <filter val="1,000.00"/>
        <filter val="1,500.00"/>
        <filter val="1,650.00"/>
        <filter val="1,932.00"/>
        <filter val="100.00"/>
        <filter val="11,252.00"/>
        <filter val="11,991.00"/>
        <filter val="114,083.00"/>
        <filter val="12,627.00"/>
        <filter val="14,403.00"/>
        <filter val="150.00"/>
        <filter val="16,220.00"/>
        <filter val="2,000.00"/>
        <filter val="2,265.00"/>
        <filter val="2,500.00"/>
        <filter val="2,800.00"/>
        <filter val="2,917.00"/>
        <filter val="200.00"/>
        <filter val="25,006.00"/>
        <filter val="3,000.00"/>
        <filter val="3,500.00"/>
        <filter val="3,505.00"/>
        <filter val="30,682.00"/>
        <filter val="300.00"/>
        <filter val="4,000.00"/>
        <filter val="4,785.00"/>
        <filter val="48,935.00"/>
        <filter val="5,510.00"/>
        <filter val="500.00"/>
        <filter val="600.00"/>
        <filter val="7,139.00"/>
        <filter val="700.00"/>
        <filter val="750.00"/>
        <filter val="8,313.00"/>
        <filter val="800.00"/>
        <filter val="9,183.00"/>
        <filter val="90,900.00"/>
      </filters>
    </filterColumn>
  </autoFilter>
  <mergeCells count="3">
    <mergeCell ref="A1:G1"/>
    <mergeCell ref="J1:M1"/>
    <mergeCell ref="B76:F76"/>
  </mergeCells>
  <conditionalFormatting sqref="G1:G19 G75:G1048576">
    <cfRule type="cellIs" dxfId="6" priority="4" operator="lessThan">
      <formula>0</formula>
    </cfRule>
  </conditionalFormatting>
  <conditionalFormatting sqref="G20:G28">
    <cfRule type="cellIs" dxfId="5" priority="3" operator="lessThan">
      <formula>0</formula>
    </cfRule>
  </conditionalFormatting>
  <conditionalFormatting sqref="G29:G74">
    <cfRule type="cellIs" dxfId="4" priority="1" operator="lessThan">
      <formula>0</formula>
    </cfRule>
  </conditionalFormatting>
  <printOptions horizontalCentered="1"/>
  <pageMargins left="0.70866141732283505" right="0.70866141732283505" top="0.74803149606299202" bottom="0.74803149606299202" header="0.31496062992126" footer="0.31496062992126"/>
  <pageSetup paperSize="9" scale="70" orientation="portrait" r:id="rId1"/>
  <ignoredErrors>
    <ignoredError sqref="A5:A74" formulaRange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/>
  <dimension ref="A3:M15"/>
  <sheetViews>
    <sheetView rightToLeft="1" workbookViewId="0">
      <selection activeCell="H19" sqref="H19"/>
    </sheetView>
  </sheetViews>
  <sheetFormatPr defaultRowHeight="15"/>
  <cols>
    <col min="1" max="1" width="5.140625" style="38" customWidth="1"/>
    <col min="2" max="4" width="15.7109375" style="565" bestFit="1" customWidth="1"/>
    <col min="5" max="5" width="11.85546875" style="565" bestFit="1" customWidth="1"/>
    <col min="6" max="6" width="34" style="38" bestFit="1" customWidth="1"/>
    <col min="7" max="7" width="24" style="38" customWidth="1"/>
    <col min="8" max="8" width="24" style="568" customWidth="1"/>
    <col min="9" max="9" width="19.140625" style="566" customWidth="1"/>
    <col min="10" max="10" width="20" style="567" customWidth="1"/>
    <col min="11" max="11" width="21.5703125" style="567" customWidth="1"/>
    <col min="12" max="12" width="21.5703125" style="38" customWidth="1"/>
    <col min="13" max="13" width="13.85546875" style="38" bestFit="1" customWidth="1"/>
    <col min="14" max="16384" width="9.140625" style="38"/>
  </cols>
  <sheetData>
    <row r="3" spans="1:13" ht="18.75">
      <c r="H3" s="569">
        <f>SUM(Table7[[رأس المال ]])</f>
        <v>1275000</v>
      </c>
    </row>
    <row r="5" spans="1:13" ht="36" customHeight="1">
      <c r="A5" s="571" t="s">
        <v>22</v>
      </c>
      <c r="B5" s="572" t="s">
        <v>1418</v>
      </c>
      <c r="C5" s="572" t="s">
        <v>1421</v>
      </c>
      <c r="D5" s="572" t="s">
        <v>1422</v>
      </c>
      <c r="E5" s="572" t="s">
        <v>1419</v>
      </c>
      <c r="F5" s="571" t="s">
        <v>1420</v>
      </c>
      <c r="G5" s="571" t="s">
        <v>81</v>
      </c>
      <c r="H5" s="573" t="s">
        <v>346</v>
      </c>
      <c r="I5" s="574" t="s">
        <v>1423</v>
      </c>
      <c r="J5" s="575" t="s">
        <v>1424</v>
      </c>
      <c r="K5" s="575" t="s">
        <v>1437</v>
      </c>
      <c r="L5" s="571" t="s">
        <v>1425</v>
      </c>
      <c r="M5" s="571" t="s">
        <v>1426</v>
      </c>
    </row>
    <row r="6" spans="1:13" s="570" customFormat="1" ht="38.25" customHeight="1">
      <c r="A6" s="572">
        <f>IF(B6&gt;0,SUBTOTAL(3,B$6:B6),"")</f>
        <v>1</v>
      </c>
      <c r="B6" s="572">
        <v>1010189130</v>
      </c>
      <c r="C6" s="572">
        <v>1010189130</v>
      </c>
      <c r="D6" s="572" t="s">
        <v>1394</v>
      </c>
      <c r="E6" s="572" t="s">
        <v>1434</v>
      </c>
      <c r="F6" s="571" t="s">
        <v>12</v>
      </c>
      <c r="G6" s="571" t="s">
        <v>52</v>
      </c>
      <c r="H6" s="573">
        <v>500000</v>
      </c>
      <c r="I6" s="574">
        <v>37844</v>
      </c>
      <c r="J6" s="575">
        <f>I6</f>
        <v>37844</v>
      </c>
      <c r="K6" s="575" t="str">
        <f>IF(J6&gt;DATE(2016,12,31),"جديد","قديم مسجل")</f>
        <v>قديم مسجل</v>
      </c>
      <c r="L6" s="575">
        <v>43038</v>
      </c>
      <c r="M6" s="571" t="str">
        <f>IF(J6&lt;L6,"يسجل","لا")</f>
        <v>يسجل</v>
      </c>
    </row>
    <row r="7" spans="1:13" s="570" customFormat="1" ht="38.25" customHeight="1">
      <c r="A7" s="572">
        <f>IF(B7&gt;0,SUBTOTAL(3,B$6:B7),"")</f>
        <v>2</v>
      </c>
      <c r="B7" s="572">
        <v>1010317317</v>
      </c>
      <c r="C7" s="572">
        <v>1010462714</v>
      </c>
      <c r="D7" s="572">
        <v>1010317317</v>
      </c>
      <c r="E7" s="572" t="s">
        <v>1438</v>
      </c>
      <c r="F7" s="571" t="s">
        <v>1427</v>
      </c>
      <c r="G7" s="571" t="s">
        <v>52</v>
      </c>
      <c r="H7" s="573">
        <v>25000</v>
      </c>
      <c r="I7" s="574">
        <v>40819</v>
      </c>
      <c r="J7" s="575">
        <f t="shared" ref="J7:J15" si="0">I7</f>
        <v>40819</v>
      </c>
      <c r="K7" s="575" t="str">
        <f t="shared" ref="K7:K15" si="1">IF(J7&gt;DATE(2016,12,31),"جديد","قديم مسجل")</f>
        <v>قديم مسجل</v>
      </c>
      <c r="L7" s="575">
        <v>43038</v>
      </c>
      <c r="M7" s="571" t="str">
        <f t="shared" ref="M7:M15" si="2">IF(J7&lt;L7,"يسجل","لا")</f>
        <v>يسجل</v>
      </c>
    </row>
    <row r="8" spans="1:13" s="570" customFormat="1" ht="38.25" customHeight="1">
      <c r="A8" s="572">
        <f>IF(B8&gt;0,SUBTOTAL(3,B$6:B8),"")</f>
        <v>3</v>
      </c>
      <c r="B8" s="572">
        <v>1010441580</v>
      </c>
      <c r="C8" s="572">
        <v>1010462714</v>
      </c>
      <c r="D8" s="572">
        <v>1010441580</v>
      </c>
      <c r="E8" s="572" t="s">
        <v>1438</v>
      </c>
      <c r="F8" s="571" t="s">
        <v>1428</v>
      </c>
      <c r="G8" s="571" t="s">
        <v>52</v>
      </c>
      <c r="H8" s="573">
        <v>25000</v>
      </c>
      <c r="I8" s="574">
        <v>42407</v>
      </c>
      <c r="J8" s="575">
        <f t="shared" si="0"/>
        <v>42407</v>
      </c>
      <c r="K8" s="575" t="str">
        <f t="shared" si="1"/>
        <v>قديم مسجل</v>
      </c>
      <c r="L8" s="575">
        <v>43038</v>
      </c>
      <c r="M8" s="571" t="str">
        <f t="shared" si="2"/>
        <v>يسجل</v>
      </c>
    </row>
    <row r="9" spans="1:13" s="570" customFormat="1" ht="38.25" customHeight="1">
      <c r="A9" s="572">
        <f>IF(B9&gt;0,SUBTOTAL(3,B$6:B9),"")</f>
        <v>4</v>
      </c>
      <c r="B9" s="572">
        <v>1010462714</v>
      </c>
      <c r="C9" s="572">
        <v>1010189130</v>
      </c>
      <c r="D9" s="572" t="s">
        <v>1394</v>
      </c>
      <c r="E9" s="572" t="s">
        <v>1435</v>
      </c>
      <c r="F9" s="571" t="s">
        <v>1429</v>
      </c>
      <c r="G9" s="571" t="s">
        <v>52</v>
      </c>
      <c r="H9" s="573">
        <v>25000</v>
      </c>
      <c r="I9" s="574">
        <v>42568</v>
      </c>
      <c r="J9" s="575">
        <f t="shared" si="0"/>
        <v>42568</v>
      </c>
      <c r="K9" s="575" t="str">
        <f t="shared" si="1"/>
        <v>قديم مسجل</v>
      </c>
      <c r="L9" s="575">
        <v>43038</v>
      </c>
      <c r="M9" s="571" t="str">
        <f t="shared" si="2"/>
        <v>يسجل</v>
      </c>
    </row>
    <row r="10" spans="1:13" s="570" customFormat="1" ht="38.25" customHeight="1">
      <c r="A10" s="572">
        <f>IF(B10&gt;0,SUBTOTAL(3,B$6:B10),"")</f>
        <v>5</v>
      </c>
      <c r="B10" s="572">
        <v>1010612340</v>
      </c>
      <c r="C10" s="572">
        <v>1010462714</v>
      </c>
      <c r="D10" s="572">
        <v>1010612340</v>
      </c>
      <c r="E10" s="572" t="s">
        <v>1438</v>
      </c>
      <c r="F10" s="571" t="s">
        <v>12</v>
      </c>
      <c r="G10" s="571" t="s">
        <v>52</v>
      </c>
      <c r="H10" s="573">
        <v>25000</v>
      </c>
      <c r="I10" s="574">
        <v>43027</v>
      </c>
      <c r="J10" s="575">
        <f t="shared" si="0"/>
        <v>43027</v>
      </c>
      <c r="K10" s="575" t="str">
        <f t="shared" si="1"/>
        <v>جديد</v>
      </c>
      <c r="L10" s="575">
        <v>43038</v>
      </c>
      <c r="M10" s="571" t="str">
        <f t="shared" si="2"/>
        <v>يسجل</v>
      </c>
    </row>
    <row r="11" spans="1:13" s="570" customFormat="1" ht="38.25" customHeight="1">
      <c r="A11" s="572">
        <f>IF(B11&gt;0,SUBTOTAL(3,B$6:B11),"")</f>
        <v>6</v>
      </c>
      <c r="B11" s="572">
        <v>1128019074</v>
      </c>
      <c r="C11" s="572">
        <v>1010462714</v>
      </c>
      <c r="D11" s="572">
        <v>1128019074</v>
      </c>
      <c r="E11" s="572" t="s">
        <v>1438</v>
      </c>
      <c r="F11" s="571" t="s">
        <v>12</v>
      </c>
      <c r="G11" s="571" t="s">
        <v>123</v>
      </c>
      <c r="H11" s="573">
        <v>500000</v>
      </c>
      <c r="I11" s="574">
        <v>41976</v>
      </c>
      <c r="J11" s="575">
        <f t="shared" si="0"/>
        <v>41976</v>
      </c>
      <c r="K11" s="575" t="str">
        <f t="shared" si="1"/>
        <v>قديم مسجل</v>
      </c>
      <c r="L11" s="575">
        <v>43038</v>
      </c>
      <c r="M11" s="571" t="str">
        <f t="shared" si="2"/>
        <v>يسجل</v>
      </c>
    </row>
    <row r="12" spans="1:13" s="570" customFormat="1" ht="38.25" customHeight="1">
      <c r="A12" s="572">
        <f>IF(B12&gt;0,SUBTOTAL(3,B$6:B12),"")</f>
        <v>7</v>
      </c>
      <c r="B12" s="572">
        <v>1131058043</v>
      </c>
      <c r="C12" s="572">
        <v>1010462714</v>
      </c>
      <c r="D12" s="572">
        <v>1131058043</v>
      </c>
      <c r="E12" s="572" t="s">
        <v>1438</v>
      </c>
      <c r="F12" s="571" t="s">
        <v>1431</v>
      </c>
      <c r="G12" s="571" t="s">
        <v>1430</v>
      </c>
      <c r="H12" s="573">
        <v>25000</v>
      </c>
      <c r="I12" s="574">
        <v>43005</v>
      </c>
      <c r="J12" s="575">
        <f t="shared" si="0"/>
        <v>43005</v>
      </c>
      <c r="K12" s="575" t="str">
        <f t="shared" si="1"/>
        <v>جديد</v>
      </c>
      <c r="L12" s="575">
        <v>43038</v>
      </c>
      <c r="M12" s="571" t="str">
        <f t="shared" si="2"/>
        <v>يسجل</v>
      </c>
    </row>
    <row r="13" spans="1:13" s="570" customFormat="1" ht="38.25" customHeight="1">
      <c r="A13" s="572">
        <f>IF(B13&gt;0,SUBTOTAL(3,B$6:B13),"")</f>
        <v>8</v>
      </c>
      <c r="B13" s="572">
        <v>5900035005</v>
      </c>
      <c r="C13" s="572">
        <v>1010462714</v>
      </c>
      <c r="D13" s="572">
        <v>5900035005</v>
      </c>
      <c r="E13" s="572" t="s">
        <v>1438</v>
      </c>
      <c r="F13" s="571" t="s">
        <v>1429</v>
      </c>
      <c r="G13" s="571" t="s">
        <v>1432</v>
      </c>
      <c r="H13" s="573">
        <v>25000</v>
      </c>
      <c r="I13" s="574">
        <v>42591</v>
      </c>
      <c r="J13" s="575">
        <f t="shared" si="0"/>
        <v>42591</v>
      </c>
      <c r="K13" s="575" t="str">
        <f t="shared" si="1"/>
        <v>قديم مسجل</v>
      </c>
      <c r="L13" s="575">
        <v>43038</v>
      </c>
      <c r="M13" s="571" t="str">
        <f t="shared" si="2"/>
        <v>يسجل</v>
      </c>
    </row>
    <row r="14" spans="1:13" s="570" customFormat="1" ht="38.25" customHeight="1">
      <c r="A14" s="572">
        <f>IF(B14&gt;0,SUBTOTAL(3,B$6:B14),"")</f>
        <v>9</v>
      </c>
      <c r="B14" s="572">
        <v>1010158083</v>
      </c>
      <c r="C14" s="572">
        <v>1010462714</v>
      </c>
      <c r="D14" s="572">
        <v>1010158083</v>
      </c>
      <c r="E14" s="572" t="s">
        <v>1438</v>
      </c>
      <c r="F14" s="571" t="s">
        <v>1433</v>
      </c>
      <c r="G14" s="571" t="s">
        <v>52</v>
      </c>
      <c r="H14" s="573">
        <v>100000</v>
      </c>
      <c r="I14" s="574">
        <v>36614</v>
      </c>
      <c r="J14" s="575">
        <f t="shared" si="0"/>
        <v>36614</v>
      </c>
      <c r="K14" s="575" t="str">
        <f t="shared" si="1"/>
        <v>قديم مسجل</v>
      </c>
      <c r="L14" s="575">
        <v>43038</v>
      </c>
      <c r="M14" s="571" t="str">
        <f t="shared" si="2"/>
        <v>يسجل</v>
      </c>
    </row>
    <row r="15" spans="1:13" s="570" customFormat="1" ht="38.25" customHeight="1">
      <c r="A15" s="572">
        <f>IF(B15&gt;0,SUBTOTAL(3,B$6:B15),"")</f>
        <v>10</v>
      </c>
      <c r="B15" s="572">
        <v>1010320011</v>
      </c>
      <c r="C15" s="572">
        <v>1010189130</v>
      </c>
      <c r="D15" s="572">
        <v>1010320011</v>
      </c>
      <c r="E15" s="572" t="s">
        <v>1438</v>
      </c>
      <c r="F15" s="571" t="s">
        <v>1436</v>
      </c>
      <c r="G15" s="571" t="s">
        <v>52</v>
      </c>
      <c r="H15" s="573">
        <v>25000</v>
      </c>
      <c r="I15" s="574">
        <v>40861</v>
      </c>
      <c r="J15" s="575">
        <f t="shared" si="0"/>
        <v>40861</v>
      </c>
      <c r="K15" s="575" t="str">
        <f t="shared" si="1"/>
        <v>قديم مسجل</v>
      </c>
      <c r="L15" s="575">
        <v>43038</v>
      </c>
      <c r="M15" s="571" t="str">
        <f t="shared" si="2"/>
        <v>يسجل</v>
      </c>
    </row>
  </sheetData>
  <conditionalFormatting sqref="M6:M15">
    <cfRule type="containsText" dxfId="3" priority="3" operator="containsText" text="يسجل">
      <formula>NOT(ISERROR(SEARCH("يسجل",M6)))</formula>
    </cfRule>
    <cfRule type="containsText" dxfId="2" priority="4" operator="containsText" text="لا">
      <formula>NOT(ISERROR(SEARCH("لا",M6)))</formula>
    </cfRule>
  </conditionalFormatting>
  <conditionalFormatting sqref="J1:K1048576">
    <cfRule type="top10" dxfId="1" priority="2" bottom="1" rank="1"/>
  </conditionalFormatting>
  <conditionalFormatting sqref="K6:K15">
    <cfRule type="containsText" dxfId="0" priority="1" operator="containsText" text="جد">
      <formula>NOT(ISERROR(SEARCH("جد",K6)))</formula>
    </cfRule>
  </conditionalFormatting>
  <pageMargins left="0.7" right="0.7" top="0.75" bottom="0.75" header="0.3" footer="0.3"/>
  <pageSetup orientation="portrait" r:id="rId1"/>
  <ignoredErrors>
    <ignoredError sqref="A16:A19 A7:A15" formulaRange="1"/>
  </ignoredErrors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0"/>
  <sheetViews>
    <sheetView rightToLeft="1" workbookViewId="0">
      <selection activeCell="O14" sqref="O14"/>
    </sheetView>
  </sheetViews>
  <sheetFormatPr defaultRowHeight="15"/>
  <sheetData>
    <row r="1" spans="1:14" s="538" customFormat="1" ht="21">
      <c r="A1" s="534" t="s">
        <v>325</v>
      </c>
      <c r="B1" s="535"/>
      <c r="C1" s="535"/>
      <c r="D1" s="535"/>
      <c r="E1" s="535"/>
      <c r="F1" s="536"/>
      <c r="G1" s="537"/>
      <c r="I1" s="537"/>
      <c r="J1" s="537"/>
      <c r="K1" s="537"/>
      <c r="L1" s="535"/>
      <c r="M1" s="632" t="s">
        <v>1469</v>
      </c>
      <c r="N1" s="381"/>
    </row>
    <row r="2" spans="1:14" s="538" customFormat="1" ht="18.75">
      <c r="A2" s="539" t="s">
        <v>326</v>
      </c>
      <c r="B2" s="540"/>
      <c r="C2" s="540"/>
      <c r="D2" s="540"/>
      <c r="E2" s="540"/>
      <c r="F2" s="583"/>
      <c r="G2" s="540"/>
      <c r="H2" s="541"/>
      <c r="I2" s="540"/>
      <c r="K2" s="540"/>
      <c r="N2" s="381"/>
    </row>
    <row r="3" spans="1:14" s="538" customFormat="1" ht="18.75">
      <c r="A3" s="542" t="s">
        <v>327</v>
      </c>
      <c r="B3" s="543"/>
      <c r="C3" s="543"/>
      <c r="D3" s="543"/>
      <c r="E3" s="543"/>
      <c r="F3" s="543"/>
      <c r="G3" s="543"/>
      <c r="I3" s="543"/>
      <c r="K3" s="543"/>
      <c r="N3" s="381"/>
    </row>
    <row r="4" spans="1:14" s="538" customFormat="1">
      <c r="G4" s="88">
        <v>2017</v>
      </c>
      <c r="I4" s="88">
        <v>2016</v>
      </c>
      <c r="J4" s="57"/>
      <c r="K4" s="88">
        <v>2015</v>
      </c>
      <c r="N4" s="381"/>
    </row>
    <row r="5" spans="1:14" s="538" customFormat="1" ht="9" customHeight="1">
      <c r="G5" s="83"/>
      <c r="I5" s="83"/>
      <c r="K5" s="83"/>
      <c r="N5" s="381"/>
    </row>
    <row r="6" spans="1:14" s="538" customFormat="1" ht="21" customHeight="1">
      <c r="A6" s="544" t="s">
        <v>328</v>
      </c>
      <c r="G6" s="76">
        <f>'تسوية البنك 2017'!$D$25</f>
        <v>75668.36</v>
      </c>
      <c r="I6" s="76">
        <v>532034</v>
      </c>
      <c r="J6" s="86"/>
      <c r="K6" s="87">
        <v>139613</v>
      </c>
      <c r="N6" s="381"/>
    </row>
    <row r="7" spans="1:14" s="538" customFormat="1" ht="18.75">
      <c r="A7" s="544" t="s">
        <v>329</v>
      </c>
      <c r="G7" s="76">
        <f>'ميزان المراجعة قبل الأقفال 2017'!$H$7</f>
        <v>8153</v>
      </c>
      <c r="I7" s="76">
        <v>14972</v>
      </c>
      <c r="J7" s="86"/>
      <c r="K7" s="76">
        <v>31767</v>
      </c>
      <c r="N7" s="381"/>
    </row>
    <row r="8" spans="1:14" s="538" customFormat="1" ht="9" customHeight="1">
      <c r="N8" s="381"/>
    </row>
    <row r="9" spans="1:14" s="53" customFormat="1" ht="19.5" thickBot="1">
      <c r="A9" s="545" t="s">
        <v>330</v>
      </c>
      <c r="G9" s="77">
        <f>SUM(G6:G7)</f>
        <v>83821.36</v>
      </c>
      <c r="I9" s="77">
        <f>SUM(I6:I7)</f>
        <v>547006</v>
      </c>
      <c r="K9" s="77">
        <f>SUM(K6:K7)</f>
        <v>171380</v>
      </c>
      <c r="N9" s="560"/>
    </row>
    <row r="10" spans="1:14" ht="15.75" thickTop="1"/>
  </sheetData>
  <hyperlinks>
    <hyperlink ref="M1" location="'ميزان المراجعة قبل الأقفال 2017'!A1" display="home" xr:uid="{00000000-0004-0000-1600-000000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1B03-0E81-47DC-B0E6-38C44FF43FC7}">
  <dimension ref="A1:S40"/>
  <sheetViews>
    <sheetView rightToLeft="1" zoomScaleNormal="100" zoomScaleSheetLayoutView="90" workbookViewId="0">
      <pane ySplit="5" topLeftCell="A9" activePane="bottomLeft" state="frozen"/>
      <selection activeCell="C61" sqref="C61"/>
      <selection pane="bottomLeft" activeCell="N18" sqref="N18"/>
    </sheetView>
  </sheetViews>
  <sheetFormatPr defaultRowHeight="21"/>
  <cols>
    <col min="1" max="1" width="44.140625" style="646" customWidth="1"/>
    <col min="2" max="2" width="12" style="487" customWidth="1"/>
    <col min="3" max="3" width="8.5703125" style="122" customWidth="1"/>
    <col min="4" max="7" width="20.140625" style="4" customWidth="1"/>
    <col min="8" max="9" width="20.140625" style="594" customWidth="1"/>
    <col min="10" max="10" width="16.5703125" style="646" hidden="1" customWidth="1"/>
    <col min="11" max="11" width="20.28515625" style="646" hidden="1" customWidth="1"/>
    <col min="12" max="13" width="9.140625" style="646"/>
    <col min="14" max="14" width="17.7109375" style="646" bestFit="1" customWidth="1"/>
    <col min="15" max="18" width="9.140625" style="646"/>
    <col min="19" max="19" width="31.5703125" style="646" customWidth="1"/>
    <col min="20" max="16384" width="9.140625" style="646"/>
  </cols>
  <sheetData>
    <row r="1" spans="1:13" ht="31.5" customHeight="1">
      <c r="A1" s="682" t="s">
        <v>12</v>
      </c>
      <c r="B1" s="682"/>
      <c r="C1" s="682"/>
      <c r="D1" s="682"/>
      <c r="E1" s="682"/>
      <c r="F1" s="682"/>
      <c r="G1" s="682"/>
      <c r="H1" s="682"/>
      <c r="I1" s="682"/>
      <c r="J1" s="649"/>
      <c r="K1" s="649"/>
    </row>
    <row r="2" spans="1:13" ht="31.5" customHeight="1">
      <c r="A2" s="682"/>
      <c r="B2" s="682"/>
      <c r="C2" s="682"/>
      <c r="D2" s="682"/>
      <c r="E2" s="682"/>
      <c r="F2" s="682"/>
      <c r="G2" s="682"/>
      <c r="H2" s="682"/>
      <c r="I2" s="682"/>
      <c r="J2" s="650"/>
      <c r="K2" s="650"/>
    </row>
    <row r="3" spans="1:13" ht="35.25" customHeight="1" thickBot="1">
      <c r="A3" s="673" t="s">
        <v>1500</v>
      </c>
      <c r="B3" s="673"/>
      <c r="C3" s="673"/>
      <c r="D3" s="673"/>
      <c r="E3" s="673"/>
      <c r="F3" s="673"/>
      <c r="G3" s="673"/>
      <c r="H3" s="673"/>
      <c r="I3" s="673"/>
      <c r="J3" s="651"/>
      <c r="K3" s="651"/>
    </row>
    <row r="4" spans="1:13" s="648" customFormat="1" ht="39.75" customHeight="1" thickTop="1">
      <c r="A4" s="678" t="s">
        <v>1</v>
      </c>
      <c r="B4" s="683" t="s">
        <v>1391</v>
      </c>
      <c r="C4" s="629"/>
      <c r="D4" s="676" t="s">
        <v>0</v>
      </c>
      <c r="E4" s="680"/>
      <c r="F4" s="674" t="s">
        <v>1501</v>
      </c>
      <c r="G4" s="675"/>
      <c r="H4" s="752" t="s">
        <v>1502</v>
      </c>
      <c r="I4" s="753"/>
      <c r="J4" s="35"/>
      <c r="K4" s="35"/>
    </row>
    <row r="5" spans="1:13" s="648" customFormat="1" ht="30.75" customHeight="1" thickBot="1">
      <c r="A5" s="679"/>
      <c r="B5" s="684"/>
      <c r="C5" s="630"/>
      <c r="D5" s="171" t="s">
        <v>2</v>
      </c>
      <c r="E5" s="175" t="s">
        <v>3</v>
      </c>
      <c r="F5" s="127" t="s">
        <v>4</v>
      </c>
      <c r="G5" s="128" t="s">
        <v>3</v>
      </c>
      <c r="H5" s="754" t="s">
        <v>4</v>
      </c>
      <c r="I5" s="755" t="s">
        <v>3</v>
      </c>
      <c r="J5" s="34"/>
      <c r="K5" s="34"/>
    </row>
    <row r="6" spans="1:13" ht="34.5" customHeight="1" thickTop="1">
      <c r="A6" s="618" t="s">
        <v>5</v>
      </c>
      <c r="B6" s="488">
        <v>17</v>
      </c>
      <c r="C6" s="169" t="s">
        <v>22</v>
      </c>
      <c r="D6" s="181">
        <v>532033.53</v>
      </c>
      <c r="E6" s="182">
        <v>0</v>
      </c>
      <c r="F6" s="125">
        <f>4790836+65050</f>
        <v>4855886</v>
      </c>
      <c r="G6" s="126">
        <f>5192190.17+120061</f>
        <v>5312251.17</v>
      </c>
      <c r="H6" s="760">
        <f>IF(D6+F6&gt;E6+G6,(D6+F6)-(E6+G6),0)</f>
        <v>75668.360000000335</v>
      </c>
      <c r="I6" s="756">
        <f>IF(E6+G6&gt;D6+F6,(E6+G6)-(D6+F6),0)</f>
        <v>0</v>
      </c>
      <c r="J6" s="36" t="s">
        <v>234</v>
      </c>
      <c r="K6" s="36" t="s">
        <v>237</v>
      </c>
      <c r="L6" s="483" t="s">
        <v>667</v>
      </c>
      <c r="M6" s="347"/>
    </row>
    <row r="7" spans="1:13" ht="34.5" customHeight="1">
      <c r="A7" s="618" t="s">
        <v>6</v>
      </c>
      <c r="B7" s="488">
        <v>17</v>
      </c>
      <c r="C7" s="169" t="s">
        <v>22</v>
      </c>
      <c r="D7" s="183">
        <v>14972</v>
      </c>
      <c r="E7" s="184">
        <v>0</v>
      </c>
      <c r="F7" s="120">
        <v>2748264</v>
      </c>
      <c r="G7" s="121">
        <v>2755083</v>
      </c>
      <c r="H7" s="758">
        <f>IF(D7+F7&gt;E7+G7,(D7+F7)-(E7+G7),0)</f>
        <v>8153</v>
      </c>
      <c r="I7" s="757">
        <f t="shared" ref="I7:I36" si="0">IF(E7+G7&gt;D7+F7,(E7+G7)-(D7+F7),0)</f>
        <v>0</v>
      </c>
      <c r="J7" s="36" t="s">
        <v>234</v>
      </c>
      <c r="K7" s="36" t="s">
        <v>237</v>
      </c>
      <c r="L7" s="483" t="s">
        <v>667</v>
      </c>
      <c r="M7" s="347"/>
    </row>
    <row r="8" spans="1:13" ht="34.5" customHeight="1">
      <c r="A8" s="618" t="s">
        <v>715</v>
      </c>
      <c r="B8" s="485">
        <v>18</v>
      </c>
      <c r="C8" s="169" t="s">
        <v>22</v>
      </c>
      <c r="D8" s="183">
        <v>0</v>
      </c>
      <c r="E8" s="184">
        <v>0</v>
      </c>
      <c r="F8" s="120">
        <v>14375</v>
      </c>
      <c r="G8" s="121">
        <v>0</v>
      </c>
      <c r="H8" s="758">
        <f t="shared" ref="H8:H36" si="1">IF(D8+F8&gt;E8+G8,(D8+F8)-(E8+G8),0)</f>
        <v>14375</v>
      </c>
      <c r="I8" s="757">
        <f t="shared" si="0"/>
        <v>0</v>
      </c>
      <c r="J8" s="36" t="s">
        <v>234</v>
      </c>
      <c r="K8" s="36" t="s">
        <v>238</v>
      </c>
      <c r="L8" s="483" t="s">
        <v>667</v>
      </c>
    </row>
    <row r="9" spans="1:13" ht="34.5" customHeight="1">
      <c r="A9" s="618" t="s">
        <v>14</v>
      </c>
      <c r="B9" s="485">
        <v>18</v>
      </c>
      <c r="C9" s="169" t="s">
        <v>22</v>
      </c>
      <c r="D9" s="183">
        <v>104533.4</v>
      </c>
      <c r="E9" s="184">
        <v>0</v>
      </c>
      <c r="F9" s="120">
        <f>3719751+14100</f>
        <v>3733851</v>
      </c>
      <c r="G9" s="121">
        <v>3706152.75</v>
      </c>
      <c r="H9" s="758">
        <f t="shared" si="1"/>
        <v>132231.64999999991</v>
      </c>
      <c r="I9" s="757">
        <f t="shared" si="0"/>
        <v>0</v>
      </c>
      <c r="J9" s="36" t="s">
        <v>234</v>
      </c>
      <c r="K9" s="36" t="s">
        <v>236</v>
      </c>
      <c r="L9" s="483"/>
      <c r="M9" s="347"/>
    </row>
    <row r="10" spans="1:13" ht="34.5" customHeight="1">
      <c r="A10" s="618" t="s">
        <v>223</v>
      </c>
      <c r="B10" s="485">
        <v>18</v>
      </c>
      <c r="C10" s="169" t="s">
        <v>22</v>
      </c>
      <c r="D10" s="183">
        <v>123515</v>
      </c>
      <c r="E10" s="184">
        <v>0</v>
      </c>
      <c r="F10" s="120">
        <v>6654371</v>
      </c>
      <c r="G10" s="121">
        <v>6325912</v>
      </c>
      <c r="H10" s="758">
        <f t="shared" si="1"/>
        <v>451974</v>
      </c>
      <c r="I10" s="757">
        <f t="shared" si="0"/>
        <v>0</v>
      </c>
      <c r="J10" s="36" t="s">
        <v>234</v>
      </c>
      <c r="K10" s="36" t="s">
        <v>236</v>
      </c>
      <c r="L10" s="483" t="s">
        <v>667</v>
      </c>
      <c r="M10" s="347"/>
    </row>
    <row r="11" spans="1:13" ht="34.5" customHeight="1">
      <c r="A11" s="618" t="s">
        <v>464</v>
      </c>
      <c r="B11" s="485">
        <v>18</v>
      </c>
      <c r="C11" s="169" t="s">
        <v>22</v>
      </c>
      <c r="D11" s="183">
        <v>41667</v>
      </c>
      <c r="E11" s="184">
        <v>0</v>
      </c>
      <c r="F11" s="120"/>
      <c r="G11" s="121">
        <v>41667</v>
      </c>
      <c r="H11" s="758">
        <f t="shared" si="1"/>
        <v>0</v>
      </c>
      <c r="I11" s="757">
        <f t="shared" si="0"/>
        <v>0</v>
      </c>
      <c r="J11" s="36"/>
      <c r="K11" s="36"/>
      <c r="L11" s="483"/>
    </row>
    <row r="12" spans="1:13" ht="34.5" customHeight="1">
      <c r="A12" s="618" t="s">
        <v>1473</v>
      </c>
      <c r="B12" s="485">
        <v>18</v>
      </c>
      <c r="C12" s="169" t="s">
        <v>22</v>
      </c>
      <c r="D12" s="183">
        <v>0</v>
      </c>
      <c r="E12" s="184">
        <v>0</v>
      </c>
      <c r="F12" s="120">
        <f>186761+50000</f>
        <v>236761</v>
      </c>
      <c r="G12" s="121">
        <v>10000</v>
      </c>
      <c r="H12" s="758">
        <f t="shared" si="1"/>
        <v>226761</v>
      </c>
      <c r="I12" s="757">
        <f t="shared" si="0"/>
        <v>0</v>
      </c>
      <c r="J12" s="36" t="s">
        <v>234</v>
      </c>
      <c r="K12" s="36" t="s">
        <v>238</v>
      </c>
      <c r="L12" s="483" t="s">
        <v>667</v>
      </c>
    </row>
    <row r="13" spans="1:13" ht="34.5" customHeight="1">
      <c r="A13" s="618" t="s">
        <v>1471</v>
      </c>
      <c r="B13" s="485">
        <v>18</v>
      </c>
      <c r="C13" s="169" t="s">
        <v>22</v>
      </c>
      <c r="D13" s="183">
        <v>146400</v>
      </c>
      <c r="E13" s="184">
        <v>0</v>
      </c>
      <c r="F13" s="120">
        <v>703800</v>
      </c>
      <c r="G13" s="121">
        <v>728260</v>
      </c>
      <c r="H13" s="758">
        <f t="shared" si="1"/>
        <v>121940</v>
      </c>
      <c r="I13" s="757">
        <f t="shared" si="0"/>
        <v>0</v>
      </c>
      <c r="J13" s="36" t="s">
        <v>234</v>
      </c>
      <c r="K13" s="36" t="s">
        <v>236</v>
      </c>
      <c r="L13" s="483" t="s">
        <v>667</v>
      </c>
    </row>
    <row r="14" spans="1:13" ht="34.5" customHeight="1">
      <c r="A14" s="618" t="s">
        <v>1472</v>
      </c>
      <c r="B14" s="485">
        <v>18</v>
      </c>
      <c r="C14" s="169" t="s">
        <v>22</v>
      </c>
      <c r="D14" s="183">
        <v>57429</v>
      </c>
      <c r="E14" s="184">
        <v>0</v>
      </c>
      <c r="F14" s="120">
        <v>159367</v>
      </c>
      <c r="G14" s="121">
        <v>39800</v>
      </c>
      <c r="H14" s="758">
        <f t="shared" si="1"/>
        <v>176996</v>
      </c>
      <c r="I14" s="757">
        <f t="shared" si="0"/>
        <v>0</v>
      </c>
      <c r="J14" s="36" t="s">
        <v>234</v>
      </c>
      <c r="K14" s="36" t="s">
        <v>236</v>
      </c>
      <c r="L14" s="483" t="s">
        <v>667</v>
      </c>
    </row>
    <row r="15" spans="1:13" ht="34.5" customHeight="1">
      <c r="A15" s="618" t="s">
        <v>462</v>
      </c>
      <c r="B15" s="485">
        <v>19</v>
      </c>
      <c r="C15" s="169" t="s">
        <v>22</v>
      </c>
      <c r="D15" s="183">
        <v>189853</v>
      </c>
      <c r="E15" s="184">
        <v>0</v>
      </c>
      <c r="F15" s="120">
        <v>1105214</v>
      </c>
      <c r="G15" s="121">
        <v>189852.71</v>
      </c>
      <c r="H15" s="758">
        <f>IF(D15+F15&gt;E15+G15,(D15+F15)-(E15+G15),0)</f>
        <v>1105214.29</v>
      </c>
      <c r="I15" s="757">
        <f>IF(E15+G15&gt;D15+F15,(E15+G15)-(D15+F15),0)</f>
        <v>0</v>
      </c>
      <c r="J15" s="36" t="s">
        <v>234</v>
      </c>
      <c r="K15" s="36" t="s">
        <v>238</v>
      </c>
      <c r="L15" s="483" t="s">
        <v>667</v>
      </c>
    </row>
    <row r="16" spans="1:13" ht="34.5" customHeight="1">
      <c r="A16" s="618" t="s">
        <v>463</v>
      </c>
      <c r="B16" s="485">
        <v>19</v>
      </c>
      <c r="C16" s="169" t="s">
        <v>22</v>
      </c>
      <c r="D16" s="183">
        <v>220000</v>
      </c>
      <c r="E16" s="184">
        <v>0</v>
      </c>
      <c r="F16" s="120">
        <v>90000</v>
      </c>
      <c r="G16" s="121">
        <v>160000</v>
      </c>
      <c r="H16" s="758">
        <f>IF(D16+F16&gt;E16+G16,(D16+F16)-(E16+G16),0)</f>
        <v>150000</v>
      </c>
      <c r="I16" s="757">
        <f>IF(E16+G16&gt;D16+F16,(E16+G16)-(D16+F16),0)</f>
        <v>0</v>
      </c>
      <c r="J16" s="36" t="s">
        <v>234</v>
      </c>
      <c r="K16" s="36" t="s">
        <v>238</v>
      </c>
      <c r="L16" s="483" t="s">
        <v>667</v>
      </c>
    </row>
    <row r="17" spans="1:19" ht="34.5" customHeight="1">
      <c r="A17" s="618" t="s">
        <v>461</v>
      </c>
      <c r="B17" s="485"/>
      <c r="C17" s="169" t="s">
        <v>22</v>
      </c>
      <c r="D17" s="183">
        <v>69240</v>
      </c>
      <c r="E17" s="184">
        <v>0</v>
      </c>
      <c r="F17" s="120">
        <v>0</v>
      </c>
      <c r="G17" s="121">
        <v>0</v>
      </c>
      <c r="H17" s="758">
        <f t="shared" si="1"/>
        <v>69240</v>
      </c>
      <c r="I17" s="757">
        <f t="shared" si="0"/>
        <v>0</v>
      </c>
      <c r="J17" s="36"/>
      <c r="K17" s="36"/>
      <c r="L17" s="483" t="s">
        <v>667</v>
      </c>
    </row>
    <row r="18" spans="1:19" ht="34.5" customHeight="1">
      <c r="A18" s="618" t="s">
        <v>15</v>
      </c>
      <c r="B18" s="485">
        <v>20</v>
      </c>
      <c r="C18" s="169" t="s">
        <v>22</v>
      </c>
      <c r="D18" s="183">
        <v>11504544</v>
      </c>
      <c r="E18" s="184">
        <v>0</v>
      </c>
      <c r="F18" s="120">
        <v>17160694</v>
      </c>
      <c r="G18" s="121">
        <v>442647</v>
      </c>
      <c r="H18" s="758">
        <f t="shared" si="1"/>
        <v>28222591</v>
      </c>
      <c r="I18" s="757">
        <f t="shared" si="0"/>
        <v>0</v>
      </c>
      <c r="J18" s="36" t="s">
        <v>240</v>
      </c>
      <c r="K18" s="36" t="s">
        <v>239</v>
      </c>
      <c r="L18" s="483" t="s">
        <v>667</v>
      </c>
      <c r="M18" s="347"/>
    </row>
    <row r="19" spans="1:19" ht="34.5" customHeight="1">
      <c r="A19" s="618" t="s">
        <v>16</v>
      </c>
      <c r="B19" s="485">
        <v>21</v>
      </c>
      <c r="C19" s="169" t="s">
        <v>22</v>
      </c>
      <c r="D19" s="183">
        <v>0</v>
      </c>
      <c r="E19" s="184">
        <v>3556059</v>
      </c>
      <c r="F19" s="120">
        <v>140682</v>
      </c>
      <c r="G19" s="121">
        <v>2326383</v>
      </c>
      <c r="H19" s="758">
        <f t="shared" si="1"/>
        <v>0</v>
      </c>
      <c r="I19" s="757">
        <f t="shared" si="0"/>
        <v>5741760</v>
      </c>
      <c r="J19" s="36"/>
      <c r="K19" s="36" t="s">
        <v>245</v>
      </c>
      <c r="L19" s="483" t="s">
        <v>667</v>
      </c>
    </row>
    <row r="20" spans="1:19" ht="34.5" customHeight="1">
      <c r="A20" s="618" t="s">
        <v>468</v>
      </c>
      <c r="B20" s="485">
        <v>22</v>
      </c>
      <c r="C20" s="169" t="s">
        <v>22</v>
      </c>
      <c r="D20" s="183">
        <v>0</v>
      </c>
      <c r="E20" s="184">
        <v>3473328</v>
      </c>
      <c r="F20" s="120">
        <v>3113972.86</v>
      </c>
      <c r="G20" s="121">
        <v>16069868.67</v>
      </c>
      <c r="H20" s="758">
        <f t="shared" si="1"/>
        <v>0</v>
      </c>
      <c r="I20" s="757">
        <f t="shared" si="0"/>
        <v>16429223.810000002</v>
      </c>
      <c r="J20" s="36" t="s">
        <v>235</v>
      </c>
      <c r="K20" s="36" t="s">
        <v>246</v>
      </c>
      <c r="L20" s="483" t="s">
        <v>667</v>
      </c>
      <c r="S20" s="103"/>
    </row>
    <row r="21" spans="1:19" ht="34.5" customHeight="1">
      <c r="A21" s="618" t="s">
        <v>17</v>
      </c>
      <c r="B21" s="485"/>
      <c r="C21" s="169" t="s">
        <v>22</v>
      </c>
      <c r="D21" s="183">
        <v>0</v>
      </c>
      <c r="E21" s="184">
        <v>0</v>
      </c>
      <c r="F21" s="120">
        <v>0</v>
      </c>
      <c r="G21" s="121">
        <v>0</v>
      </c>
      <c r="H21" s="758">
        <f t="shared" si="1"/>
        <v>0</v>
      </c>
      <c r="I21" s="757">
        <f t="shared" si="0"/>
        <v>0</v>
      </c>
      <c r="J21" s="36" t="s">
        <v>235</v>
      </c>
      <c r="K21" s="36" t="s">
        <v>244</v>
      </c>
      <c r="S21" s="734">
        <f>1944997+1585964</f>
        <v>3530961</v>
      </c>
    </row>
    <row r="22" spans="1:19" ht="34.5" customHeight="1">
      <c r="A22" s="618" t="s">
        <v>466</v>
      </c>
      <c r="B22" s="485"/>
      <c r="C22" s="169" t="s">
        <v>22</v>
      </c>
      <c r="D22" s="183">
        <v>0</v>
      </c>
      <c r="E22" s="184">
        <v>23642</v>
      </c>
      <c r="F22" s="120">
        <f>51985+8344</f>
        <v>60329</v>
      </c>
      <c r="G22" s="121">
        <v>40036</v>
      </c>
      <c r="H22" s="758">
        <f t="shared" si="1"/>
        <v>0</v>
      </c>
      <c r="I22" s="757">
        <f t="shared" si="0"/>
        <v>3349</v>
      </c>
      <c r="J22" s="36" t="s">
        <v>235</v>
      </c>
      <c r="K22" s="36" t="s">
        <v>246</v>
      </c>
      <c r="L22" s="483" t="s">
        <v>667</v>
      </c>
    </row>
    <row r="23" spans="1:19" ht="34.5" customHeight="1">
      <c r="A23" s="618" t="s">
        <v>1481</v>
      </c>
      <c r="B23" s="485">
        <v>23</v>
      </c>
      <c r="C23" s="169" t="s">
        <v>22</v>
      </c>
      <c r="D23" s="183">
        <v>0</v>
      </c>
      <c r="E23" s="184">
        <v>1994711</v>
      </c>
      <c r="F23" s="120">
        <v>3675555</v>
      </c>
      <c r="G23" s="121">
        <v>5211805</v>
      </c>
      <c r="H23" s="758">
        <f t="shared" si="1"/>
        <v>0</v>
      </c>
      <c r="I23" s="757">
        <f t="shared" si="0"/>
        <v>3530961</v>
      </c>
      <c r="J23" s="36" t="s">
        <v>235</v>
      </c>
      <c r="K23" s="36" t="s">
        <v>246</v>
      </c>
      <c r="L23" s="483" t="s">
        <v>667</v>
      </c>
    </row>
    <row r="24" spans="1:19" ht="34.5" customHeight="1">
      <c r="A24" s="618" t="s">
        <v>1482</v>
      </c>
      <c r="B24" s="485">
        <v>23</v>
      </c>
      <c r="C24" s="169" t="s">
        <v>22</v>
      </c>
      <c r="D24" s="183">
        <v>0</v>
      </c>
      <c r="E24" s="184">
        <v>750000</v>
      </c>
      <c r="F24" s="120">
        <f>750000</f>
        <v>750000</v>
      </c>
      <c r="G24" s="121">
        <v>40000</v>
      </c>
      <c r="H24" s="758">
        <f t="shared" si="1"/>
        <v>0</v>
      </c>
      <c r="I24" s="757">
        <f t="shared" si="0"/>
        <v>40000</v>
      </c>
      <c r="J24" s="36" t="s">
        <v>235</v>
      </c>
      <c r="K24" s="36" t="s">
        <v>246</v>
      </c>
      <c r="L24" s="483" t="s">
        <v>667</v>
      </c>
    </row>
    <row r="25" spans="1:19" ht="34.5" customHeight="1">
      <c r="A25" s="618" t="s">
        <v>19</v>
      </c>
      <c r="B25" s="485"/>
      <c r="C25" s="169" t="s">
        <v>22</v>
      </c>
      <c r="D25" s="183">
        <v>0</v>
      </c>
      <c r="E25" s="184">
        <v>78007</v>
      </c>
      <c r="F25" s="120">
        <v>79631.23</v>
      </c>
      <c r="G25" s="628">
        <v>35421</v>
      </c>
      <c r="H25" s="758">
        <f t="shared" si="1"/>
        <v>0</v>
      </c>
      <c r="I25" s="757">
        <f t="shared" si="0"/>
        <v>33796.770000000004</v>
      </c>
      <c r="J25" s="36" t="s">
        <v>235</v>
      </c>
      <c r="K25" s="36" t="s">
        <v>245</v>
      </c>
      <c r="L25" s="483" t="s">
        <v>667</v>
      </c>
      <c r="S25" s="103"/>
    </row>
    <row r="26" spans="1:19" ht="34.5" customHeight="1">
      <c r="A26" s="618" t="s">
        <v>8</v>
      </c>
      <c r="B26" s="485"/>
      <c r="C26" s="169" t="s">
        <v>22</v>
      </c>
      <c r="D26" s="183">
        <v>0</v>
      </c>
      <c r="E26" s="184">
        <v>207036</v>
      </c>
      <c r="F26" s="120">
        <v>0</v>
      </c>
      <c r="G26" s="121">
        <v>95000</v>
      </c>
      <c r="H26" s="758">
        <f t="shared" si="1"/>
        <v>0</v>
      </c>
      <c r="I26" s="757">
        <f t="shared" si="0"/>
        <v>302036</v>
      </c>
      <c r="J26" s="36" t="s">
        <v>235</v>
      </c>
      <c r="K26" s="36" t="s">
        <v>245</v>
      </c>
      <c r="L26" s="483" t="s">
        <v>667</v>
      </c>
      <c r="S26" s="103"/>
    </row>
    <row r="27" spans="1:19" ht="34.5" customHeight="1">
      <c r="A27" s="618" t="s">
        <v>469</v>
      </c>
      <c r="B27" s="485"/>
      <c r="C27" s="169" t="s">
        <v>22</v>
      </c>
      <c r="D27" s="183">
        <v>0</v>
      </c>
      <c r="E27" s="184">
        <v>69240</v>
      </c>
      <c r="F27" s="120">
        <v>0</v>
      </c>
      <c r="G27" s="121">
        <v>0</v>
      </c>
      <c r="H27" s="758">
        <f t="shared" si="1"/>
        <v>0</v>
      </c>
      <c r="I27" s="757">
        <f t="shared" si="0"/>
        <v>69240</v>
      </c>
      <c r="J27" s="36"/>
      <c r="K27" s="36"/>
      <c r="L27" s="483" t="s">
        <v>667</v>
      </c>
      <c r="S27" s="103"/>
    </row>
    <row r="28" spans="1:19" ht="34.5" customHeight="1">
      <c r="A28" s="618" t="s">
        <v>721</v>
      </c>
      <c r="B28" s="485"/>
      <c r="C28" s="169" t="s">
        <v>22</v>
      </c>
      <c r="D28" s="183">
        <v>0</v>
      </c>
      <c r="E28" s="184">
        <v>0</v>
      </c>
      <c r="F28" s="120">
        <v>0</v>
      </c>
      <c r="G28" s="121">
        <v>416210.19</v>
      </c>
      <c r="H28" s="758">
        <f t="shared" si="1"/>
        <v>0</v>
      </c>
      <c r="I28" s="757">
        <f t="shared" si="0"/>
        <v>416210.19</v>
      </c>
      <c r="J28" s="36" t="s">
        <v>235</v>
      </c>
      <c r="K28" s="36" t="s">
        <v>246</v>
      </c>
      <c r="L28" s="483" t="s">
        <v>667</v>
      </c>
      <c r="S28" s="103"/>
    </row>
    <row r="29" spans="1:19" ht="34.5" customHeight="1">
      <c r="A29" s="618" t="s">
        <v>20</v>
      </c>
      <c r="B29" s="485"/>
      <c r="C29" s="169" t="s">
        <v>22</v>
      </c>
      <c r="D29" s="183">
        <v>0</v>
      </c>
      <c r="E29" s="184">
        <v>1225000</v>
      </c>
      <c r="F29" s="120"/>
      <c r="G29" s="121">
        <v>50000</v>
      </c>
      <c r="H29" s="758">
        <f t="shared" si="1"/>
        <v>0</v>
      </c>
      <c r="I29" s="757">
        <f t="shared" si="0"/>
        <v>1275000</v>
      </c>
      <c r="J29" s="36"/>
      <c r="K29" s="36" t="s">
        <v>241</v>
      </c>
      <c r="S29" s="103"/>
    </row>
    <row r="30" spans="1:19" ht="34.5" customHeight="1">
      <c r="A30" s="618" t="s">
        <v>21</v>
      </c>
      <c r="B30" s="485"/>
      <c r="C30" s="169" t="s">
        <v>22</v>
      </c>
      <c r="D30" s="183"/>
      <c r="E30" s="184">
        <v>1627163.93</v>
      </c>
      <c r="F30" s="120"/>
      <c r="G30" s="628">
        <v>1286403.5000000002</v>
      </c>
      <c r="H30" s="758">
        <f t="shared" si="1"/>
        <v>0</v>
      </c>
      <c r="I30" s="757">
        <f t="shared" si="0"/>
        <v>2913567.43</v>
      </c>
      <c r="J30" s="36"/>
      <c r="K30" s="36" t="s">
        <v>241</v>
      </c>
    </row>
    <row r="31" spans="1:19" ht="34.5" customHeight="1">
      <c r="A31" s="618" t="s">
        <v>224</v>
      </c>
      <c r="B31" s="485"/>
      <c r="C31" s="169" t="s">
        <v>22</v>
      </c>
      <c r="D31" s="183">
        <v>0</v>
      </c>
      <c r="E31" s="184">
        <v>0</v>
      </c>
      <c r="F31" s="120"/>
      <c r="G31" s="121"/>
      <c r="H31" s="758">
        <f t="shared" si="1"/>
        <v>0</v>
      </c>
      <c r="I31" s="757">
        <f t="shared" si="0"/>
        <v>0</v>
      </c>
      <c r="J31" s="36"/>
      <c r="K31" s="36" t="s">
        <v>241</v>
      </c>
    </row>
    <row r="32" spans="1:19" ht="34.5" customHeight="1">
      <c r="A32" s="618" t="s">
        <v>225</v>
      </c>
      <c r="B32" s="485"/>
      <c r="C32" s="169" t="s">
        <v>233</v>
      </c>
      <c r="D32" s="183">
        <v>0</v>
      </c>
      <c r="E32" s="184">
        <v>0</v>
      </c>
      <c r="F32" s="627">
        <f>11685815+402447</f>
        <v>12088262</v>
      </c>
      <c r="G32" s="121">
        <v>12088262</v>
      </c>
      <c r="H32" s="758">
        <f t="shared" si="1"/>
        <v>0</v>
      </c>
      <c r="I32" s="757">
        <f t="shared" si="0"/>
        <v>0</v>
      </c>
      <c r="J32" s="36"/>
      <c r="K32" s="36" t="s">
        <v>243</v>
      </c>
      <c r="L32" s="483" t="s">
        <v>667</v>
      </c>
      <c r="P32" s="122"/>
    </row>
    <row r="33" spans="1:14" ht="34.5" customHeight="1">
      <c r="A33" s="618" t="s">
        <v>226</v>
      </c>
      <c r="B33" s="485"/>
      <c r="C33" s="169" t="s">
        <v>233</v>
      </c>
      <c r="D33" s="183">
        <v>0</v>
      </c>
      <c r="E33" s="184">
        <v>0</v>
      </c>
      <c r="F33" s="120">
        <f>8680702.09-2272839+8610+2700</f>
        <v>6419173.0899999999</v>
      </c>
      <c r="G33" s="628">
        <v>6419173.0899999999</v>
      </c>
      <c r="H33" s="758">
        <f t="shared" si="1"/>
        <v>0</v>
      </c>
      <c r="I33" s="757">
        <f t="shared" si="0"/>
        <v>0</v>
      </c>
      <c r="J33" s="36"/>
      <c r="K33" s="36" t="s">
        <v>242</v>
      </c>
      <c r="L33" s="483" t="s">
        <v>667</v>
      </c>
    </row>
    <row r="34" spans="1:14" ht="34.5" customHeight="1">
      <c r="A34" s="618" t="s">
        <v>227</v>
      </c>
      <c r="B34" s="485"/>
      <c r="C34" s="169" t="s">
        <v>233</v>
      </c>
      <c r="D34" s="183">
        <v>0</v>
      </c>
      <c r="E34" s="184">
        <v>0</v>
      </c>
      <c r="F34" s="120">
        <f>1569440.41-56306+95000+10300</f>
        <v>1618434.41</v>
      </c>
      <c r="G34" s="628">
        <v>1618434.41</v>
      </c>
      <c r="H34" s="758">
        <f t="shared" si="1"/>
        <v>0</v>
      </c>
      <c r="I34" s="757">
        <f t="shared" si="0"/>
        <v>0</v>
      </c>
      <c r="J34" s="36"/>
      <c r="K34" s="36" t="s">
        <v>242</v>
      </c>
      <c r="L34" s="483" t="s">
        <v>667</v>
      </c>
    </row>
    <row r="35" spans="1:14" ht="34.5" customHeight="1">
      <c r="A35" s="732" t="s">
        <v>228</v>
      </c>
      <c r="B35" s="485"/>
      <c r="C35" s="169" t="s">
        <v>233</v>
      </c>
      <c r="D35" s="183">
        <v>0</v>
      </c>
      <c r="E35" s="184">
        <v>0</v>
      </c>
      <c r="F35" s="120">
        <v>2326383</v>
      </c>
      <c r="G35" s="628">
        <v>2326383</v>
      </c>
      <c r="H35" s="758">
        <f t="shared" si="1"/>
        <v>0</v>
      </c>
      <c r="I35" s="757">
        <f t="shared" si="0"/>
        <v>0</v>
      </c>
      <c r="J35" s="36"/>
      <c r="K35" s="36" t="s">
        <v>242</v>
      </c>
      <c r="L35" s="483" t="s">
        <v>667</v>
      </c>
    </row>
    <row r="36" spans="1:14" ht="34.5" customHeight="1" thickBot="1">
      <c r="A36" s="618" t="s">
        <v>290</v>
      </c>
      <c r="B36" s="485"/>
      <c r="C36" s="169" t="s">
        <v>233</v>
      </c>
      <c r="D36" s="183">
        <v>0</v>
      </c>
      <c r="E36" s="184">
        <v>0</v>
      </c>
      <c r="F36" s="120">
        <v>35421</v>
      </c>
      <c r="G36" s="628">
        <v>35421</v>
      </c>
      <c r="H36" s="758">
        <f t="shared" si="1"/>
        <v>0</v>
      </c>
      <c r="I36" s="757">
        <f t="shared" si="0"/>
        <v>0</v>
      </c>
      <c r="J36" s="36"/>
      <c r="K36" s="36"/>
      <c r="L36" s="484"/>
    </row>
    <row r="37" spans="1:14" ht="30" customHeight="1" thickTop="1" thickBot="1">
      <c r="A37" s="67" t="s">
        <v>9</v>
      </c>
      <c r="B37" s="486" t="s">
        <v>1392</v>
      </c>
      <c r="C37" s="731"/>
      <c r="D37" s="64">
        <f t="shared" ref="D37:I37" si="2">SUBTOTAL(9,D6:D36)</f>
        <v>13004186.93</v>
      </c>
      <c r="E37" s="64">
        <f t="shared" si="2"/>
        <v>13004186.93</v>
      </c>
      <c r="F37" s="64">
        <f t="shared" si="2"/>
        <v>67770426.589999989</v>
      </c>
      <c r="G37" s="64">
        <f t="shared" si="2"/>
        <v>67770426.489999995</v>
      </c>
      <c r="H37" s="761">
        <f t="shared" si="2"/>
        <v>30755144.300000001</v>
      </c>
      <c r="I37" s="761">
        <f t="shared" si="2"/>
        <v>30755144.200000003</v>
      </c>
      <c r="J37" s="66"/>
      <c r="K37" s="66"/>
    </row>
    <row r="38" spans="1:14" s="735" customFormat="1" ht="21.75" thickTop="1">
      <c r="B38" s="736" t="s">
        <v>1392</v>
      </c>
      <c r="C38" s="762"/>
      <c r="D38" s="737"/>
      <c r="E38" s="737">
        <f>D37-E37</f>
        <v>0</v>
      </c>
      <c r="F38" s="737"/>
      <c r="G38" s="738">
        <f>F37-G37</f>
        <v>9.9999994039535522E-2</v>
      </c>
      <c r="H38" s="763"/>
      <c r="I38" s="763">
        <f>H37-I37</f>
        <v>9.9999997764825821E-2</v>
      </c>
      <c r="N38" s="737"/>
    </row>
    <row r="39" spans="1:14" ht="35.25" customHeight="1">
      <c r="A39" s="671" t="s">
        <v>394</v>
      </c>
      <c r="B39" s="671"/>
      <c r="C39" s="671"/>
      <c r="D39" s="671"/>
      <c r="E39" s="671" t="s">
        <v>10</v>
      </c>
      <c r="F39" s="671"/>
      <c r="G39" s="124"/>
      <c r="H39" s="759" t="s">
        <v>11</v>
      </c>
      <c r="I39" s="759"/>
      <c r="J39" s="648"/>
      <c r="K39" s="648"/>
      <c r="N39" s="173"/>
    </row>
    <row r="40" spans="1:14" ht="21" customHeight="1">
      <c r="A40" s="681"/>
      <c r="B40" s="681"/>
      <c r="C40" s="681"/>
      <c r="D40" s="681"/>
      <c r="E40" s="681"/>
      <c r="F40" s="681"/>
      <c r="G40" s="681"/>
      <c r="H40" s="681"/>
      <c r="I40" s="681"/>
      <c r="N40" s="173"/>
    </row>
  </sheetData>
  <autoFilter ref="A5:S39" xr:uid="{CFE4B42C-4C1C-4EC3-9456-40DB407DEAED}"/>
  <mergeCells count="11">
    <mergeCell ref="A39:D39"/>
    <mergeCell ref="E39:F39"/>
    <mergeCell ref="H39:I39"/>
    <mergeCell ref="A40:I40"/>
    <mergeCell ref="A1:I2"/>
    <mergeCell ref="A3:I3"/>
    <mergeCell ref="A4:A5"/>
    <mergeCell ref="B4:B5"/>
    <mergeCell ref="D4:E4"/>
    <mergeCell ref="F4:G4"/>
    <mergeCell ref="H4:I4"/>
  </mergeCells>
  <hyperlinks>
    <hyperlink ref="A6" location="'تسوية البنك'!Print_Area" display="البنك" xr:uid="{77ABDE26-4D2A-4774-B419-40F8475C31C1}"/>
    <hyperlink ref="A20" location="'أطراف ذات علاقة 2017'!A1" display="الذمم الدائنة (أطراف ذوي علاقة (الفهاد+الحراسات+ الوان )" xr:uid="{6611D9CB-DDFF-4418-BFF3-3695E5FB90E7}"/>
    <hyperlink ref="A9" location="'الذمم  2017 '!A1" display="عهد العاملين" xr:uid="{85799E50-DEAD-427C-8FCD-C4C4D77E713A}"/>
    <hyperlink ref="A15" location="'الإيرادات المستحقة  2017'!A1" display="أرصدة مدينة اخرى (إيرادات مستحقة)  " xr:uid="{189ECFC6-F0BB-4BE3-85D3-0C38EB86A990}"/>
    <hyperlink ref="A23" location="'الموردون 2017'!A1" display="الموردون ( الدائنون التجاريون )" xr:uid="{48551C20-6AE3-4870-B56C-0CF541DFE08D}"/>
    <hyperlink ref="A28" location="'الإيرادات المقدمة 2017'!A1" display="الإيرادات المقدمة" xr:uid="{ECE291FE-4551-441C-9862-35F6E9763358}"/>
    <hyperlink ref="A12:A14" location="'إيرادات مستحقة وأرصدة مدينة أخر'!A1" display="ذمم العملاء (تسويات الفهاد)  " xr:uid="{C7ECAB4E-6C0A-4B98-862D-221F3A2F2519}"/>
    <hyperlink ref="A10" location="'الذمم  2017 '!A1" display="عهد العاملين" xr:uid="{17A92C4F-4E28-4F44-8465-26D6F3B910D2}"/>
    <hyperlink ref="A18" location="'الأصول الثابتة'!A1" display="الأصول الثابتة" xr:uid="{8878EDD1-21ED-4CA4-8655-2A7BF7E5715A}"/>
    <hyperlink ref="A19" location="'الأصول الثابتة'!A1" display="مجمع إهلاك الأصول " xr:uid="{3259B694-B42B-4324-818A-EB31BEBE6970}"/>
    <hyperlink ref="A35" location="'الأصول الثابتة'!A1" display="إهلاك العام" xr:uid="{15C37DC6-4D66-4CAC-A23D-6923111CFDA9}"/>
  </hyperlinks>
  <printOptions horizontalCentered="1"/>
  <pageMargins left="0" right="0" top="0.59055118110236227" bottom="0" header="0" footer="0"/>
  <pageSetup scale="55" orientation="portrait" r:id="rId1"/>
  <colBreaks count="1" manualBreakCount="1">
    <brk id="11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/>
  <dimension ref="A1:G32"/>
  <sheetViews>
    <sheetView rightToLeft="1" view="pageBreakPreview" topLeftCell="A13" zoomScaleNormal="100" zoomScaleSheetLayoutView="100" workbookViewId="0">
      <selection activeCell="A32" sqref="A32:G32"/>
    </sheetView>
  </sheetViews>
  <sheetFormatPr defaultRowHeight="15"/>
  <cols>
    <col min="1" max="1" width="40.85546875" style="40" bestFit="1" customWidth="1"/>
    <col min="2" max="3" width="0.85546875" customWidth="1"/>
    <col min="4" max="4" width="13.85546875" bestFit="1" customWidth="1"/>
    <col min="5" max="5" width="0.85546875" customWidth="1"/>
    <col min="6" max="6" width="13.85546875" style="38" bestFit="1" customWidth="1"/>
  </cols>
  <sheetData>
    <row r="1" spans="1:7" s="44" customFormat="1" ht="22.5" customHeight="1">
      <c r="A1" s="685" t="s">
        <v>12</v>
      </c>
      <c r="B1" s="685"/>
      <c r="C1" s="685"/>
      <c r="D1" s="685"/>
      <c r="E1" s="685"/>
      <c r="F1" s="685"/>
      <c r="G1" s="685"/>
    </row>
    <row r="2" spans="1:7" s="44" customFormat="1" ht="22.5" customHeight="1">
      <c r="A2" s="686" t="s">
        <v>247</v>
      </c>
      <c r="B2" s="686"/>
      <c r="C2" s="686"/>
      <c r="D2" s="686"/>
      <c r="E2" s="686"/>
      <c r="F2" s="686"/>
      <c r="G2" s="686"/>
    </row>
    <row r="3" spans="1:7" s="44" customFormat="1" ht="25.5" customHeight="1">
      <c r="A3" s="685" t="s">
        <v>323</v>
      </c>
      <c r="B3" s="685"/>
      <c r="C3" s="685"/>
      <c r="D3" s="685"/>
      <c r="E3" s="685"/>
      <c r="F3" s="685"/>
      <c r="G3" s="685"/>
    </row>
    <row r="4" spans="1:7" s="44" customFormat="1" ht="25.5" customHeight="1">
      <c r="A4" s="685" t="s">
        <v>320</v>
      </c>
      <c r="B4" s="685"/>
      <c r="C4" s="685"/>
      <c r="D4" s="685"/>
      <c r="E4" s="685"/>
      <c r="F4" s="685"/>
      <c r="G4" s="685"/>
    </row>
    <row r="5" spans="1:7">
      <c r="E5" s="57"/>
      <c r="F5"/>
      <c r="G5" s="48"/>
    </row>
    <row r="6" spans="1:7" ht="16.5" thickBot="1">
      <c r="A6" s="45" t="s">
        <v>1</v>
      </c>
      <c r="B6" s="53"/>
      <c r="C6" s="53"/>
      <c r="D6" s="55" t="s">
        <v>249</v>
      </c>
      <c r="E6" s="53"/>
      <c r="F6" s="55" t="s">
        <v>250</v>
      </c>
    </row>
    <row r="7" spans="1:7" ht="18.75" thickTop="1">
      <c r="A7" s="71" t="s">
        <v>292</v>
      </c>
      <c r="D7" s="49"/>
      <c r="E7" s="57"/>
      <c r="F7" s="49"/>
    </row>
    <row r="8" spans="1:7" ht="18">
      <c r="A8" s="70" t="s">
        <v>311</v>
      </c>
      <c r="D8" s="49">
        <v>2393156.4</v>
      </c>
      <c r="E8" s="57"/>
      <c r="F8" s="49">
        <v>653713</v>
      </c>
    </row>
    <row r="9" spans="1:7" ht="18">
      <c r="A9" s="71" t="s">
        <v>293</v>
      </c>
      <c r="D9" s="49"/>
      <c r="E9" s="57"/>
      <c r="F9" s="49"/>
    </row>
    <row r="10" spans="1:7" ht="18">
      <c r="A10" s="70" t="s">
        <v>294</v>
      </c>
      <c r="D10" s="49">
        <v>612390</v>
      </c>
      <c r="E10" s="57"/>
      <c r="F10" s="49">
        <v>1011803</v>
      </c>
    </row>
    <row r="11" spans="1:7" ht="18">
      <c r="A11" s="70" t="s">
        <v>312</v>
      </c>
      <c r="D11" s="49">
        <v>-815079</v>
      </c>
      <c r="E11" s="57"/>
      <c r="F11" s="49">
        <v>0</v>
      </c>
    </row>
    <row r="12" spans="1:7" ht="18">
      <c r="A12" s="71" t="s">
        <v>295</v>
      </c>
      <c r="D12" s="49"/>
      <c r="E12" s="57"/>
      <c r="F12" s="49"/>
    </row>
    <row r="13" spans="1:7" ht="18">
      <c r="A13" s="70" t="s">
        <v>296</v>
      </c>
      <c r="D13" s="52">
        <v>-62027</v>
      </c>
      <c r="E13" s="57"/>
      <c r="F13" s="52">
        <v>-459952</v>
      </c>
    </row>
    <row r="14" spans="1:7" ht="18">
      <c r="A14" s="70" t="s">
        <v>297</v>
      </c>
      <c r="D14" s="52">
        <v>2699930</v>
      </c>
      <c r="E14" s="57"/>
      <c r="F14" s="52">
        <v>13956</v>
      </c>
    </row>
    <row r="15" spans="1:7" ht="18">
      <c r="A15" s="70" t="s">
        <v>298</v>
      </c>
      <c r="D15" s="52">
        <v>62426</v>
      </c>
      <c r="E15" s="57"/>
      <c r="F15" s="52">
        <v>-14928</v>
      </c>
    </row>
    <row r="16" spans="1:7" ht="18">
      <c r="A16" s="70" t="s">
        <v>299</v>
      </c>
      <c r="D16" s="52">
        <v>41449</v>
      </c>
      <c r="E16" s="57"/>
      <c r="F16" s="52">
        <v>-68634</v>
      </c>
    </row>
    <row r="17" spans="1:7" ht="18">
      <c r="A17" s="71" t="s">
        <v>300</v>
      </c>
      <c r="D17" s="50">
        <f>SUM(D8:D16)</f>
        <v>4932245.4000000004</v>
      </c>
      <c r="E17" s="57"/>
      <c r="F17" s="50">
        <f>SUM(F8:F16)</f>
        <v>1135958</v>
      </c>
    </row>
    <row r="18" spans="1:7" ht="18">
      <c r="A18" s="71" t="s">
        <v>301</v>
      </c>
      <c r="D18" s="49"/>
      <c r="E18" s="57"/>
      <c r="F18" s="49"/>
    </row>
    <row r="19" spans="1:7" ht="18">
      <c r="A19" s="70" t="s">
        <v>302</v>
      </c>
      <c r="D19" s="52">
        <v>-6711757</v>
      </c>
      <c r="E19" s="57"/>
      <c r="F19" s="52">
        <v>-816645</v>
      </c>
    </row>
    <row r="20" spans="1:7" ht="18">
      <c r="A20" s="70" t="s">
        <v>303</v>
      </c>
      <c r="D20" s="52">
        <v>815079</v>
      </c>
      <c r="E20" s="57"/>
      <c r="F20" s="52">
        <v>0</v>
      </c>
    </row>
    <row r="21" spans="1:7" ht="18">
      <c r="A21" s="71" t="s">
        <v>304</v>
      </c>
      <c r="D21" s="58">
        <f>SUM(D19:D20)</f>
        <v>-5896678</v>
      </c>
      <c r="E21" s="57"/>
      <c r="F21" s="58">
        <f>SUM(F19:F20)</f>
        <v>-816645</v>
      </c>
    </row>
    <row r="22" spans="1:7" ht="18">
      <c r="A22" s="70" t="s">
        <v>305</v>
      </c>
      <c r="D22" s="52"/>
      <c r="E22" s="49"/>
      <c r="F22" s="52"/>
    </row>
    <row r="23" spans="1:7" ht="18">
      <c r="A23" s="70" t="s">
        <v>306</v>
      </c>
      <c r="D23" s="52">
        <v>1340059</v>
      </c>
      <c r="E23" s="49"/>
      <c r="F23" s="52">
        <v>-398892</v>
      </c>
    </row>
    <row r="24" spans="1:7" ht="18">
      <c r="A24" s="71" t="s">
        <v>307</v>
      </c>
      <c r="D24" s="58">
        <f>SUM(D23)</f>
        <v>1340059</v>
      </c>
      <c r="E24" s="49"/>
      <c r="F24" s="58">
        <f>SUM(F23)</f>
        <v>-398892</v>
      </c>
    </row>
    <row r="25" spans="1:7" ht="18">
      <c r="A25" s="70" t="s">
        <v>308</v>
      </c>
      <c r="D25" s="58">
        <f>D24+D21+D17</f>
        <v>375626.40000000037</v>
      </c>
      <c r="E25" s="49"/>
      <c r="F25" s="58">
        <f>F24+F21+F17</f>
        <v>-79579</v>
      </c>
    </row>
    <row r="26" spans="1:7" ht="18">
      <c r="A26" s="70" t="s">
        <v>309</v>
      </c>
      <c r="D26" s="50">
        <v>171380</v>
      </c>
      <c r="E26" s="49"/>
      <c r="F26" s="50">
        <v>250959</v>
      </c>
    </row>
    <row r="27" spans="1:7" ht="18.75" thickBot="1">
      <c r="A27" s="71" t="s">
        <v>310</v>
      </c>
      <c r="D27" s="51">
        <f>D25+D26</f>
        <v>547006.40000000037</v>
      </c>
      <c r="E27" s="49"/>
      <c r="F27" s="51">
        <f>F25+F26</f>
        <v>171380</v>
      </c>
    </row>
    <row r="28" spans="1:7" ht="15.75" thickTop="1">
      <c r="D28" s="39"/>
      <c r="E28" s="39"/>
      <c r="F28" s="39"/>
    </row>
    <row r="29" spans="1:7">
      <c r="D29" s="39"/>
      <c r="E29" s="39"/>
      <c r="F29" s="39"/>
    </row>
    <row r="30" spans="1:7" ht="59.25" customHeight="1">
      <c r="D30" s="39"/>
      <c r="E30" s="39"/>
      <c r="F30" s="39"/>
    </row>
    <row r="32" spans="1:7">
      <c r="A32" s="73" t="s">
        <v>318</v>
      </c>
      <c r="B32" s="72"/>
      <c r="C32" s="72"/>
      <c r="D32" s="72"/>
      <c r="E32" s="74"/>
      <c r="F32" s="72"/>
      <c r="G32" s="75"/>
    </row>
  </sheetData>
  <mergeCells count="4">
    <mergeCell ref="A4:G4"/>
    <mergeCell ref="A1:G1"/>
    <mergeCell ref="A2:G2"/>
    <mergeCell ref="A3:G3"/>
  </mergeCells>
  <printOptions horizontalCentered="1"/>
  <pageMargins left="0.70866141732283472" right="0.70866141732283472" top="0.35433070866141736" bottom="0.15748031496062992" header="0.31496062992125984" footer="0.31496062992125984"/>
  <pageSetup scale="9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G32"/>
  <sheetViews>
    <sheetView rightToLeft="1" view="pageBreakPreview" zoomScaleNormal="100" zoomScaleSheetLayoutView="100" workbookViewId="0">
      <selection activeCell="I27" sqref="I27"/>
    </sheetView>
  </sheetViews>
  <sheetFormatPr defaultRowHeight="15"/>
  <cols>
    <col min="1" max="1" width="28" style="40" customWidth="1"/>
    <col min="2" max="2" width="0.85546875" customWidth="1"/>
    <col min="3" max="3" width="12" bestFit="1" customWidth="1"/>
    <col min="4" max="4" width="0.85546875" customWidth="1"/>
    <col min="5" max="5" width="13.85546875" bestFit="1" customWidth="1"/>
    <col min="6" max="6" width="0.85546875" customWidth="1"/>
    <col min="7" max="7" width="16.85546875" style="38" customWidth="1"/>
  </cols>
  <sheetData>
    <row r="1" spans="1:7" s="44" customFormat="1" ht="22.5" customHeight="1">
      <c r="A1" s="685" t="s">
        <v>12</v>
      </c>
      <c r="B1" s="685"/>
      <c r="C1" s="685"/>
      <c r="D1" s="685"/>
      <c r="E1" s="685"/>
      <c r="F1" s="685"/>
      <c r="G1" s="685"/>
    </row>
    <row r="2" spans="1:7" s="44" customFormat="1" ht="22.5" customHeight="1">
      <c r="A2" s="686" t="s">
        <v>247</v>
      </c>
      <c r="B2" s="686"/>
      <c r="C2" s="686"/>
      <c r="D2" s="686"/>
      <c r="E2" s="686"/>
      <c r="F2" s="686"/>
      <c r="G2" s="686"/>
    </row>
    <row r="3" spans="1:7" s="44" customFormat="1" ht="25.5" customHeight="1">
      <c r="A3" s="685" t="s">
        <v>324</v>
      </c>
      <c r="B3" s="685"/>
      <c r="C3" s="685"/>
      <c r="D3" s="685"/>
      <c r="E3" s="685"/>
      <c r="F3" s="685"/>
      <c r="G3" s="685"/>
    </row>
    <row r="4" spans="1:7" s="44" customFormat="1" ht="25.5" customHeight="1">
      <c r="A4" s="685" t="s">
        <v>320</v>
      </c>
      <c r="B4" s="685"/>
      <c r="C4" s="685"/>
      <c r="D4" s="685"/>
      <c r="E4" s="685"/>
      <c r="F4" s="685"/>
      <c r="G4" s="685"/>
    </row>
    <row r="5" spans="1:7">
      <c r="E5" s="57"/>
      <c r="G5" s="48"/>
    </row>
    <row r="6" spans="1:7" ht="16.5" thickBot="1">
      <c r="A6" s="45" t="s">
        <v>1</v>
      </c>
      <c r="B6" s="57"/>
      <c r="C6" s="59" t="s">
        <v>20</v>
      </c>
      <c r="D6" s="57"/>
      <c r="E6" s="59" t="s">
        <v>269</v>
      </c>
      <c r="F6" s="57"/>
      <c r="G6" s="47" t="s">
        <v>270</v>
      </c>
    </row>
    <row r="7" spans="1:7" ht="16.5" thickTop="1">
      <c r="A7" s="46" t="s">
        <v>313</v>
      </c>
      <c r="C7" s="39">
        <v>125000</v>
      </c>
      <c r="E7" s="39">
        <v>-23791</v>
      </c>
      <c r="G7" s="39">
        <f>SUM(C7:F7)</f>
        <v>101209</v>
      </c>
    </row>
    <row r="8" spans="1:7" ht="15.75">
      <c r="A8" s="46" t="s">
        <v>311</v>
      </c>
      <c r="E8" s="41">
        <f>'قائمة الدخل 2017'!H16</f>
        <v>2260565</v>
      </c>
      <c r="G8" s="39">
        <f>SUM(C8:F8)</f>
        <v>2260565</v>
      </c>
    </row>
    <row r="9" spans="1:7" ht="16.5" thickBot="1">
      <c r="A9" s="60" t="s">
        <v>314</v>
      </c>
      <c r="C9" s="61">
        <f>SUM(C7:C8)</f>
        <v>125000</v>
      </c>
      <c r="D9" s="57">
        <f>SUM(D7:D8)</f>
        <v>0</v>
      </c>
      <c r="E9" s="61">
        <f>SUM(E7:E8)</f>
        <v>2236774</v>
      </c>
      <c r="F9" s="57">
        <f>SUM(F7:F8)</f>
        <v>0</v>
      </c>
      <c r="G9" s="61">
        <f>SUM(G7:G8)</f>
        <v>2361774</v>
      </c>
    </row>
    <row r="10" spans="1:7" ht="15.75" thickTop="1">
      <c r="E10" s="41"/>
      <c r="F10" s="39"/>
      <c r="G10" s="41"/>
    </row>
    <row r="11" spans="1:7">
      <c r="E11" s="39"/>
      <c r="F11" s="39"/>
      <c r="G11" s="39"/>
    </row>
    <row r="18" spans="1:7" ht="23.25" customHeight="1"/>
    <row r="19" spans="1:7" ht="23.25" customHeight="1"/>
    <row r="20" spans="1:7" ht="23.25" customHeight="1"/>
    <row r="21" spans="1:7" ht="23.25" customHeight="1"/>
    <row r="22" spans="1:7" ht="23.25" customHeight="1"/>
    <row r="23" spans="1:7" ht="23.25" customHeight="1"/>
    <row r="24" spans="1:7" ht="41.25" customHeight="1"/>
    <row r="25" spans="1:7" ht="41.25" customHeight="1"/>
    <row r="26" spans="1:7" ht="41.25" customHeight="1"/>
    <row r="27" spans="1:7" ht="41.25" customHeight="1"/>
    <row r="28" spans="1:7" ht="41.25" customHeight="1"/>
    <row r="29" spans="1:7" ht="41.25" customHeight="1"/>
    <row r="30" spans="1:7" ht="26.25" customHeight="1"/>
    <row r="31" spans="1:7" ht="41.25" customHeight="1"/>
    <row r="32" spans="1:7">
      <c r="A32" s="73" t="s">
        <v>318</v>
      </c>
      <c r="B32" s="72"/>
      <c r="C32" s="72"/>
      <c r="D32" s="72"/>
      <c r="E32" s="74"/>
      <c r="F32" s="72"/>
      <c r="G32" s="75"/>
    </row>
  </sheetData>
  <mergeCells count="4">
    <mergeCell ref="A1:G1"/>
    <mergeCell ref="A2:G2"/>
    <mergeCell ref="A3:G3"/>
    <mergeCell ref="A4:G4"/>
  </mergeCells>
  <printOptions horizontalCentered="1"/>
  <pageMargins left="0.70866141732283472" right="0.70866141732283472" top="0.15748031496062992" bottom="0.15748031496062992" header="0.31496062992125984" footer="0.31496062992125984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N225"/>
  <sheetViews>
    <sheetView rightToLeft="1" view="pageBreakPreview" topLeftCell="A46" zoomScale="130" zoomScaleNormal="120" zoomScaleSheetLayoutView="130" workbookViewId="0">
      <selection activeCell="G58" sqref="G58"/>
    </sheetView>
  </sheetViews>
  <sheetFormatPr defaultRowHeight="15"/>
  <cols>
    <col min="1" max="3" width="9.140625" style="538"/>
    <col min="4" max="4" width="6.28515625" style="538" customWidth="1"/>
    <col min="5" max="5" width="16.85546875" style="538" customWidth="1"/>
    <col min="6" max="6" width="5.7109375" style="538" customWidth="1"/>
    <col min="7" max="7" width="16.85546875" style="547" customWidth="1"/>
    <col min="8" max="8" width="1.42578125" style="538" customWidth="1"/>
    <col min="9" max="9" width="16.85546875" style="547" customWidth="1"/>
    <col min="10" max="10" width="0.7109375" style="538" customWidth="1"/>
    <col min="11" max="11" width="16.85546875" style="547" customWidth="1"/>
    <col min="12" max="13" width="9.140625" style="538"/>
    <col min="14" max="14" width="15.140625" style="381" bestFit="1" customWidth="1"/>
    <col min="15" max="16384" width="9.140625" style="538"/>
  </cols>
  <sheetData>
    <row r="1" spans="1:14" ht="21">
      <c r="A1" s="534" t="s">
        <v>325</v>
      </c>
      <c r="B1" s="535"/>
      <c r="C1" s="535"/>
      <c r="D1" s="535"/>
      <c r="E1" s="535"/>
      <c r="F1" s="536"/>
      <c r="G1" s="537"/>
      <c r="I1" s="537"/>
      <c r="J1" s="537"/>
      <c r="K1" s="537"/>
      <c r="L1" s="535"/>
    </row>
    <row r="2" spans="1:14" ht="18.75">
      <c r="A2" s="539" t="s">
        <v>326</v>
      </c>
      <c r="B2" s="540"/>
      <c r="C2" s="540"/>
      <c r="D2" s="540"/>
      <c r="E2" s="540"/>
      <c r="F2" s="540"/>
      <c r="G2" s="540"/>
      <c r="H2" s="541"/>
      <c r="I2" s="540"/>
      <c r="K2" s="540"/>
    </row>
    <row r="3" spans="1:14" ht="18.75">
      <c r="A3" s="542" t="s">
        <v>327</v>
      </c>
      <c r="B3" s="543"/>
      <c r="C3" s="543"/>
      <c r="D3" s="543"/>
      <c r="E3" s="543"/>
      <c r="F3" s="543"/>
      <c r="G3" s="543"/>
      <c r="I3" s="543"/>
      <c r="K3" s="543"/>
    </row>
    <row r="4" spans="1:14">
      <c r="G4" s="88">
        <v>2017</v>
      </c>
      <c r="I4" s="88">
        <v>2016</v>
      </c>
      <c r="J4" s="57"/>
      <c r="K4" s="88">
        <v>2015</v>
      </c>
    </row>
    <row r="5" spans="1:14" ht="9" customHeight="1">
      <c r="G5" s="83"/>
      <c r="I5" s="83"/>
      <c r="K5" s="83"/>
    </row>
    <row r="6" spans="1:14" ht="21" customHeight="1">
      <c r="A6" s="544" t="s">
        <v>328</v>
      </c>
      <c r="G6" s="76">
        <f>'تسوية البنك 2017'!$D$25</f>
        <v>75668.36</v>
      </c>
      <c r="I6" s="76">
        <v>532034</v>
      </c>
      <c r="J6" s="86"/>
      <c r="K6" s="87">
        <v>139613</v>
      </c>
    </row>
    <row r="7" spans="1:14" ht="18.75">
      <c r="A7" s="544" t="s">
        <v>329</v>
      </c>
      <c r="G7" s="76">
        <f>'ميزان المراجعة قبل الأقفال 2017'!$H$7</f>
        <v>8153</v>
      </c>
      <c r="I7" s="76">
        <v>14972</v>
      </c>
      <c r="J7" s="86"/>
      <c r="K7" s="76">
        <v>31767</v>
      </c>
    </row>
    <row r="8" spans="1:14" ht="9" customHeight="1">
      <c r="G8" s="538"/>
      <c r="I8" s="538"/>
      <c r="K8" s="538"/>
    </row>
    <row r="9" spans="1:14" s="53" customFormat="1" ht="19.5" thickBot="1">
      <c r="A9" s="545" t="s">
        <v>330</v>
      </c>
      <c r="G9" s="77">
        <f>SUM(G6:G7)</f>
        <v>83821.36</v>
      </c>
      <c r="I9" s="77">
        <f>SUM(I6:I7)</f>
        <v>547006</v>
      </c>
      <c r="K9" s="77">
        <f>SUM(K6:K7)</f>
        <v>171380</v>
      </c>
      <c r="N9" s="560"/>
    </row>
    <row r="10" spans="1:14" ht="15.75" thickTop="1">
      <c r="G10" s="546"/>
      <c r="I10" s="546"/>
      <c r="K10" s="546"/>
    </row>
    <row r="11" spans="1:14" ht="36.75" customHeight="1">
      <c r="G11" s="546"/>
      <c r="I11" s="546"/>
      <c r="K11" s="546"/>
    </row>
    <row r="12" spans="1:14" ht="18.75">
      <c r="A12" s="539" t="s">
        <v>331</v>
      </c>
      <c r="B12" s="540"/>
      <c r="C12" s="540"/>
      <c r="D12" s="540"/>
      <c r="E12" s="540"/>
      <c r="F12" s="540"/>
      <c r="G12" s="540"/>
      <c r="I12" s="540"/>
      <c r="J12" s="536"/>
      <c r="K12" s="540"/>
    </row>
    <row r="13" spans="1:14" ht="18.75">
      <c r="A13" s="542" t="s">
        <v>332</v>
      </c>
      <c r="B13" s="543"/>
      <c r="C13" s="543"/>
      <c r="D13" s="543"/>
      <c r="E13" s="543"/>
      <c r="F13" s="543"/>
      <c r="G13" s="543"/>
      <c r="I13" s="543"/>
      <c r="K13" s="543"/>
    </row>
    <row r="14" spans="1:14">
      <c r="G14" s="88">
        <v>2017</v>
      </c>
      <c r="I14" s="88">
        <v>2016</v>
      </c>
      <c r="J14" s="57"/>
      <c r="K14" s="88">
        <v>2015</v>
      </c>
    </row>
    <row r="15" spans="1:14" ht="9" customHeight="1">
      <c r="G15" s="83"/>
      <c r="I15" s="83"/>
      <c r="K15" s="83"/>
    </row>
    <row r="16" spans="1:14" ht="18.75">
      <c r="A16" s="544" t="s">
        <v>333</v>
      </c>
      <c r="G16" s="546">
        <v>1105214.29</v>
      </c>
      <c r="I16" s="546">
        <v>189853</v>
      </c>
      <c r="K16" s="546">
        <v>405916</v>
      </c>
    </row>
    <row r="17" spans="1:14" ht="18.75">
      <c r="A17" s="544" t="s">
        <v>13</v>
      </c>
      <c r="G17" s="546">
        <v>150000</v>
      </c>
      <c r="I17" s="546">
        <v>220000</v>
      </c>
      <c r="K17" s="546">
        <v>110000</v>
      </c>
    </row>
    <row r="18" spans="1:14" ht="18.75">
      <c r="A18" s="544" t="s">
        <v>14</v>
      </c>
      <c r="G18" s="546">
        <v>132231.64999999991</v>
      </c>
      <c r="I18" s="546">
        <v>104533.60000000009</v>
      </c>
      <c r="K18" s="546">
        <v>291188</v>
      </c>
    </row>
    <row r="19" spans="1:14" ht="18.75">
      <c r="A19" s="544" t="s">
        <v>223</v>
      </c>
      <c r="G19" s="546">
        <v>487951</v>
      </c>
      <c r="I19" s="546">
        <v>123515</v>
      </c>
      <c r="K19" s="92">
        <v>0</v>
      </c>
    </row>
    <row r="20" spans="1:14" ht="18.75">
      <c r="A20" s="544" t="s">
        <v>334</v>
      </c>
      <c r="G20" s="546">
        <v>298936</v>
      </c>
      <c r="I20" s="546">
        <v>203829</v>
      </c>
      <c r="K20" s="546">
        <v>22600</v>
      </c>
    </row>
    <row r="21" spans="1:14" ht="18.75">
      <c r="A21" s="544" t="s">
        <v>1393</v>
      </c>
      <c r="G21" s="546" t="s">
        <v>1394</v>
      </c>
      <c r="I21" s="546">
        <v>41667</v>
      </c>
      <c r="K21" s="546" t="s">
        <v>1394</v>
      </c>
    </row>
    <row r="22" spans="1:14" ht="9" customHeight="1">
      <c r="G22" s="538"/>
      <c r="I22" s="538"/>
      <c r="K22" s="538"/>
    </row>
    <row r="23" spans="1:14" s="53" customFormat="1" ht="19.5" thickBot="1">
      <c r="A23" s="545" t="s">
        <v>330</v>
      </c>
      <c r="G23" s="77">
        <f>SUM(G16:G21)</f>
        <v>2174332.94</v>
      </c>
      <c r="I23" s="77">
        <f>SUM(I16:I21)</f>
        <v>883397.60000000009</v>
      </c>
      <c r="K23" s="77">
        <f>SUM(K16:K21)</f>
        <v>829704</v>
      </c>
      <c r="N23" s="560"/>
    </row>
    <row r="24" spans="1:14" ht="15.75" thickTop="1">
      <c r="G24" s="546"/>
      <c r="I24" s="546"/>
      <c r="K24" s="546"/>
    </row>
    <row r="25" spans="1:14">
      <c r="G25" s="546"/>
      <c r="I25" s="546"/>
      <c r="K25" s="546"/>
    </row>
    <row r="26" spans="1:14">
      <c r="G26" s="546"/>
      <c r="I26" s="546"/>
      <c r="K26" s="546"/>
    </row>
    <row r="27" spans="1:14">
      <c r="G27" s="546"/>
      <c r="I27" s="546"/>
      <c r="K27" s="546"/>
    </row>
    <row r="28" spans="1:14">
      <c r="G28" s="546"/>
      <c r="I28" s="546"/>
      <c r="K28" s="546"/>
    </row>
    <row r="29" spans="1:14">
      <c r="G29" s="546"/>
      <c r="I29" s="546"/>
      <c r="K29" s="546"/>
    </row>
    <row r="30" spans="1:14">
      <c r="G30" s="546"/>
      <c r="I30" s="546"/>
      <c r="K30" s="546"/>
    </row>
    <row r="31" spans="1:14">
      <c r="G31" s="546"/>
      <c r="I31" s="546"/>
      <c r="K31" s="546"/>
    </row>
    <row r="32" spans="1:14">
      <c r="G32" s="546"/>
      <c r="I32" s="546"/>
      <c r="K32" s="546"/>
    </row>
    <row r="33" spans="1:12">
      <c r="G33" s="546"/>
      <c r="I33" s="546"/>
      <c r="K33" s="546"/>
    </row>
    <row r="34" spans="1:12">
      <c r="G34" s="546"/>
      <c r="I34" s="546"/>
      <c r="K34" s="546"/>
    </row>
    <row r="35" spans="1:12">
      <c r="G35" s="546"/>
      <c r="I35" s="546"/>
      <c r="K35" s="546"/>
    </row>
    <row r="36" spans="1:12">
      <c r="G36" s="546"/>
      <c r="I36" s="546"/>
      <c r="K36" s="546"/>
    </row>
    <row r="37" spans="1:12">
      <c r="G37" s="546"/>
      <c r="I37" s="546"/>
      <c r="K37" s="546"/>
    </row>
    <row r="38" spans="1:12">
      <c r="G38" s="546"/>
      <c r="I38" s="546"/>
      <c r="K38" s="546"/>
    </row>
    <row r="39" spans="1:12">
      <c r="G39" s="546"/>
      <c r="I39" s="546"/>
      <c r="K39" s="546"/>
    </row>
    <row r="40" spans="1:12" ht="21">
      <c r="A40" s="534" t="s">
        <v>325</v>
      </c>
      <c r="B40" s="535"/>
      <c r="C40" s="535"/>
      <c r="D40" s="535"/>
      <c r="E40" s="535"/>
      <c r="F40" s="536"/>
      <c r="G40" s="537"/>
      <c r="I40" s="537"/>
      <c r="J40" s="537"/>
      <c r="K40" s="537"/>
      <c r="L40" s="535"/>
    </row>
    <row r="41" spans="1:12" ht="18.75">
      <c r="A41" s="539" t="s">
        <v>339</v>
      </c>
      <c r="B41" s="540"/>
      <c r="C41" s="540"/>
      <c r="D41" s="540"/>
      <c r="E41" s="540"/>
      <c r="F41" s="540"/>
      <c r="G41" s="540"/>
      <c r="H41" s="541"/>
      <c r="I41" s="540"/>
      <c r="J41" s="536"/>
      <c r="K41" s="540"/>
    </row>
    <row r="42" spans="1:12" ht="18.75">
      <c r="A42" s="542" t="s">
        <v>340</v>
      </c>
      <c r="B42" s="543"/>
      <c r="C42" s="543"/>
      <c r="D42" s="543"/>
      <c r="E42" s="543"/>
      <c r="F42" s="543"/>
      <c r="G42" s="543"/>
      <c r="I42" s="543"/>
      <c r="K42" s="543"/>
    </row>
    <row r="43" spans="1:12">
      <c r="G43" s="88">
        <v>2017</v>
      </c>
      <c r="I43" s="88">
        <v>2016</v>
      </c>
      <c r="J43" s="57"/>
      <c r="K43" s="88">
        <v>2015</v>
      </c>
    </row>
    <row r="44" spans="1:12" ht="9" customHeight="1">
      <c r="G44" s="83"/>
      <c r="I44" s="83"/>
      <c r="K44" s="83"/>
    </row>
    <row r="45" spans="1:12" ht="18.75">
      <c r="A45" s="544" t="s">
        <v>341</v>
      </c>
      <c r="G45" s="92">
        <v>0</v>
      </c>
      <c r="I45" s="92">
        <v>0</v>
      </c>
      <c r="K45" s="546">
        <v>29074</v>
      </c>
    </row>
    <row r="46" spans="1:12" ht="18.75">
      <c r="A46" s="544" t="s">
        <v>342</v>
      </c>
      <c r="G46" s="546">
        <v>11693</v>
      </c>
      <c r="I46" s="546">
        <f>23642</f>
        <v>23642</v>
      </c>
      <c r="K46" s="546">
        <v>3349</v>
      </c>
    </row>
    <row r="47" spans="1:12" ht="18.75">
      <c r="A47" s="544" t="s">
        <v>1395</v>
      </c>
      <c r="G47" s="546">
        <v>15000</v>
      </c>
      <c r="I47" s="546">
        <v>750000</v>
      </c>
      <c r="K47" s="92">
        <v>0</v>
      </c>
    </row>
    <row r="48" spans="1:12" ht="9" customHeight="1">
      <c r="G48" s="538"/>
      <c r="I48" s="538"/>
      <c r="K48" s="538"/>
    </row>
    <row r="49" spans="1:14" s="53" customFormat="1" ht="19.5" thickBot="1">
      <c r="A49" s="545" t="s">
        <v>330</v>
      </c>
      <c r="G49" s="77">
        <f>SUM(G45:G47)</f>
        <v>26693</v>
      </c>
      <c r="I49" s="77">
        <f>SUM(I45:I47)</f>
        <v>773642</v>
      </c>
      <c r="K49" s="77">
        <f>SUM(K45:K47)</f>
        <v>32423</v>
      </c>
      <c r="N49" s="560"/>
    </row>
    <row r="50" spans="1:14" ht="15.75" thickTop="1"/>
    <row r="52" spans="1:14" ht="18.75">
      <c r="A52" s="539" t="s">
        <v>343</v>
      </c>
      <c r="B52" s="540"/>
      <c r="C52" s="540"/>
      <c r="D52" s="540"/>
      <c r="E52" s="540"/>
      <c r="F52" s="540"/>
      <c r="G52" s="540"/>
      <c r="H52" s="536"/>
      <c r="I52" s="540"/>
      <c r="J52" s="536"/>
      <c r="K52" s="540"/>
    </row>
    <row r="53" spans="1:14" ht="18.75">
      <c r="A53" s="542" t="s">
        <v>344</v>
      </c>
      <c r="B53" s="543"/>
      <c r="C53" s="543"/>
      <c r="D53" s="543"/>
      <c r="E53" s="543"/>
      <c r="F53" s="543"/>
      <c r="G53" s="543"/>
      <c r="I53" s="543"/>
      <c r="K53" s="543"/>
    </row>
    <row r="54" spans="1:14">
      <c r="G54" s="88">
        <v>2017</v>
      </c>
      <c r="I54" s="88">
        <v>2016</v>
      </c>
      <c r="J54" s="57"/>
      <c r="K54" s="88">
        <v>2015</v>
      </c>
    </row>
    <row r="55" spans="1:14" ht="9" customHeight="1">
      <c r="G55" s="83"/>
      <c r="I55" s="83"/>
      <c r="K55" s="83"/>
    </row>
    <row r="56" spans="1:14" ht="18.75">
      <c r="A56" s="544" t="s">
        <v>281</v>
      </c>
      <c r="G56" s="546">
        <v>1457696</v>
      </c>
      <c r="I56" s="546">
        <v>2432055</v>
      </c>
      <c r="K56" s="546">
        <v>688226</v>
      </c>
    </row>
    <row r="57" spans="1:14" ht="18.75">
      <c r="A57" s="544"/>
      <c r="G57" s="546"/>
      <c r="I57" s="546"/>
      <c r="K57" s="546"/>
    </row>
    <row r="58" spans="1:14" ht="18.75">
      <c r="A58" s="544" t="s">
        <v>282</v>
      </c>
      <c r="G58" s="548">
        <f>1225000+174242+1457696</f>
        <v>2856938</v>
      </c>
      <c r="I58" s="546">
        <f>500000+732855+174242+2432055</f>
        <v>3839152</v>
      </c>
      <c r="K58" s="546">
        <v>1694361</v>
      </c>
    </row>
    <row r="59" spans="1:14" ht="18.75">
      <c r="A59" s="544" t="s">
        <v>283</v>
      </c>
      <c r="G59" s="549">
        <f>-7948485-242464-367145</f>
        <v>-8558094</v>
      </c>
      <c r="I59" s="549">
        <f>-7948485-242464-367145</f>
        <v>-8558094</v>
      </c>
      <c r="K59" s="546">
        <v>-2858969</v>
      </c>
    </row>
    <row r="60" spans="1:14" ht="19.5">
      <c r="A60" s="550" t="s">
        <v>289</v>
      </c>
      <c r="G60" s="50">
        <v>2432055</v>
      </c>
      <c r="I60" s="50">
        <v>2432055</v>
      </c>
      <c r="J60" s="57"/>
      <c r="K60" s="50">
        <v>688226</v>
      </c>
    </row>
    <row r="61" spans="1:14" ht="19.5">
      <c r="A61" s="550" t="s">
        <v>351</v>
      </c>
      <c r="G61" s="50">
        <f>G60*0.025</f>
        <v>60801.375</v>
      </c>
      <c r="I61" s="50">
        <f>I60*0.025</f>
        <v>60801.375</v>
      </c>
      <c r="J61" s="57"/>
      <c r="K61" s="50">
        <f>K60*0.025</f>
        <v>17205.650000000001</v>
      </c>
    </row>
    <row r="62" spans="1:14" ht="18.75">
      <c r="A62" s="544" t="s">
        <v>349</v>
      </c>
    </row>
    <row r="63" spans="1:14" ht="18.75">
      <c r="A63" s="544" t="s">
        <v>350</v>
      </c>
      <c r="G63" s="546">
        <v>17206</v>
      </c>
      <c r="I63" s="546">
        <v>17206</v>
      </c>
      <c r="K63" s="546">
        <v>32134</v>
      </c>
    </row>
    <row r="64" spans="1:14" ht="18.75">
      <c r="A64" s="544" t="s">
        <v>352</v>
      </c>
      <c r="G64" s="546">
        <v>60801</v>
      </c>
      <c r="I64" s="546">
        <v>60801</v>
      </c>
      <c r="K64" s="546">
        <v>17206</v>
      </c>
    </row>
    <row r="65" spans="1:14" ht="18.75">
      <c r="A65" s="544" t="s">
        <v>353</v>
      </c>
      <c r="G65" s="92">
        <v>0</v>
      </c>
      <c r="I65" s="92">
        <v>0</v>
      </c>
      <c r="K65" s="546">
        <v>-32134</v>
      </c>
    </row>
    <row r="66" spans="1:14" ht="23.25" customHeight="1" thickBot="1">
      <c r="A66" s="550" t="s">
        <v>356</v>
      </c>
      <c r="G66" s="51">
        <f>SUM(G63:G65)</f>
        <v>78007</v>
      </c>
      <c r="I66" s="51">
        <f>SUM(I63:I65)</f>
        <v>78007</v>
      </c>
      <c r="J66" s="57"/>
      <c r="K66" s="51">
        <f>SUM(K63:K65)</f>
        <v>17206</v>
      </c>
    </row>
    <row r="67" spans="1:14" ht="15.75" thickTop="1"/>
    <row r="75" spans="1:14" ht="21">
      <c r="A75" s="534" t="s">
        <v>325</v>
      </c>
      <c r="B75" s="535"/>
      <c r="C75" s="535"/>
      <c r="D75" s="535"/>
      <c r="E75" s="535"/>
      <c r="F75" s="536"/>
      <c r="G75" s="537"/>
      <c r="I75" s="537"/>
      <c r="J75" s="537"/>
      <c r="K75" s="537"/>
      <c r="L75" s="535"/>
    </row>
    <row r="76" spans="1:14" ht="18.75">
      <c r="A76" s="539" t="s">
        <v>354</v>
      </c>
      <c r="B76" s="540"/>
      <c r="C76" s="540"/>
      <c r="D76" s="540"/>
      <c r="E76" s="540"/>
      <c r="F76" s="540"/>
      <c r="G76" s="540"/>
      <c r="H76" s="541"/>
      <c r="I76" s="540"/>
      <c r="J76" s="536"/>
      <c r="K76" s="540"/>
    </row>
    <row r="77" spans="1:14" ht="18.75">
      <c r="A77" s="542" t="s">
        <v>355</v>
      </c>
      <c r="B77" s="543"/>
      <c r="C77" s="543"/>
      <c r="D77" s="543"/>
      <c r="E77" s="543"/>
      <c r="F77" s="543"/>
      <c r="G77" s="543"/>
      <c r="I77" s="543"/>
      <c r="K77" s="543"/>
    </row>
    <row r="78" spans="1:14">
      <c r="G78" s="88">
        <v>2016</v>
      </c>
      <c r="I78" s="88">
        <v>2016</v>
      </c>
      <c r="J78" s="57"/>
      <c r="K78" s="88">
        <v>2015</v>
      </c>
    </row>
    <row r="80" spans="1:14" s="552" customFormat="1" ht="24" customHeight="1">
      <c r="A80" s="551" t="s">
        <v>350</v>
      </c>
      <c r="G80" s="546">
        <v>165587</v>
      </c>
      <c r="I80" s="546">
        <v>165587</v>
      </c>
      <c r="K80" s="546">
        <v>234221</v>
      </c>
      <c r="N80" s="561"/>
    </row>
    <row r="81" spans="1:14" s="552" customFormat="1" ht="24" customHeight="1">
      <c r="A81" s="551" t="s">
        <v>352</v>
      </c>
      <c r="G81" s="546">
        <v>50000</v>
      </c>
      <c r="I81" s="546">
        <v>50000</v>
      </c>
      <c r="K81" s="546">
        <v>17307</v>
      </c>
      <c r="N81" s="561"/>
    </row>
    <row r="82" spans="1:14" s="552" customFormat="1" ht="24" customHeight="1">
      <c r="A82" s="551" t="s">
        <v>353</v>
      </c>
      <c r="G82" s="546">
        <v>-8551</v>
      </c>
      <c r="I82" s="546">
        <v>-8551</v>
      </c>
      <c r="K82" s="546">
        <v>-85941</v>
      </c>
      <c r="N82" s="561"/>
    </row>
    <row r="83" spans="1:14" s="552" customFormat="1" ht="24" customHeight="1" thickBot="1">
      <c r="A83" s="553" t="s">
        <v>356</v>
      </c>
      <c r="G83" s="51">
        <f>SUM(G80:G82)</f>
        <v>207036</v>
      </c>
      <c r="I83" s="51">
        <f>SUM(I80:I82)</f>
        <v>207036</v>
      </c>
      <c r="J83" s="111"/>
      <c r="K83" s="51">
        <f>SUM(K80:K82)</f>
        <v>165587</v>
      </c>
      <c r="N83" s="561"/>
    </row>
    <row r="84" spans="1:14" ht="24" customHeight="1" thickTop="1"/>
    <row r="85" spans="1:14" ht="24" customHeight="1"/>
    <row r="86" spans="1:14" ht="24" customHeight="1"/>
    <row r="87" spans="1:14" ht="24" customHeight="1">
      <c r="A87" s="539" t="s">
        <v>1476</v>
      </c>
      <c r="B87" s="540"/>
      <c r="C87" s="540"/>
      <c r="D87" s="540"/>
      <c r="E87" s="540"/>
      <c r="F87" s="540"/>
      <c r="G87" s="540"/>
      <c r="H87" s="536"/>
      <c r="I87" s="540"/>
      <c r="J87" s="536"/>
      <c r="K87" s="540"/>
    </row>
    <row r="88" spans="1:14" ht="24" customHeight="1">
      <c r="A88" s="689" t="s">
        <v>1477</v>
      </c>
      <c r="B88" s="689"/>
      <c r="C88" s="689"/>
      <c r="D88" s="689"/>
      <c r="E88" s="689"/>
      <c r="F88" s="689"/>
      <c r="G88" s="689"/>
      <c r="H88" s="689"/>
      <c r="I88" s="689"/>
      <c r="J88" s="689"/>
      <c r="K88" s="689"/>
      <c r="L88" s="689"/>
    </row>
    <row r="89" spans="1:14" ht="24" customHeight="1">
      <c r="A89" s="689"/>
      <c r="B89" s="689"/>
      <c r="C89" s="689"/>
      <c r="D89" s="689"/>
      <c r="E89" s="689"/>
      <c r="F89" s="689"/>
      <c r="G89" s="689"/>
      <c r="H89" s="689"/>
      <c r="I89" s="689"/>
      <c r="J89" s="689"/>
      <c r="K89" s="689"/>
      <c r="L89" s="689"/>
    </row>
    <row r="90" spans="1:14" ht="24" customHeight="1"/>
    <row r="91" spans="1:14" ht="24" customHeight="1">
      <c r="E91" s="554" t="s">
        <v>360</v>
      </c>
      <c r="F91" s="554"/>
      <c r="G91" s="555" t="s">
        <v>362</v>
      </c>
      <c r="H91" s="554" t="s">
        <v>361</v>
      </c>
      <c r="I91" s="555" t="s">
        <v>362</v>
      </c>
      <c r="J91" s="554"/>
      <c r="K91" s="555" t="s">
        <v>218</v>
      </c>
    </row>
    <row r="92" spans="1:14" s="552" customFormat="1" ht="24" customHeight="1">
      <c r="A92" s="556" t="s">
        <v>358</v>
      </c>
      <c r="E92" s="546">
        <v>2133269</v>
      </c>
      <c r="F92" s="546"/>
      <c r="G92" s="546">
        <f>3518961</f>
        <v>3518961</v>
      </c>
      <c r="H92" s="546">
        <f>2435334</f>
        <v>2435334</v>
      </c>
      <c r="I92" s="546">
        <f>3518961</f>
        <v>3518961</v>
      </c>
      <c r="J92" s="546"/>
      <c r="K92" s="546">
        <f>(E92+I92)-H92</f>
        <v>3216896</v>
      </c>
      <c r="N92" s="561"/>
    </row>
    <row r="93" spans="1:14" s="552" customFormat="1" ht="24" customHeight="1">
      <c r="A93" s="556" t="s">
        <v>363</v>
      </c>
      <c r="E93" s="92">
        <v>0</v>
      </c>
      <c r="F93" s="92"/>
      <c r="G93" s="546">
        <v>299569</v>
      </c>
      <c r="H93" s="546">
        <v>43138</v>
      </c>
      <c r="I93" s="546">
        <v>299569</v>
      </c>
      <c r="J93" s="546"/>
      <c r="K93" s="546">
        <f>(E93+I93)-H93</f>
        <v>256431</v>
      </c>
      <c r="N93" s="561"/>
    </row>
    <row r="94" spans="1:14" s="552" customFormat="1" ht="24" customHeight="1">
      <c r="A94" s="556" t="s">
        <v>359</v>
      </c>
      <c r="E94" s="546">
        <v>732855</v>
      </c>
      <c r="F94" s="546"/>
      <c r="G94" s="92">
        <v>0</v>
      </c>
      <c r="H94" s="92">
        <v>0</v>
      </c>
      <c r="I94" s="92">
        <v>0</v>
      </c>
      <c r="J94" s="546"/>
      <c r="K94" s="546">
        <f>(E94+I94)-H94</f>
        <v>732855</v>
      </c>
      <c r="N94" s="561"/>
    </row>
    <row r="95" spans="1:14" ht="24" customHeight="1"/>
    <row r="96" spans="1:14" s="552" customFormat="1" ht="24" customHeight="1" thickBot="1">
      <c r="A96" s="556" t="s">
        <v>9</v>
      </c>
      <c r="E96" s="51">
        <f>SUM(E92:E95)</f>
        <v>2866124</v>
      </c>
      <c r="F96" s="51"/>
      <c r="G96" s="51">
        <f>SUM(G92:G95)</f>
        <v>3818530</v>
      </c>
      <c r="H96" s="51">
        <f>SUM(H92:H95)</f>
        <v>2478472</v>
      </c>
      <c r="I96" s="51">
        <f>SUM(I92:I95)</f>
        <v>3818530</v>
      </c>
      <c r="J96" s="51"/>
      <c r="K96" s="51">
        <f>SUM(K92:K95)</f>
        <v>4206182</v>
      </c>
      <c r="N96" s="561"/>
    </row>
    <row r="97" ht="15.75" thickTop="1"/>
    <row r="120" spans="1:14" ht="21">
      <c r="A120" s="534" t="s">
        <v>325</v>
      </c>
      <c r="B120" s="535"/>
      <c r="C120" s="535"/>
      <c r="D120" s="535"/>
      <c r="E120" s="535"/>
      <c r="F120" s="536"/>
      <c r="G120" s="537"/>
      <c r="I120" s="537"/>
      <c r="J120" s="537"/>
      <c r="K120" s="537"/>
      <c r="L120" s="535"/>
    </row>
    <row r="121" spans="1:14" ht="18.75">
      <c r="A121" s="539" t="s">
        <v>366</v>
      </c>
      <c r="H121" s="557"/>
      <c r="N121" s="381">
        <v>1847720.87</v>
      </c>
    </row>
    <row r="122" spans="1:14" ht="18.75">
      <c r="A122" s="542" t="s">
        <v>365</v>
      </c>
      <c r="N122" s="381">
        <v>1785</v>
      </c>
    </row>
    <row r="123" spans="1:14">
      <c r="G123" s="88">
        <v>2017</v>
      </c>
      <c r="I123" s="88">
        <v>2016</v>
      </c>
      <c r="J123" s="57"/>
      <c r="K123" s="88">
        <v>2015</v>
      </c>
      <c r="N123" s="381">
        <v>66471.92</v>
      </c>
    </row>
    <row r="124" spans="1:14" s="552" customFormat="1" ht="18" customHeight="1">
      <c r="A124" s="551" t="s">
        <v>367</v>
      </c>
      <c r="G124" s="546">
        <f>1847720.87+444489+1230</f>
        <v>2293439.87</v>
      </c>
      <c r="I124" s="546">
        <f>852706+143765+7950+19500+66354+18527</f>
        <v>1108802</v>
      </c>
      <c r="K124" s="546">
        <v>456547</v>
      </c>
      <c r="N124" s="561">
        <v>130448.76</v>
      </c>
    </row>
    <row r="125" spans="1:14" s="552" customFormat="1" ht="18" customHeight="1">
      <c r="A125" s="551" t="s">
        <v>368</v>
      </c>
      <c r="G125" s="546">
        <f>66471.92+426266+2093+4954</f>
        <v>499784.92</v>
      </c>
      <c r="I125" s="546">
        <f>33335+2652+54546+1425+8914+1362+2592+5246+840+57382</f>
        <v>168294</v>
      </c>
      <c r="K125" s="546">
        <v>210537</v>
      </c>
      <c r="N125" s="561">
        <v>529593</v>
      </c>
    </row>
    <row r="126" spans="1:14" s="552" customFormat="1" ht="18" customHeight="1">
      <c r="A126" s="551" t="s">
        <v>369</v>
      </c>
      <c r="G126" s="546">
        <f>529593+39474</f>
        <v>569067</v>
      </c>
      <c r="I126" s="546">
        <f>122100+174799</f>
        <v>296899</v>
      </c>
      <c r="K126" s="546">
        <v>112633</v>
      </c>
      <c r="N126" s="561">
        <v>426266</v>
      </c>
    </row>
    <row r="127" spans="1:14" s="552" customFormat="1" ht="18" customHeight="1">
      <c r="A127" s="551" t="s">
        <v>383</v>
      </c>
      <c r="G127" s="546">
        <v>9639</v>
      </c>
      <c r="I127" s="546">
        <f>100+50+1977</f>
        <v>2127</v>
      </c>
      <c r="K127" s="92">
        <v>0</v>
      </c>
      <c r="N127" s="561"/>
    </row>
    <row r="128" spans="1:14" s="552" customFormat="1" ht="18" customHeight="1">
      <c r="A128" s="551" t="s">
        <v>382</v>
      </c>
      <c r="G128" s="546">
        <f>130448.76+8610</f>
        <v>139058.76</v>
      </c>
      <c r="I128" s="546">
        <f>90133+4399</f>
        <v>94532</v>
      </c>
      <c r="K128" s="92">
        <v>0</v>
      </c>
      <c r="N128" s="561">
        <v>2119.75</v>
      </c>
    </row>
    <row r="129" spans="1:14" s="552" customFormat="1" ht="18" customHeight="1">
      <c r="A129" s="551" t="s">
        <v>370</v>
      </c>
      <c r="G129" s="546">
        <v>366230</v>
      </c>
      <c r="I129" s="546">
        <f>225420+10000+27500</f>
        <v>262920</v>
      </c>
      <c r="K129" s="546">
        <v>51750</v>
      </c>
      <c r="N129" s="561">
        <v>136566</v>
      </c>
    </row>
    <row r="130" spans="1:14" s="552" customFormat="1" ht="18" customHeight="1">
      <c r="A130" s="551" t="s">
        <v>371</v>
      </c>
      <c r="G130" s="546">
        <f>747381.12+24350</f>
        <v>771731.12</v>
      </c>
      <c r="I130" s="546">
        <f>190250+2250</f>
        <v>192500</v>
      </c>
      <c r="K130" s="546">
        <v>34785</v>
      </c>
      <c r="N130" s="561">
        <v>17470</v>
      </c>
    </row>
    <row r="131" spans="1:14" s="552" customFormat="1" ht="18" customHeight="1">
      <c r="A131" s="551" t="s">
        <v>1417</v>
      </c>
      <c r="G131" s="546">
        <v>63560</v>
      </c>
      <c r="I131" s="546"/>
      <c r="K131" s="546"/>
      <c r="N131" s="561">
        <v>9639</v>
      </c>
    </row>
    <row r="132" spans="1:14" s="552" customFormat="1" ht="18" customHeight="1">
      <c r="A132" s="551" t="s">
        <v>372</v>
      </c>
      <c r="G132" s="546">
        <v>2272839</v>
      </c>
      <c r="I132" s="546">
        <v>1171298</v>
      </c>
      <c r="K132" s="546">
        <v>961639</v>
      </c>
      <c r="N132" s="561">
        <v>366230</v>
      </c>
    </row>
    <row r="133" spans="1:14" s="552" customFormat="1" ht="18" customHeight="1">
      <c r="A133" s="551" t="s">
        <v>390</v>
      </c>
      <c r="G133" s="546">
        <f>155001+11650</f>
        <v>166651</v>
      </c>
      <c r="I133" s="546">
        <f>6984+55537+9795+27839+4100+2915+3626</f>
        <v>110796</v>
      </c>
      <c r="K133" s="546">
        <v>167466</v>
      </c>
      <c r="N133" s="561">
        <v>747381.12</v>
      </c>
    </row>
    <row r="134" spans="1:14" s="552" customFormat="1" ht="18" customHeight="1">
      <c r="A134" s="551" t="s">
        <v>1410</v>
      </c>
      <c r="G134" s="546">
        <f>11300+460</f>
        <v>11760</v>
      </c>
      <c r="I134" s="546"/>
      <c r="K134" s="546"/>
      <c r="N134" s="561">
        <v>52802</v>
      </c>
    </row>
    <row r="135" spans="1:14" s="552" customFormat="1" ht="18" customHeight="1">
      <c r="A135" s="551" t="s">
        <v>373</v>
      </c>
      <c r="G135" s="92">
        <f>52570+28249+300+12050</f>
        <v>93169</v>
      </c>
      <c r="I135" s="92">
        <v>0</v>
      </c>
      <c r="K135" s="92">
        <v>0</v>
      </c>
      <c r="N135" s="561">
        <v>444489</v>
      </c>
    </row>
    <row r="136" spans="1:14" s="552" customFormat="1" ht="18" customHeight="1">
      <c r="A136" s="551" t="s">
        <v>374</v>
      </c>
      <c r="G136" s="92"/>
      <c r="I136" s="92">
        <v>0</v>
      </c>
      <c r="K136" s="546">
        <v>11166</v>
      </c>
      <c r="N136" s="561">
        <v>11300</v>
      </c>
    </row>
    <row r="137" spans="1:14" s="552" customFormat="1" ht="18" customHeight="1">
      <c r="A137" s="551" t="s">
        <v>1334</v>
      </c>
      <c r="G137" s="92">
        <v>116444</v>
      </c>
      <c r="I137" s="92"/>
      <c r="K137" s="546"/>
      <c r="N137" s="561">
        <v>4270</v>
      </c>
    </row>
    <row r="138" spans="1:14" s="552" customFormat="1" ht="18" customHeight="1">
      <c r="A138" s="551" t="s">
        <v>375</v>
      </c>
      <c r="G138" s="546">
        <f>4381.92+29909+1000+490</f>
        <v>35780.92</v>
      </c>
      <c r="I138" s="546">
        <f>4200+400+53445+7933+15520</f>
        <v>81498</v>
      </c>
      <c r="K138" s="546">
        <v>57583</v>
      </c>
      <c r="N138" s="561">
        <v>68543</v>
      </c>
    </row>
    <row r="139" spans="1:14" s="552" customFormat="1" ht="18" customHeight="1">
      <c r="A139" s="551" t="s">
        <v>1416</v>
      </c>
      <c r="G139" s="546">
        <v>77755</v>
      </c>
      <c r="I139" s="546"/>
      <c r="K139" s="546"/>
      <c r="N139" s="561">
        <v>5167</v>
      </c>
    </row>
    <row r="140" spans="1:14" s="552" customFormat="1" ht="18" customHeight="1">
      <c r="A140" s="551" t="s">
        <v>376</v>
      </c>
      <c r="G140" s="546">
        <f>41558.75+3000</f>
        <v>44558.75</v>
      </c>
      <c r="I140" s="546">
        <v>42981</v>
      </c>
      <c r="K140" s="546">
        <v>43885</v>
      </c>
      <c r="N140" s="561">
        <v>4381.92</v>
      </c>
    </row>
    <row r="141" spans="1:14" s="552" customFormat="1" ht="18" customHeight="1">
      <c r="A141" s="551" t="s">
        <v>377</v>
      </c>
      <c r="G141" s="546">
        <f>2119.75+36296+70</f>
        <v>38485.75</v>
      </c>
      <c r="I141" s="546">
        <f>1270+34016</f>
        <v>35286</v>
      </c>
      <c r="K141" s="546">
        <v>13116</v>
      </c>
      <c r="N141" s="561">
        <v>29909</v>
      </c>
    </row>
    <row r="142" spans="1:14" s="552" customFormat="1" ht="18" customHeight="1">
      <c r="A142" s="551" t="s">
        <v>378</v>
      </c>
      <c r="G142" s="546">
        <v>52802</v>
      </c>
      <c r="I142" s="546">
        <f>4705+27292</f>
        <v>31997</v>
      </c>
      <c r="K142" s="546">
        <v>16683</v>
      </c>
      <c r="N142" s="561">
        <v>47618</v>
      </c>
    </row>
    <row r="143" spans="1:14" s="552" customFormat="1" ht="18" customHeight="1">
      <c r="A143" s="551" t="s">
        <v>379</v>
      </c>
      <c r="G143" s="546"/>
      <c r="I143" s="546">
        <f>315+225+3450</f>
        <v>3990</v>
      </c>
      <c r="K143" s="546">
        <v>10500</v>
      </c>
      <c r="N143" s="561">
        <v>500</v>
      </c>
    </row>
    <row r="144" spans="1:14" s="552" customFormat="1" ht="18" customHeight="1">
      <c r="A144" s="551" t="s">
        <v>380</v>
      </c>
      <c r="G144" s="546">
        <v>4270</v>
      </c>
      <c r="I144" s="546">
        <f>865+4768+150+31552</f>
        <v>37335</v>
      </c>
      <c r="K144" s="546">
        <v>11070</v>
      </c>
      <c r="N144" s="561">
        <v>155001</v>
      </c>
    </row>
    <row r="145" spans="1:14" s="552" customFormat="1" ht="18" customHeight="1">
      <c r="A145" s="551" t="s">
        <v>1402</v>
      </c>
      <c r="G145" s="546">
        <v>1785</v>
      </c>
      <c r="I145" s="546"/>
      <c r="K145" s="546"/>
      <c r="N145" s="561">
        <v>52570</v>
      </c>
    </row>
    <row r="146" spans="1:14" s="552" customFormat="1" ht="18" customHeight="1">
      <c r="A146" s="551" t="s">
        <v>381</v>
      </c>
      <c r="G146" s="546">
        <f>29100+96168+120+340+71+23860</f>
        <v>149659</v>
      </c>
      <c r="I146" s="546">
        <f>629+5900+7870+123376+60+10960+5719+142895+50665+565+995+21851+600+684</f>
        <v>372769</v>
      </c>
      <c r="K146" s="546">
        <v>235934</v>
      </c>
      <c r="N146" s="561">
        <v>8331</v>
      </c>
    </row>
    <row r="147" spans="1:14" s="552" customFormat="1" ht="18" customHeight="1">
      <c r="A147" s="551" t="s">
        <v>384</v>
      </c>
      <c r="G147" s="546">
        <f>47618+4000</f>
        <v>51618</v>
      </c>
      <c r="I147" s="546">
        <f>4700+22300</f>
        <v>27000</v>
      </c>
      <c r="K147" s="92">
        <v>0</v>
      </c>
      <c r="N147" s="561">
        <v>41558.75</v>
      </c>
    </row>
    <row r="148" spans="1:14" s="552" customFormat="1" ht="18" customHeight="1">
      <c r="A148" s="551" t="s">
        <v>1412</v>
      </c>
      <c r="G148" s="546">
        <v>500</v>
      </c>
      <c r="I148" s="546"/>
      <c r="K148" s="92"/>
      <c r="N148" s="561">
        <v>29100</v>
      </c>
    </row>
    <row r="149" spans="1:14" s="552" customFormat="1" ht="18" customHeight="1">
      <c r="A149" s="551" t="s">
        <v>1415</v>
      </c>
      <c r="G149" s="546">
        <v>10755</v>
      </c>
      <c r="I149" s="546"/>
      <c r="K149" s="92"/>
      <c r="N149" s="561">
        <v>225</v>
      </c>
    </row>
    <row r="150" spans="1:14" s="552" customFormat="1" ht="18" customHeight="1">
      <c r="A150" s="551" t="s">
        <v>1406</v>
      </c>
      <c r="G150" s="546">
        <v>69000</v>
      </c>
      <c r="I150" s="546"/>
      <c r="K150" s="92"/>
      <c r="N150" s="561">
        <v>200</v>
      </c>
    </row>
    <row r="151" spans="1:14" s="552" customFormat="1" ht="18" customHeight="1">
      <c r="A151" s="551" t="s">
        <v>385</v>
      </c>
      <c r="G151" s="546">
        <v>225</v>
      </c>
      <c r="I151" s="546">
        <v>700</v>
      </c>
      <c r="K151" s="92">
        <v>0</v>
      </c>
      <c r="N151" s="561">
        <v>2272839</v>
      </c>
    </row>
    <row r="152" spans="1:14" s="552" customFormat="1" ht="18" customHeight="1">
      <c r="A152" s="551" t="s">
        <v>386</v>
      </c>
      <c r="G152" s="546"/>
      <c r="I152" s="546">
        <v>50000</v>
      </c>
      <c r="K152" s="92">
        <v>0</v>
      </c>
      <c r="N152" s="561">
        <v>96168</v>
      </c>
    </row>
    <row r="153" spans="1:14" s="552" customFormat="1" ht="18" customHeight="1">
      <c r="A153" s="551" t="s">
        <v>387</v>
      </c>
      <c r="G153" s="546">
        <v>17470</v>
      </c>
      <c r="I153" s="546">
        <f>10005+12590</f>
        <v>22595</v>
      </c>
      <c r="K153" s="92">
        <v>0</v>
      </c>
      <c r="N153" s="561">
        <v>12506</v>
      </c>
    </row>
    <row r="154" spans="1:14" s="552" customFormat="1" ht="18" customHeight="1">
      <c r="A154" s="551" t="s">
        <v>1409</v>
      </c>
      <c r="G154" s="546">
        <v>136566</v>
      </c>
      <c r="I154" s="546"/>
      <c r="K154" s="92"/>
      <c r="N154" s="561">
        <v>441</v>
      </c>
    </row>
    <row r="155" spans="1:14" s="552" customFormat="1" ht="18" customHeight="1">
      <c r="A155" s="551" t="s">
        <v>1403</v>
      </c>
      <c r="G155" s="546">
        <f>8331+441+400+615+5858+1000</f>
        <v>16645</v>
      </c>
      <c r="I155" s="546"/>
      <c r="K155" s="92"/>
      <c r="N155" s="561">
        <v>69000</v>
      </c>
    </row>
    <row r="156" spans="1:14" s="552" customFormat="1" ht="18" customHeight="1">
      <c r="A156" s="551" t="s">
        <v>388</v>
      </c>
      <c r="G156" s="546">
        <v>68543</v>
      </c>
      <c r="I156" s="546">
        <f>2400+2580+21559</f>
        <v>26539</v>
      </c>
      <c r="K156" s="92">
        <v>0</v>
      </c>
      <c r="N156" s="561">
        <v>400</v>
      </c>
    </row>
    <row r="157" spans="1:14" s="552" customFormat="1" ht="18" customHeight="1">
      <c r="A157" s="551" t="s">
        <v>1411</v>
      </c>
      <c r="G157" s="546">
        <v>5167</v>
      </c>
      <c r="I157" s="546"/>
      <c r="K157" s="92"/>
      <c r="N157" s="561">
        <v>615</v>
      </c>
    </row>
    <row r="158" spans="1:14" s="552" customFormat="1" ht="18" customHeight="1">
      <c r="A158" s="551" t="s">
        <v>1413</v>
      </c>
      <c r="G158" s="546">
        <v>200</v>
      </c>
      <c r="I158" s="546"/>
      <c r="K158" s="92"/>
      <c r="N158" s="561">
        <v>10755</v>
      </c>
    </row>
    <row r="159" spans="1:14" s="552" customFormat="1" ht="18" customHeight="1">
      <c r="A159" s="551" t="s">
        <v>1414</v>
      </c>
      <c r="G159" s="546">
        <v>12506</v>
      </c>
      <c r="I159" s="546"/>
      <c r="K159" s="92"/>
      <c r="N159" s="561">
        <v>5858</v>
      </c>
    </row>
    <row r="160" spans="1:14" s="552" customFormat="1" ht="18" customHeight="1">
      <c r="A160" s="551" t="s">
        <v>391</v>
      </c>
      <c r="G160" s="546"/>
      <c r="I160" s="546">
        <v>124950</v>
      </c>
      <c r="K160" s="92">
        <v>0</v>
      </c>
      <c r="N160" s="561">
        <v>3000</v>
      </c>
    </row>
    <row r="161" spans="1:14" s="552" customFormat="1" ht="18" customHeight="1">
      <c r="A161" s="551" t="s">
        <v>389</v>
      </c>
      <c r="G161" s="546">
        <f>521647</f>
        <v>521647</v>
      </c>
      <c r="I161" s="546">
        <f>32898+9879</f>
        <v>42777</v>
      </c>
      <c r="K161" s="92">
        <v>0</v>
      </c>
      <c r="N161" s="561">
        <v>77755</v>
      </c>
    </row>
    <row r="162" spans="1:14" ht="18" customHeight="1" thickBot="1">
      <c r="A162" s="556" t="s">
        <v>9</v>
      </c>
      <c r="G162" s="51">
        <f>SUM(G124:G161)</f>
        <v>8689312.0899999999</v>
      </c>
      <c r="I162" s="51">
        <f>SUM(I124:I161)</f>
        <v>4308585</v>
      </c>
      <c r="K162" s="51">
        <f>SUM(K124:K161)</f>
        <v>2395294</v>
      </c>
      <c r="N162" s="381">
        <v>28249</v>
      </c>
    </row>
    <row r="163" spans="1:14" ht="15.75" thickTop="1">
      <c r="N163" s="381">
        <v>36296</v>
      </c>
    </row>
    <row r="164" spans="1:14">
      <c r="N164" s="381">
        <v>63560</v>
      </c>
    </row>
    <row r="165" spans="1:14">
      <c r="N165" s="381">
        <v>521647</v>
      </c>
    </row>
    <row r="166" spans="1:14">
      <c r="N166" s="381">
        <v>116444</v>
      </c>
    </row>
    <row r="167" spans="1:14">
      <c r="N167" s="381">
        <v>1000</v>
      </c>
    </row>
    <row r="168" spans="1:14">
      <c r="N168" s="381">
        <v>300</v>
      </c>
    </row>
    <row r="169" spans="1:14">
      <c r="N169" s="381">
        <v>1000</v>
      </c>
    </row>
    <row r="170" spans="1:14">
      <c r="N170" s="381">
        <v>490</v>
      </c>
    </row>
    <row r="171" spans="1:14">
      <c r="E171" s="547"/>
      <c r="N171" s="381">
        <v>70</v>
      </c>
    </row>
    <row r="172" spans="1:14">
      <c r="N172" s="381">
        <v>39474</v>
      </c>
    </row>
    <row r="173" spans="1:14">
      <c r="N173" s="381">
        <v>1230</v>
      </c>
    </row>
    <row r="174" spans="1:14">
      <c r="N174" s="381">
        <v>2093</v>
      </c>
    </row>
    <row r="175" spans="1:14">
      <c r="N175" s="381">
        <v>24350</v>
      </c>
    </row>
    <row r="176" spans="1:14">
      <c r="N176" s="381">
        <v>4000</v>
      </c>
    </row>
    <row r="177" spans="1:14">
      <c r="N177" s="381">
        <v>120</v>
      </c>
    </row>
    <row r="178" spans="1:14">
      <c r="N178" s="381">
        <v>340</v>
      </c>
    </row>
    <row r="179" spans="1:14">
      <c r="N179" s="381">
        <v>4954</v>
      </c>
    </row>
    <row r="180" spans="1:14">
      <c r="N180" s="381">
        <v>460</v>
      </c>
    </row>
    <row r="181" spans="1:14">
      <c r="N181" s="381">
        <v>11650</v>
      </c>
    </row>
    <row r="182" spans="1:14">
      <c r="N182" s="381">
        <v>12050</v>
      </c>
    </row>
    <row r="183" spans="1:14" ht="21">
      <c r="A183" s="534" t="s">
        <v>325</v>
      </c>
      <c r="B183" s="535"/>
      <c r="C183" s="535"/>
      <c r="D183" s="535"/>
      <c r="E183" s="535"/>
      <c r="F183" s="536"/>
      <c r="G183" s="537"/>
      <c r="I183" s="537"/>
      <c r="J183" s="537"/>
      <c r="K183" s="537"/>
      <c r="L183" s="535"/>
      <c r="N183" s="381">
        <v>71</v>
      </c>
    </row>
    <row r="184" spans="1:14" ht="18.75">
      <c r="A184" s="539" t="s">
        <v>392</v>
      </c>
      <c r="H184" s="557"/>
    </row>
    <row r="185" spans="1:14" ht="18.75">
      <c r="A185" s="542" t="s">
        <v>393</v>
      </c>
    </row>
    <row r="186" spans="1:14">
      <c r="G186" s="88">
        <v>2017</v>
      </c>
      <c r="I186" s="88">
        <v>2016</v>
      </c>
      <c r="J186" s="57"/>
      <c r="K186" s="88">
        <v>2015</v>
      </c>
    </row>
    <row r="187" spans="1:14" s="552" customFormat="1" ht="18" customHeight="1">
      <c r="A187" s="551" t="s">
        <v>367</v>
      </c>
      <c r="G187" s="533">
        <f>196713.34+411765</f>
        <v>608478.34</v>
      </c>
      <c r="H187" s="558">
        <v>0</v>
      </c>
      <c r="I187" s="533">
        <f>3800+671689</f>
        <v>675489</v>
      </c>
      <c r="J187" s="558">
        <v>0</v>
      </c>
      <c r="K187" s="533">
        <v>0</v>
      </c>
      <c r="N187" s="561">
        <f>SUM(N121:N186)</f>
        <v>8656842.0899999999</v>
      </c>
    </row>
    <row r="188" spans="1:14" s="552" customFormat="1" ht="18" customHeight="1">
      <c r="A188" s="551" t="s">
        <v>368</v>
      </c>
      <c r="G188" s="533">
        <f>8458+1401</f>
        <v>9859</v>
      </c>
      <c r="H188" s="558">
        <v>0</v>
      </c>
      <c r="I188" s="533">
        <v>0</v>
      </c>
      <c r="J188" s="558">
        <v>0</v>
      </c>
      <c r="K188" s="559">
        <v>15209</v>
      </c>
      <c r="N188" s="561"/>
    </row>
    <row r="189" spans="1:14" s="552" customFormat="1" ht="18" customHeight="1">
      <c r="A189" s="551" t="s">
        <v>369</v>
      </c>
      <c r="G189" s="533">
        <v>4481</v>
      </c>
      <c r="H189" s="558">
        <v>0</v>
      </c>
      <c r="I189" s="533">
        <v>0</v>
      </c>
      <c r="J189" s="558">
        <v>0</v>
      </c>
      <c r="K189" s="533">
        <v>0</v>
      </c>
      <c r="N189" s="561"/>
    </row>
    <row r="190" spans="1:14" s="552" customFormat="1" ht="18" customHeight="1">
      <c r="A190" s="551" t="s">
        <v>383</v>
      </c>
      <c r="G190" s="533">
        <v>3446</v>
      </c>
      <c r="H190" s="558">
        <v>0</v>
      </c>
      <c r="I190" s="533">
        <f>2152+125</f>
        <v>2277</v>
      </c>
      <c r="J190" s="558">
        <v>0</v>
      </c>
      <c r="K190" s="533">
        <v>0</v>
      </c>
      <c r="N190" s="561">
        <f>8681247.09-545</f>
        <v>8680702.0899999999</v>
      </c>
    </row>
    <row r="191" spans="1:14" s="552" customFormat="1" ht="18" customHeight="1">
      <c r="A191" s="551" t="s">
        <v>382</v>
      </c>
      <c r="G191" s="533">
        <v>1335</v>
      </c>
      <c r="H191" s="558">
        <v>0</v>
      </c>
      <c r="I191" s="533">
        <v>0</v>
      </c>
      <c r="J191" s="558">
        <v>0</v>
      </c>
      <c r="K191" s="533">
        <v>0</v>
      </c>
      <c r="N191" s="561"/>
    </row>
    <row r="192" spans="1:14" s="552" customFormat="1" ht="18" customHeight="1">
      <c r="A192" s="551" t="s">
        <v>370</v>
      </c>
      <c r="G192" s="533">
        <v>0</v>
      </c>
      <c r="H192" s="558">
        <v>0</v>
      </c>
      <c r="I192" s="533">
        <f>4750</f>
        <v>4750</v>
      </c>
      <c r="J192" s="558">
        <v>0</v>
      </c>
      <c r="K192" s="533">
        <v>0</v>
      </c>
      <c r="N192" s="561">
        <f>N187-N190</f>
        <v>-23860</v>
      </c>
    </row>
    <row r="193" spans="1:14" s="552" customFormat="1" ht="18" customHeight="1">
      <c r="A193" s="551" t="s">
        <v>1402</v>
      </c>
      <c r="G193" s="533">
        <v>1016</v>
      </c>
      <c r="H193" s="558">
        <v>0</v>
      </c>
      <c r="I193" s="533">
        <v>0</v>
      </c>
      <c r="J193" s="558">
        <v>0</v>
      </c>
      <c r="K193" s="533">
        <v>0</v>
      </c>
      <c r="N193" s="561"/>
    </row>
    <row r="194" spans="1:14" s="552" customFormat="1" ht="18" customHeight="1">
      <c r="A194" s="551" t="s">
        <v>371</v>
      </c>
      <c r="G194" s="533">
        <v>200</v>
      </c>
      <c r="H194" s="558">
        <v>0</v>
      </c>
      <c r="I194" s="533">
        <v>0</v>
      </c>
      <c r="J194" s="558">
        <v>0</v>
      </c>
      <c r="K194" s="533">
        <v>0</v>
      </c>
      <c r="N194" s="561"/>
    </row>
    <row r="195" spans="1:14" s="552" customFormat="1" ht="18" customHeight="1">
      <c r="A195" s="551" t="s">
        <v>294</v>
      </c>
      <c r="G195" s="533">
        <v>56306</v>
      </c>
      <c r="H195" s="558">
        <v>0</v>
      </c>
      <c r="I195" s="533">
        <v>0</v>
      </c>
      <c r="J195" s="558">
        <v>0</v>
      </c>
      <c r="K195" s="559">
        <v>50164</v>
      </c>
      <c r="N195" s="561"/>
    </row>
    <row r="196" spans="1:14" s="552" customFormat="1" ht="18" customHeight="1">
      <c r="A196" s="551" t="s">
        <v>390</v>
      </c>
      <c r="G196" s="533">
        <v>0</v>
      </c>
      <c r="H196" s="558">
        <v>0</v>
      </c>
      <c r="I196" s="533">
        <v>0</v>
      </c>
      <c r="J196" s="558">
        <v>0</v>
      </c>
      <c r="K196" s="533">
        <v>0</v>
      </c>
      <c r="N196" s="561"/>
    </row>
    <row r="197" spans="1:14" s="552" customFormat="1" ht="18" customHeight="1">
      <c r="A197" s="551" t="s">
        <v>373</v>
      </c>
      <c r="G197" s="533">
        <v>1500</v>
      </c>
      <c r="H197" s="558">
        <v>0</v>
      </c>
      <c r="I197" s="533">
        <v>0</v>
      </c>
      <c r="J197" s="558">
        <v>0</v>
      </c>
      <c r="K197" s="533">
        <v>0</v>
      </c>
      <c r="N197" s="561"/>
    </row>
    <row r="198" spans="1:14" s="552" customFormat="1" ht="18" customHeight="1">
      <c r="A198" s="551" t="s">
        <v>374</v>
      </c>
      <c r="G198" s="533">
        <v>0</v>
      </c>
      <c r="H198" s="558">
        <v>0</v>
      </c>
      <c r="I198" s="533">
        <f>7405+13008</f>
        <v>20413</v>
      </c>
      <c r="J198" s="558">
        <v>0</v>
      </c>
      <c r="K198" s="533">
        <v>0</v>
      </c>
      <c r="N198" s="561"/>
    </row>
    <row r="199" spans="1:14" s="552" customFormat="1" ht="18" customHeight="1">
      <c r="A199" s="551" t="s">
        <v>1408</v>
      </c>
      <c r="G199" s="533">
        <v>429.9</v>
      </c>
      <c r="H199" s="558">
        <v>0</v>
      </c>
      <c r="I199" s="533">
        <v>0</v>
      </c>
      <c r="J199" s="558">
        <v>0</v>
      </c>
      <c r="K199" s="533">
        <v>0</v>
      </c>
      <c r="N199" s="561"/>
    </row>
    <row r="200" spans="1:14" s="552" customFormat="1" ht="18" customHeight="1">
      <c r="A200" s="551" t="s">
        <v>375</v>
      </c>
      <c r="G200" s="533">
        <f>376706.58+605.31+81800+3050+10300</f>
        <v>472461.89</v>
      </c>
      <c r="H200" s="558">
        <v>0</v>
      </c>
      <c r="I200" s="533">
        <f>3311+800+150</f>
        <v>4261</v>
      </c>
      <c r="J200" s="558">
        <v>0</v>
      </c>
      <c r="K200" s="559">
        <v>5000</v>
      </c>
      <c r="N200" s="561"/>
    </row>
    <row r="201" spans="1:14" s="552" customFormat="1" ht="18" customHeight="1">
      <c r="A201" s="551" t="s">
        <v>376</v>
      </c>
      <c r="G201" s="533">
        <v>5893.19</v>
      </c>
      <c r="H201" s="558">
        <v>0</v>
      </c>
      <c r="I201" s="533">
        <v>0</v>
      </c>
      <c r="J201" s="558">
        <v>0</v>
      </c>
      <c r="K201" s="533">
        <v>0</v>
      </c>
      <c r="N201" s="561"/>
    </row>
    <row r="202" spans="1:14" s="552" customFormat="1" ht="18" customHeight="1">
      <c r="A202" s="551" t="s">
        <v>377</v>
      </c>
      <c r="G202" s="533">
        <v>94696.95</v>
      </c>
      <c r="H202" s="558">
        <v>0</v>
      </c>
      <c r="I202" s="533">
        <v>0</v>
      </c>
      <c r="J202" s="558">
        <v>0</v>
      </c>
      <c r="K202" s="533">
        <v>0</v>
      </c>
      <c r="N202" s="561"/>
    </row>
    <row r="203" spans="1:14" s="552" customFormat="1" ht="18" customHeight="1">
      <c r="A203" s="551" t="s">
        <v>1406</v>
      </c>
      <c r="G203" s="533">
        <v>1267</v>
      </c>
      <c r="H203" s="558">
        <v>0</v>
      </c>
      <c r="I203" s="533">
        <v>0</v>
      </c>
      <c r="J203" s="558">
        <v>0</v>
      </c>
      <c r="K203" s="533">
        <v>0</v>
      </c>
      <c r="N203" s="561"/>
    </row>
    <row r="204" spans="1:14" s="552" customFormat="1" ht="18" customHeight="1">
      <c r="A204" s="551" t="s">
        <v>378</v>
      </c>
      <c r="G204" s="533">
        <v>14542.28</v>
      </c>
      <c r="H204" s="558">
        <v>0</v>
      </c>
      <c r="I204" s="533">
        <v>0</v>
      </c>
      <c r="J204" s="558">
        <v>0</v>
      </c>
      <c r="K204" s="533">
        <v>0</v>
      </c>
      <c r="N204" s="561"/>
    </row>
    <row r="205" spans="1:14" s="552" customFormat="1" ht="18" customHeight="1">
      <c r="A205" s="551" t="s">
        <v>1407</v>
      </c>
      <c r="G205" s="533">
        <v>20500</v>
      </c>
      <c r="H205" s="558">
        <v>0</v>
      </c>
      <c r="I205" s="533">
        <v>0</v>
      </c>
      <c r="J205" s="558">
        <v>0</v>
      </c>
      <c r="K205" s="533">
        <v>0</v>
      </c>
      <c r="N205" s="561"/>
    </row>
    <row r="206" spans="1:14" s="552" customFormat="1" ht="18" customHeight="1">
      <c r="A206" s="551" t="s">
        <v>379</v>
      </c>
      <c r="G206" s="533">
        <v>0</v>
      </c>
      <c r="H206" s="558">
        <v>0</v>
      </c>
      <c r="I206" s="533">
        <v>0</v>
      </c>
      <c r="J206" s="558">
        <v>0</v>
      </c>
      <c r="K206" s="533">
        <v>0</v>
      </c>
      <c r="N206" s="561"/>
    </row>
    <row r="207" spans="1:14" s="552" customFormat="1" ht="18" customHeight="1">
      <c r="A207" s="551" t="s">
        <v>380</v>
      </c>
      <c r="G207" s="533">
        <v>50</v>
      </c>
      <c r="H207" s="558">
        <v>0</v>
      </c>
      <c r="I207" s="533">
        <v>0</v>
      </c>
      <c r="J207" s="558">
        <v>0</v>
      </c>
      <c r="K207" s="533">
        <v>0</v>
      </c>
      <c r="N207" s="561"/>
    </row>
    <row r="208" spans="1:14" s="552" customFormat="1" ht="18" customHeight="1">
      <c r="A208" s="551" t="s">
        <v>381</v>
      </c>
      <c r="G208" s="533">
        <f>7+110586.74+900</f>
        <v>111493.74</v>
      </c>
      <c r="H208" s="558">
        <v>0</v>
      </c>
      <c r="I208" s="533">
        <f>15752+13993+277215+35+212</f>
        <v>307207</v>
      </c>
      <c r="J208" s="558">
        <v>0</v>
      </c>
      <c r="K208" s="533">
        <v>0</v>
      </c>
      <c r="N208" s="561"/>
    </row>
    <row r="209" spans="1:14" s="552" customFormat="1" ht="18" customHeight="1">
      <c r="A209" s="551" t="s">
        <v>384</v>
      </c>
      <c r="G209" s="533">
        <v>0</v>
      </c>
      <c r="H209" s="558">
        <v>0</v>
      </c>
      <c r="I209" s="533">
        <v>0</v>
      </c>
      <c r="J209" s="558">
        <v>0</v>
      </c>
      <c r="K209" s="533">
        <v>0</v>
      </c>
      <c r="N209" s="561"/>
    </row>
    <row r="210" spans="1:14" s="552" customFormat="1" ht="18" customHeight="1">
      <c r="A210" s="551" t="s">
        <v>385</v>
      </c>
      <c r="G210" s="533">
        <v>1325</v>
      </c>
      <c r="H210" s="558">
        <v>0</v>
      </c>
      <c r="I210" s="533">
        <v>0</v>
      </c>
      <c r="J210" s="558">
        <v>0</v>
      </c>
      <c r="K210" s="533">
        <v>0</v>
      </c>
      <c r="N210" s="561"/>
    </row>
    <row r="211" spans="1:14" s="552" customFormat="1" ht="18" customHeight="1">
      <c r="A211" s="551" t="s">
        <v>386</v>
      </c>
      <c r="G211" s="533">
        <v>0</v>
      </c>
      <c r="H211" s="558">
        <v>0</v>
      </c>
      <c r="I211" s="533">
        <v>0</v>
      </c>
      <c r="J211" s="558">
        <v>0</v>
      </c>
      <c r="K211" s="533">
        <v>0</v>
      </c>
      <c r="N211" s="561"/>
    </row>
    <row r="212" spans="1:14" s="552" customFormat="1" ht="18" customHeight="1">
      <c r="A212" s="551" t="s">
        <v>1403</v>
      </c>
      <c r="G212" s="533">
        <v>3776</v>
      </c>
      <c r="H212" s="558">
        <v>0</v>
      </c>
      <c r="I212" s="533">
        <v>0</v>
      </c>
      <c r="J212" s="558">
        <v>0</v>
      </c>
      <c r="K212" s="533">
        <v>0</v>
      </c>
      <c r="N212" s="561"/>
    </row>
    <row r="213" spans="1:14" s="552" customFormat="1" ht="18" customHeight="1">
      <c r="A213" s="551" t="s">
        <v>1404</v>
      </c>
      <c r="G213" s="533">
        <v>63734</v>
      </c>
      <c r="H213" s="558">
        <v>0</v>
      </c>
      <c r="I213" s="533">
        <v>0</v>
      </c>
      <c r="J213" s="558">
        <v>0</v>
      </c>
      <c r="K213" s="533">
        <v>0</v>
      </c>
      <c r="N213" s="561"/>
    </row>
    <row r="214" spans="1:14" s="552" customFormat="1" ht="18" customHeight="1">
      <c r="A214" s="551" t="s">
        <v>1405</v>
      </c>
      <c r="G214" s="533">
        <v>35714</v>
      </c>
      <c r="H214" s="558">
        <v>0</v>
      </c>
      <c r="I214" s="533">
        <v>0</v>
      </c>
      <c r="J214" s="558">
        <v>0</v>
      </c>
      <c r="K214" s="533">
        <v>0</v>
      </c>
      <c r="N214" s="561"/>
    </row>
    <row r="215" spans="1:14" s="552" customFormat="1" ht="18" customHeight="1">
      <c r="A215" s="551" t="s">
        <v>387</v>
      </c>
      <c r="G215" s="533">
        <v>0</v>
      </c>
      <c r="H215" s="558">
        <v>0</v>
      </c>
      <c r="I215" s="533">
        <v>0</v>
      </c>
      <c r="J215" s="558">
        <v>0</v>
      </c>
      <c r="K215" s="533">
        <v>0</v>
      </c>
      <c r="N215" s="561"/>
    </row>
    <row r="216" spans="1:14" s="552" customFormat="1" ht="18" customHeight="1">
      <c r="A216" s="551" t="s">
        <v>388</v>
      </c>
      <c r="G216" s="533">
        <v>2700</v>
      </c>
      <c r="H216" s="558">
        <v>0</v>
      </c>
      <c r="I216" s="533">
        <f>4450</f>
        <v>4450</v>
      </c>
      <c r="J216" s="558">
        <v>0</v>
      </c>
      <c r="K216" s="533">
        <v>0</v>
      </c>
      <c r="N216" s="561"/>
    </row>
    <row r="217" spans="1:14" s="552" customFormat="1" ht="18" customHeight="1">
      <c r="A217" s="551" t="s">
        <v>391</v>
      </c>
      <c r="G217" s="533">
        <v>159535.12</v>
      </c>
      <c r="H217" s="558">
        <v>0</v>
      </c>
      <c r="I217" s="533">
        <v>0</v>
      </c>
      <c r="J217" s="558">
        <v>0</v>
      </c>
      <c r="K217" s="533">
        <v>25000</v>
      </c>
      <c r="N217" s="561"/>
    </row>
    <row r="218" spans="1:14" s="552" customFormat="1" ht="18" customHeight="1">
      <c r="A218" s="551" t="s">
        <v>389</v>
      </c>
      <c r="G218" s="533">
        <v>0</v>
      </c>
      <c r="H218" s="558">
        <v>0</v>
      </c>
      <c r="I218" s="533">
        <v>0</v>
      </c>
      <c r="J218" s="558">
        <v>0</v>
      </c>
      <c r="K218" s="533">
        <v>804</v>
      </c>
      <c r="N218" s="561"/>
    </row>
    <row r="219" spans="1:14" ht="18" customHeight="1" thickBot="1">
      <c r="A219" s="556" t="s">
        <v>9</v>
      </c>
      <c r="G219" s="51">
        <f>SUM(G187:G218)</f>
        <v>1674740.4099999997</v>
      </c>
      <c r="I219" s="51">
        <f>SUM(I187:I218)</f>
        <v>1018847</v>
      </c>
      <c r="K219" s="51">
        <f>SUM(K187:K218)</f>
        <v>96177</v>
      </c>
    </row>
    <row r="220" spans="1:14" ht="15.75" thickTop="1"/>
    <row r="223" spans="1:14">
      <c r="G223" s="547">
        <f>1618434.41+56306</f>
        <v>1674740.41</v>
      </c>
    </row>
    <row r="224" spans="1:14">
      <c r="G224" s="92"/>
      <c r="I224" s="92"/>
    </row>
    <row r="225" spans="7:7">
      <c r="G225" s="547">
        <f>G219-G223</f>
        <v>0</v>
      </c>
    </row>
  </sheetData>
  <mergeCells count="1">
    <mergeCell ref="A88:L89"/>
  </mergeCells>
  <printOptions horizontalCentered="1"/>
  <pageMargins left="0" right="0.19685039370078741" top="0.55118110236220474" bottom="0.74803149606299213" header="0.31496062992125984" footer="0.31496062992125984"/>
  <pageSetup paperSize="9" scale="87" orientation="portrait" r:id="rId1"/>
  <headerFooter>
    <oddFooter>&amp;C&amp;"-,Bold"&amp;14&amp;P</oddFooter>
  </headerFooter>
  <rowBreaks count="4" manualBreakCount="4">
    <brk id="39" max="16383" man="1"/>
    <brk id="74" max="16383" man="1"/>
    <brk id="116" max="10" man="1"/>
    <brk id="162" max="10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5" filterMode="1"/>
  <dimension ref="A1:R38"/>
  <sheetViews>
    <sheetView rightToLeft="1" view="pageBreakPreview" zoomScaleNormal="100" zoomScaleSheetLayoutView="100" workbookViewId="0">
      <pane ySplit="5" topLeftCell="A27" activePane="bottomLeft" state="frozen"/>
      <selection activeCell="C61" sqref="C61"/>
      <selection pane="bottomLeft" activeCell="G37" sqref="G37:H37"/>
    </sheetView>
  </sheetViews>
  <sheetFormatPr defaultRowHeight="20.25"/>
  <cols>
    <col min="1" max="1" width="36.42578125" style="117" customWidth="1"/>
    <col min="2" max="2" width="8.5703125" style="165" customWidth="1"/>
    <col min="3" max="6" width="18.140625" style="4" customWidth="1"/>
    <col min="7" max="8" width="18.140625" style="174" customWidth="1"/>
    <col min="9" max="9" width="16.5703125" style="117" hidden="1" customWidth="1"/>
    <col min="10" max="10" width="20.28515625" style="117" hidden="1" customWidth="1"/>
    <col min="11" max="12" width="9.140625" style="1"/>
    <col min="13" max="13" width="17.7109375" style="1" bestFit="1" customWidth="1"/>
    <col min="14" max="17" width="9.140625" style="1"/>
    <col min="18" max="18" width="31.5703125" style="1" customWidth="1"/>
    <col min="19" max="16384" width="9.140625" style="1"/>
  </cols>
  <sheetData>
    <row r="1" spans="1:11" ht="31.5" customHeight="1">
      <c r="A1" s="670" t="s">
        <v>12</v>
      </c>
      <c r="B1" s="670"/>
      <c r="C1" s="670"/>
      <c r="D1" s="670"/>
      <c r="E1" s="670"/>
      <c r="F1" s="670"/>
      <c r="G1" s="670"/>
      <c r="H1" s="670"/>
      <c r="I1" s="114"/>
      <c r="J1" s="114"/>
    </row>
    <row r="2" spans="1:11" ht="31.5" customHeight="1">
      <c r="A2" s="670"/>
      <c r="B2" s="670"/>
      <c r="C2" s="670"/>
      <c r="D2" s="670"/>
      <c r="E2" s="670"/>
      <c r="F2" s="670"/>
      <c r="G2" s="670"/>
      <c r="H2" s="670"/>
      <c r="I2" s="115"/>
      <c r="J2" s="115"/>
    </row>
    <row r="3" spans="1:11" ht="35.25" customHeight="1" thickBot="1">
      <c r="A3" s="673" t="s">
        <v>395</v>
      </c>
      <c r="B3" s="673"/>
      <c r="C3" s="673"/>
      <c r="D3" s="673"/>
      <c r="E3" s="673"/>
      <c r="F3" s="673"/>
      <c r="G3" s="673"/>
      <c r="H3" s="673"/>
      <c r="I3" s="116"/>
      <c r="J3" s="116"/>
    </row>
    <row r="4" spans="1:11" s="2" customFormat="1" ht="39.75" customHeight="1" thickTop="1">
      <c r="A4" s="678" t="s">
        <v>1</v>
      </c>
      <c r="B4" s="167"/>
      <c r="C4" s="676" t="s">
        <v>0</v>
      </c>
      <c r="D4" s="680"/>
      <c r="E4" s="674" t="s">
        <v>336</v>
      </c>
      <c r="F4" s="675"/>
      <c r="G4" s="676" t="s">
        <v>335</v>
      </c>
      <c r="H4" s="677"/>
      <c r="I4" s="35"/>
      <c r="J4" s="35"/>
    </row>
    <row r="5" spans="1:11" s="2" customFormat="1" ht="30.75" customHeight="1" thickBot="1">
      <c r="A5" s="679"/>
      <c r="B5" s="168"/>
      <c r="C5" s="171" t="s">
        <v>2</v>
      </c>
      <c r="D5" s="175" t="s">
        <v>3</v>
      </c>
      <c r="E5" s="127" t="s">
        <v>4</v>
      </c>
      <c r="F5" s="128" t="s">
        <v>3</v>
      </c>
      <c r="G5" s="171" t="s">
        <v>4</v>
      </c>
      <c r="H5" s="172" t="s">
        <v>3</v>
      </c>
      <c r="I5" s="34"/>
      <c r="J5" s="34"/>
    </row>
    <row r="6" spans="1:11" s="37" customFormat="1" ht="34.5" customHeight="1" thickTop="1">
      <c r="A6" s="123" t="s">
        <v>5</v>
      </c>
      <c r="B6" s="169" t="s">
        <v>22</v>
      </c>
      <c r="C6" s="181">
        <v>139613</v>
      </c>
      <c r="D6" s="182">
        <v>0</v>
      </c>
      <c r="E6" s="125">
        <f>3684783+103561</f>
        <v>3788344</v>
      </c>
      <c r="F6" s="126">
        <v>3395923</v>
      </c>
      <c r="G6" s="125">
        <f>IF(C6+E6&gt;D6+F6,(C6+E6)-(D6+F6),0)</f>
        <v>532034</v>
      </c>
      <c r="H6" s="126">
        <f>IF(D6+F6&gt;C6+E6,(D6+F6)-(C6+E6),0)</f>
        <v>0</v>
      </c>
      <c r="I6" s="36" t="s">
        <v>234</v>
      </c>
      <c r="J6" s="36" t="s">
        <v>237</v>
      </c>
      <c r="K6" s="37" t="s">
        <v>457</v>
      </c>
    </row>
    <row r="7" spans="1:11" s="37" customFormat="1" ht="34.5" customHeight="1">
      <c r="A7" s="123" t="s">
        <v>6</v>
      </c>
      <c r="B7" s="169" t="s">
        <v>22</v>
      </c>
      <c r="C7" s="183">
        <v>31767</v>
      </c>
      <c r="D7" s="184">
        <v>0</v>
      </c>
      <c r="E7" s="120">
        <v>1436602</v>
      </c>
      <c r="F7" s="121">
        <v>1453397</v>
      </c>
      <c r="G7" s="120">
        <f>IF(C7+E7&gt;D7+F7,(C7+E7)-(D7+F7),0)</f>
        <v>14972</v>
      </c>
      <c r="H7" s="121">
        <f t="shared" ref="H7:H34" si="0">IF(D7+F7&gt;C7+E7,(D7+F7)-(C7+E7),0)</f>
        <v>0</v>
      </c>
      <c r="I7" s="36" t="s">
        <v>234</v>
      </c>
      <c r="J7" s="36" t="s">
        <v>237</v>
      </c>
      <c r="K7" s="37" t="s">
        <v>457</v>
      </c>
    </row>
    <row r="8" spans="1:11" s="37" customFormat="1" ht="34.5" customHeight="1">
      <c r="A8" s="123" t="s">
        <v>462</v>
      </c>
      <c r="B8" s="169" t="s">
        <v>22</v>
      </c>
      <c r="C8" s="183">
        <v>405916</v>
      </c>
      <c r="D8" s="184">
        <v>0</v>
      </c>
      <c r="E8" s="120">
        <f>229101</f>
        <v>229101</v>
      </c>
      <c r="F8" s="121">
        <v>445164</v>
      </c>
      <c r="G8" s="120">
        <f t="shared" ref="G8:G34" si="1">IF(C8+E8&gt;D8+F8,(C8+E8)-(D8+F8),0)</f>
        <v>189853</v>
      </c>
      <c r="H8" s="121">
        <f t="shared" si="0"/>
        <v>0</v>
      </c>
      <c r="I8" s="36" t="s">
        <v>234</v>
      </c>
      <c r="J8" s="36" t="s">
        <v>238</v>
      </c>
      <c r="K8" s="37" t="s">
        <v>457</v>
      </c>
    </row>
    <row r="9" spans="1:11" s="37" customFormat="1" ht="34.5" customHeight="1">
      <c r="A9" s="123" t="s">
        <v>463</v>
      </c>
      <c r="B9" s="169" t="s">
        <v>22</v>
      </c>
      <c r="C9" s="183">
        <v>110000</v>
      </c>
      <c r="D9" s="184">
        <v>0</v>
      </c>
      <c r="E9" s="120">
        <v>160000</v>
      </c>
      <c r="F9" s="121">
        <v>50000</v>
      </c>
      <c r="G9" s="120">
        <f t="shared" si="1"/>
        <v>220000</v>
      </c>
      <c r="H9" s="121">
        <f t="shared" si="0"/>
        <v>0</v>
      </c>
      <c r="I9" s="36" t="s">
        <v>234</v>
      </c>
      <c r="J9" s="36" t="s">
        <v>238</v>
      </c>
      <c r="K9" s="37" t="s">
        <v>457</v>
      </c>
    </row>
    <row r="10" spans="1:11" s="37" customFormat="1" ht="34.5" customHeight="1">
      <c r="A10" s="123" t="s">
        <v>14</v>
      </c>
      <c r="B10" s="169" t="s">
        <v>22</v>
      </c>
      <c r="C10" s="183">
        <v>291188</v>
      </c>
      <c r="D10" s="184">
        <v>0</v>
      </c>
      <c r="E10" s="120">
        <f>3563185+8345</f>
        <v>3571530</v>
      </c>
      <c r="F10" s="121">
        <f>3723433.85+34751</f>
        <v>3758184.85</v>
      </c>
      <c r="G10" s="120">
        <f t="shared" si="1"/>
        <v>104533.14999999991</v>
      </c>
      <c r="H10" s="121">
        <f t="shared" si="0"/>
        <v>0</v>
      </c>
      <c r="I10" s="36" t="s">
        <v>234</v>
      </c>
      <c r="J10" s="36" t="s">
        <v>236</v>
      </c>
      <c r="K10" s="37" t="s">
        <v>457</v>
      </c>
    </row>
    <row r="11" spans="1:11" s="37" customFormat="1" ht="34.5" customHeight="1">
      <c r="A11" s="123" t="s">
        <v>223</v>
      </c>
      <c r="B11" s="169" t="s">
        <v>22</v>
      </c>
      <c r="C11" s="183">
        <v>0</v>
      </c>
      <c r="D11" s="184">
        <v>0</v>
      </c>
      <c r="E11" s="120">
        <f>1347724+11948</f>
        <v>1359672</v>
      </c>
      <c r="F11" s="121">
        <v>1236157</v>
      </c>
      <c r="G11" s="120">
        <f t="shared" si="1"/>
        <v>123515</v>
      </c>
      <c r="H11" s="121">
        <f t="shared" si="0"/>
        <v>0</v>
      </c>
      <c r="I11" s="36" t="s">
        <v>234</v>
      </c>
      <c r="J11" s="36" t="s">
        <v>236</v>
      </c>
      <c r="K11" s="37" t="s">
        <v>457</v>
      </c>
    </row>
    <row r="12" spans="1:11" s="165" customFormat="1" ht="34.5" customHeight="1">
      <c r="A12" s="123" t="s">
        <v>464</v>
      </c>
      <c r="B12" s="169" t="s">
        <v>22</v>
      </c>
      <c r="C12" s="183">
        <v>0</v>
      </c>
      <c r="D12" s="184">
        <v>0</v>
      </c>
      <c r="E12" s="120">
        <v>41667</v>
      </c>
      <c r="F12" s="121">
        <v>0</v>
      </c>
      <c r="G12" s="120">
        <f t="shared" si="1"/>
        <v>41667</v>
      </c>
      <c r="H12" s="121">
        <f t="shared" si="0"/>
        <v>0</v>
      </c>
      <c r="I12" s="36"/>
      <c r="J12" s="36"/>
      <c r="K12" s="165" t="s">
        <v>457</v>
      </c>
    </row>
    <row r="13" spans="1:11" s="37" customFormat="1" ht="34.5" customHeight="1">
      <c r="A13" s="123" t="s">
        <v>459</v>
      </c>
      <c r="B13" s="169" t="s">
        <v>22</v>
      </c>
      <c r="C13" s="183">
        <v>0</v>
      </c>
      <c r="D13" s="184">
        <v>0</v>
      </c>
      <c r="E13" s="120">
        <f>381750</f>
        <v>381750</v>
      </c>
      <c r="F13" s="121">
        <f>235350</f>
        <v>235350</v>
      </c>
      <c r="G13" s="120">
        <f t="shared" si="1"/>
        <v>146400</v>
      </c>
      <c r="H13" s="121">
        <f t="shared" si="0"/>
        <v>0</v>
      </c>
      <c r="I13" s="36" t="s">
        <v>234</v>
      </c>
      <c r="J13" s="36" t="s">
        <v>236</v>
      </c>
      <c r="K13" s="37" t="s">
        <v>457</v>
      </c>
    </row>
    <row r="14" spans="1:11" s="37" customFormat="1" ht="34.5" customHeight="1">
      <c r="A14" s="123" t="s">
        <v>460</v>
      </c>
      <c r="B14" s="169" t="s">
        <v>22</v>
      </c>
      <c r="C14" s="183">
        <v>22600</v>
      </c>
      <c r="D14" s="184">
        <v>0</v>
      </c>
      <c r="E14" s="120">
        <f>25200+333849</f>
        <v>359049</v>
      </c>
      <c r="F14" s="121">
        <f>39400+284820</f>
        <v>324220</v>
      </c>
      <c r="G14" s="120">
        <f t="shared" si="1"/>
        <v>57429</v>
      </c>
      <c r="H14" s="121">
        <f t="shared" si="0"/>
        <v>0</v>
      </c>
      <c r="I14" s="36" t="s">
        <v>234</v>
      </c>
      <c r="J14" s="36" t="s">
        <v>236</v>
      </c>
      <c r="K14" s="37" t="s">
        <v>457</v>
      </c>
    </row>
    <row r="15" spans="1:11" s="166" customFormat="1" ht="34.5" customHeight="1">
      <c r="A15" s="123" t="s">
        <v>461</v>
      </c>
      <c r="B15" s="169" t="s">
        <v>22</v>
      </c>
      <c r="C15" s="183">
        <v>0</v>
      </c>
      <c r="D15" s="184">
        <v>0</v>
      </c>
      <c r="E15" s="120">
        <v>69240</v>
      </c>
      <c r="F15" s="121">
        <v>0</v>
      </c>
      <c r="G15" s="120">
        <f t="shared" si="1"/>
        <v>69240</v>
      </c>
      <c r="H15" s="121">
        <f t="shared" si="0"/>
        <v>0</v>
      </c>
      <c r="I15" s="36"/>
      <c r="J15" s="36"/>
    </row>
    <row r="16" spans="1:11" s="37" customFormat="1" ht="34.5" customHeight="1">
      <c r="A16" s="123" t="s">
        <v>15</v>
      </c>
      <c r="B16" s="169" t="s">
        <v>22</v>
      </c>
      <c r="C16" s="183">
        <v>5849506</v>
      </c>
      <c r="D16" s="184">
        <v>0</v>
      </c>
      <c r="E16" s="120">
        <v>6747757</v>
      </c>
      <c r="F16" s="121">
        <v>1092719</v>
      </c>
      <c r="G16" s="120">
        <f t="shared" si="1"/>
        <v>11504544</v>
      </c>
      <c r="H16" s="121">
        <f t="shared" si="0"/>
        <v>0</v>
      </c>
      <c r="I16" s="36" t="s">
        <v>240</v>
      </c>
      <c r="J16" s="36" t="s">
        <v>239</v>
      </c>
      <c r="K16" s="37" t="s">
        <v>457</v>
      </c>
    </row>
    <row r="17" spans="1:18" s="37" customFormat="1" ht="34.5" hidden="1" customHeight="1">
      <c r="A17" s="123" t="s">
        <v>228</v>
      </c>
      <c r="B17" s="169" t="s">
        <v>233</v>
      </c>
      <c r="C17" s="183">
        <v>0</v>
      </c>
      <c r="D17" s="184">
        <v>0</v>
      </c>
      <c r="E17" s="120">
        <v>786482</v>
      </c>
      <c r="F17" s="121">
        <v>0</v>
      </c>
      <c r="G17" s="120">
        <f t="shared" si="1"/>
        <v>786482</v>
      </c>
      <c r="H17" s="121">
        <f t="shared" si="0"/>
        <v>0</v>
      </c>
      <c r="I17" s="36"/>
      <c r="J17" s="36" t="s">
        <v>242</v>
      </c>
      <c r="K17" s="37" t="s">
        <v>457</v>
      </c>
    </row>
    <row r="18" spans="1:18" s="37" customFormat="1" ht="34.5" hidden="1" customHeight="1">
      <c r="A18" s="123" t="s">
        <v>290</v>
      </c>
      <c r="B18" s="169" t="s">
        <v>233</v>
      </c>
      <c r="C18" s="183">
        <v>0</v>
      </c>
      <c r="D18" s="184">
        <v>0</v>
      </c>
      <c r="E18" s="120">
        <v>60801</v>
      </c>
      <c r="F18" s="121">
        <v>0</v>
      </c>
      <c r="G18" s="120">
        <f t="shared" si="1"/>
        <v>60801</v>
      </c>
      <c r="H18" s="121">
        <f t="shared" si="0"/>
        <v>0</v>
      </c>
      <c r="I18" s="36"/>
      <c r="J18" s="36"/>
    </row>
    <row r="19" spans="1:18" s="37" customFormat="1" ht="34.5" customHeight="1">
      <c r="A19" s="123" t="s">
        <v>16</v>
      </c>
      <c r="B19" s="169" t="s">
        <v>22</v>
      </c>
      <c r="C19" s="183">
        <v>0</v>
      </c>
      <c r="D19" s="184">
        <v>3668041</v>
      </c>
      <c r="E19" s="120">
        <v>898464</v>
      </c>
      <c r="F19" s="121">
        <v>786482</v>
      </c>
      <c r="G19" s="120">
        <f t="shared" si="1"/>
        <v>0</v>
      </c>
      <c r="H19" s="121">
        <f t="shared" si="0"/>
        <v>3556059</v>
      </c>
      <c r="I19" s="36"/>
      <c r="J19" s="36" t="s">
        <v>245</v>
      </c>
      <c r="K19" s="37" t="s">
        <v>457</v>
      </c>
    </row>
    <row r="20" spans="1:18" s="37" customFormat="1" ht="34.5" hidden="1" customHeight="1">
      <c r="A20" s="123" t="s">
        <v>226</v>
      </c>
      <c r="B20" s="169" t="s">
        <v>233</v>
      </c>
      <c r="C20" s="183">
        <v>0</v>
      </c>
      <c r="D20" s="184">
        <v>0</v>
      </c>
      <c r="E20" s="120">
        <f>4660082.56-786482</f>
        <v>3873600.5599999996</v>
      </c>
      <c r="F20" s="121">
        <v>55577.31</v>
      </c>
      <c r="G20" s="120">
        <f t="shared" si="1"/>
        <v>3818023.2499999995</v>
      </c>
      <c r="H20" s="121">
        <f t="shared" si="0"/>
        <v>0</v>
      </c>
      <c r="I20" s="36"/>
      <c r="J20" s="36" t="s">
        <v>242</v>
      </c>
    </row>
    <row r="21" spans="1:18" s="37" customFormat="1" ht="34.5" hidden="1" customHeight="1">
      <c r="A21" s="123" t="s">
        <v>227</v>
      </c>
      <c r="B21" s="169" t="s">
        <v>233</v>
      </c>
      <c r="C21" s="183">
        <v>0</v>
      </c>
      <c r="D21" s="184">
        <v>0</v>
      </c>
      <c r="E21" s="120">
        <f>732121.6+44261</f>
        <v>776382.6</v>
      </c>
      <c r="F21" s="121">
        <v>0</v>
      </c>
      <c r="G21" s="120">
        <f t="shared" si="1"/>
        <v>776382.6</v>
      </c>
      <c r="H21" s="121">
        <f t="shared" si="0"/>
        <v>0</v>
      </c>
      <c r="I21" s="36"/>
      <c r="J21" s="36" t="s">
        <v>242</v>
      </c>
    </row>
    <row r="22" spans="1:18" s="165" customFormat="1" ht="34.5" customHeight="1">
      <c r="A22" s="123" t="s">
        <v>458</v>
      </c>
      <c r="B22" s="169" t="s">
        <v>22</v>
      </c>
      <c r="C22" s="183">
        <v>0</v>
      </c>
      <c r="D22" s="184">
        <v>0</v>
      </c>
      <c r="E22" s="120">
        <v>242464</v>
      </c>
      <c r="F22" s="121">
        <v>0</v>
      </c>
      <c r="G22" s="120">
        <f t="shared" si="1"/>
        <v>242464</v>
      </c>
      <c r="H22" s="121">
        <f t="shared" si="0"/>
        <v>0</v>
      </c>
      <c r="I22" s="36"/>
      <c r="J22" s="36"/>
      <c r="N22" s="121">
        <f>G16-H19</f>
        <v>7948485</v>
      </c>
    </row>
    <row r="23" spans="1:18" s="37" customFormat="1" ht="34.5" hidden="1" customHeight="1">
      <c r="A23" s="123" t="s">
        <v>225</v>
      </c>
      <c r="B23" s="169" t="s">
        <v>233</v>
      </c>
      <c r="C23" s="183">
        <v>0</v>
      </c>
      <c r="D23" s="184">
        <v>0</v>
      </c>
      <c r="E23" s="120">
        <v>0</v>
      </c>
      <c r="F23" s="121">
        <v>7702253</v>
      </c>
      <c r="G23" s="120">
        <f t="shared" si="1"/>
        <v>0</v>
      </c>
      <c r="H23" s="121">
        <f>IF(D23+F23&gt;C23+E23,(D23+F23)-(C23+E23),0)</f>
        <v>7702253</v>
      </c>
      <c r="I23" s="36"/>
      <c r="J23" s="36" t="s">
        <v>243</v>
      </c>
      <c r="K23" s="37" t="s">
        <v>457</v>
      </c>
      <c r="O23" s="122"/>
    </row>
    <row r="24" spans="1:18" s="37" customFormat="1" ht="34.5" customHeight="1">
      <c r="A24" s="123" t="s">
        <v>17</v>
      </c>
      <c r="B24" s="169" t="s">
        <v>22</v>
      </c>
      <c r="C24" s="183">
        <v>0</v>
      </c>
      <c r="D24" s="184">
        <v>29074</v>
      </c>
      <c r="E24" s="120">
        <v>29074</v>
      </c>
      <c r="F24" s="121">
        <v>0</v>
      </c>
      <c r="G24" s="120">
        <f t="shared" si="1"/>
        <v>0</v>
      </c>
      <c r="H24" s="121">
        <f t="shared" si="0"/>
        <v>0</v>
      </c>
      <c r="I24" s="36" t="s">
        <v>235</v>
      </c>
      <c r="J24" s="36" t="s">
        <v>244</v>
      </c>
    </row>
    <row r="25" spans="1:18" ht="34.5" customHeight="1">
      <c r="A25" s="123" t="s">
        <v>466</v>
      </c>
      <c r="B25" s="169" t="s">
        <v>22</v>
      </c>
      <c r="C25" s="183">
        <v>0</v>
      </c>
      <c r="D25" s="184">
        <v>3349</v>
      </c>
      <c r="E25" s="120">
        <v>0</v>
      </c>
      <c r="F25" s="121">
        <v>20293</v>
      </c>
      <c r="G25" s="120">
        <f t="shared" si="1"/>
        <v>0</v>
      </c>
      <c r="H25" s="121">
        <f t="shared" si="0"/>
        <v>23642</v>
      </c>
      <c r="I25" s="36" t="s">
        <v>235</v>
      </c>
      <c r="J25" s="36" t="s">
        <v>246</v>
      </c>
      <c r="K25" s="1" t="s">
        <v>457</v>
      </c>
    </row>
    <row r="26" spans="1:18" s="37" customFormat="1" ht="34.5" customHeight="1">
      <c r="A26" s="123" t="s">
        <v>465</v>
      </c>
      <c r="B26" s="169" t="s">
        <v>22</v>
      </c>
      <c r="C26" s="183">
        <v>0</v>
      </c>
      <c r="D26" s="184">
        <v>0</v>
      </c>
      <c r="E26" s="120">
        <f>270000+917500+574069</f>
        <v>1761569</v>
      </c>
      <c r="F26" s="121">
        <f>537400+2225500+993380</f>
        <v>3756280</v>
      </c>
      <c r="G26" s="120">
        <f>IF(C26+E26&gt;D26+F26,(C26+E26)-(D26+F26),0)</f>
        <v>0</v>
      </c>
      <c r="H26" s="121">
        <f>IF(D26+F26&gt;C26+E26,(D26+F26)-(C26+E26),0)</f>
        <v>1994711</v>
      </c>
      <c r="I26" s="36" t="s">
        <v>235</v>
      </c>
      <c r="J26" s="36" t="s">
        <v>246</v>
      </c>
      <c r="K26" s="37" t="s">
        <v>457</v>
      </c>
    </row>
    <row r="27" spans="1:18" s="37" customFormat="1" ht="34.5" customHeight="1">
      <c r="A27" s="123" t="s">
        <v>467</v>
      </c>
      <c r="B27" s="169" t="s">
        <v>22</v>
      </c>
      <c r="C27" s="183">
        <v>0</v>
      </c>
      <c r="D27" s="184">
        <v>0</v>
      </c>
      <c r="E27" s="120"/>
      <c r="F27" s="121">
        <f>750000</f>
        <v>750000</v>
      </c>
      <c r="G27" s="120">
        <f>IF(C27+E27&gt;D27+F27,(C27+E27)-(D27+F27),0)</f>
        <v>0</v>
      </c>
      <c r="H27" s="121">
        <f>IF(D27+F27&gt;C27+E27,(D27+F27)-(C27+E27),0)</f>
        <v>750000</v>
      </c>
      <c r="I27" s="36" t="s">
        <v>235</v>
      </c>
      <c r="J27" s="36" t="s">
        <v>246</v>
      </c>
      <c r="K27" s="37" t="s">
        <v>457</v>
      </c>
    </row>
    <row r="28" spans="1:18" s="37" customFormat="1" ht="34.5" customHeight="1">
      <c r="A28" s="123" t="s">
        <v>19</v>
      </c>
      <c r="B28" s="169" t="s">
        <v>22</v>
      </c>
      <c r="C28" s="183">
        <v>0</v>
      </c>
      <c r="D28" s="184">
        <v>17206</v>
      </c>
      <c r="E28" s="120">
        <v>0</v>
      </c>
      <c r="F28" s="121">
        <v>60801</v>
      </c>
      <c r="G28" s="120">
        <f>IF(C28+E28&gt;D28+F28,(C28+E28)-(D28+F28),0)</f>
        <v>0</v>
      </c>
      <c r="H28" s="121">
        <f>IF(D28+F28&gt;C28+E28,(D28+F28)-(C28+E28),0)</f>
        <v>78007</v>
      </c>
      <c r="I28" s="36" t="s">
        <v>235</v>
      </c>
      <c r="J28" s="36" t="s">
        <v>245</v>
      </c>
      <c r="R28" s="103">
        <v>165587</v>
      </c>
    </row>
    <row r="29" spans="1:18" s="37" customFormat="1" ht="34.5" customHeight="1">
      <c r="A29" s="123" t="s">
        <v>8</v>
      </c>
      <c r="B29" s="169" t="s">
        <v>22</v>
      </c>
      <c r="C29" s="183">
        <v>0</v>
      </c>
      <c r="D29" s="184">
        <v>165587</v>
      </c>
      <c r="E29" s="120">
        <v>0</v>
      </c>
      <c r="F29" s="121">
        <v>41449</v>
      </c>
      <c r="G29" s="120">
        <f t="shared" si="1"/>
        <v>0</v>
      </c>
      <c r="H29" s="121">
        <f t="shared" si="0"/>
        <v>207036</v>
      </c>
      <c r="I29" s="36" t="s">
        <v>235</v>
      </c>
      <c r="J29" s="36" t="s">
        <v>245</v>
      </c>
      <c r="R29" s="103">
        <v>50000</v>
      </c>
    </row>
    <row r="30" spans="1:18" s="166" customFormat="1" ht="34.5" customHeight="1">
      <c r="A30" s="123" t="s">
        <v>469</v>
      </c>
      <c r="B30" s="169" t="s">
        <v>22</v>
      </c>
      <c r="C30" s="183">
        <v>0</v>
      </c>
      <c r="D30" s="184">
        <v>0</v>
      </c>
      <c r="E30" s="120">
        <v>0</v>
      </c>
      <c r="F30" s="121">
        <v>69240</v>
      </c>
      <c r="G30" s="120">
        <f t="shared" si="1"/>
        <v>0</v>
      </c>
      <c r="H30" s="121">
        <f t="shared" si="0"/>
        <v>69240</v>
      </c>
      <c r="I30" s="36"/>
      <c r="J30" s="36"/>
      <c r="R30" s="103"/>
    </row>
    <row r="31" spans="1:18" s="37" customFormat="1" ht="34.5" customHeight="1">
      <c r="A31" s="123" t="s">
        <v>468</v>
      </c>
      <c r="B31" s="169" t="s">
        <v>22</v>
      </c>
      <c r="C31" s="183">
        <v>0</v>
      </c>
      <c r="D31" s="184">
        <v>2133269</v>
      </c>
      <c r="E31" s="120">
        <f>2448534+43138</f>
        <v>2491672</v>
      </c>
      <c r="F31" s="121">
        <f>3532162+264000+35569</f>
        <v>3831731</v>
      </c>
      <c r="G31" s="120">
        <f t="shared" si="1"/>
        <v>0</v>
      </c>
      <c r="H31" s="121">
        <f>IF(D31+F31&gt;C31+E31,(D31+F31)-(C31+E31),0)</f>
        <v>3473328</v>
      </c>
      <c r="I31" s="36" t="s">
        <v>235</v>
      </c>
      <c r="J31" s="36" t="s">
        <v>246</v>
      </c>
      <c r="R31" s="103">
        <f>(R29+R28)-R32</f>
        <v>8551</v>
      </c>
    </row>
    <row r="32" spans="1:18" s="37" customFormat="1" ht="34.5" customHeight="1">
      <c r="A32" s="123" t="s">
        <v>20</v>
      </c>
      <c r="B32" s="169" t="s">
        <v>22</v>
      </c>
      <c r="C32" s="183">
        <v>0</v>
      </c>
      <c r="D32" s="184">
        <v>125000</v>
      </c>
      <c r="E32" s="120">
        <v>0</v>
      </c>
      <c r="F32" s="121">
        <f>475000+625000</f>
        <v>1100000</v>
      </c>
      <c r="G32" s="120">
        <f t="shared" si="1"/>
        <v>0</v>
      </c>
      <c r="H32" s="121">
        <f t="shared" si="0"/>
        <v>1225000</v>
      </c>
      <c r="I32" s="36"/>
      <c r="J32" s="36" t="s">
        <v>241</v>
      </c>
      <c r="R32" s="103">
        <v>207036</v>
      </c>
    </row>
    <row r="33" spans="1:13" s="37" customFormat="1" ht="34.5" customHeight="1">
      <c r="A33" s="123" t="s">
        <v>21</v>
      </c>
      <c r="B33" s="169" t="s">
        <v>22</v>
      </c>
      <c r="C33" s="183">
        <v>23791</v>
      </c>
      <c r="D33" s="184">
        <v>0</v>
      </c>
      <c r="E33" s="120">
        <v>0</v>
      </c>
      <c r="F33" s="121">
        <v>0</v>
      </c>
      <c r="G33" s="120">
        <f t="shared" si="1"/>
        <v>23791</v>
      </c>
      <c r="H33" s="121">
        <f t="shared" si="0"/>
        <v>0</v>
      </c>
      <c r="I33" s="36"/>
      <c r="J33" s="36" t="s">
        <v>241</v>
      </c>
    </row>
    <row r="34" spans="1:13" s="37" customFormat="1" ht="34.5" customHeight="1" thickBot="1">
      <c r="A34" s="123" t="s">
        <v>224</v>
      </c>
      <c r="B34" s="169" t="s">
        <v>22</v>
      </c>
      <c r="C34" s="183"/>
      <c r="D34" s="184">
        <v>732855</v>
      </c>
      <c r="E34" s="120">
        <f>475000+625000</f>
        <v>1100000</v>
      </c>
      <c r="F34" s="121">
        <v>0</v>
      </c>
      <c r="G34" s="120">
        <f t="shared" si="1"/>
        <v>367145</v>
      </c>
      <c r="H34" s="121">
        <f t="shared" si="0"/>
        <v>0</v>
      </c>
      <c r="I34" s="36"/>
      <c r="J34" s="36" t="s">
        <v>241</v>
      </c>
    </row>
    <row r="35" spans="1:13" s="37" customFormat="1" ht="30" customHeight="1" thickTop="1" thickBot="1">
      <c r="A35" s="67" t="s">
        <v>9</v>
      </c>
      <c r="B35" s="170"/>
      <c r="C35" s="64">
        <f>SUM(C6:C34)</f>
        <v>6874381</v>
      </c>
      <c r="D35" s="65">
        <f>SUM(D6:D34)</f>
        <v>6874381</v>
      </c>
      <c r="E35" s="64">
        <f t="shared" ref="E35:F35" si="2">SUBTOTAL(9,E6:E34)</f>
        <v>24667955</v>
      </c>
      <c r="F35" s="64">
        <f t="shared" si="2"/>
        <v>22407390.850000001</v>
      </c>
      <c r="G35" s="64">
        <f>SUBTOTAL(9,G6:G34)</f>
        <v>13637587.15</v>
      </c>
      <c r="H35" s="65">
        <f>SUBTOTAL(9,H6:H34)</f>
        <v>11377023</v>
      </c>
      <c r="I35" s="66"/>
      <c r="J35" s="66"/>
    </row>
    <row r="36" spans="1:13" ht="21" thickTop="1">
      <c r="C36" s="3"/>
      <c r="D36" s="3">
        <f>C35-D35</f>
        <v>0</v>
      </c>
      <c r="E36" s="3"/>
      <c r="F36" s="3">
        <f>E35-F35</f>
        <v>2260564.1499999985</v>
      </c>
      <c r="G36" s="173"/>
      <c r="H36" s="173">
        <f>G35-H35</f>
        <v>2260564.1500000004</v>
      </c>
      <c r="M36" s="173"/>
    </row>
    <row r="37" spans="1:13" ht="35.25" customHeight="1">
      <c r="A37" s="671" t="s">
        <v>394</v>
      </c>
      <c r="B37" s="671"/>
      <c r="C37" s="671"/>
      <c r="D37" s="671" t="s">
        <v>10</v>
      </c>
      <c r="E37" s="671"/>
      <c r="F37" s="124"/>
      <c r="G37" s="672" t="s">
        <v>11</v>
      </c>
      <c r="H37" s="672"/>
      <c r="I37" s="113"/>
      <c r="J37" s="113"/>
      <c r="M37" s="173"/>
    </row>
    <row r="38" spans="1:13">
      <c r="M38" s="173"/>
    </row>
  </sheetData>
  <autoFilter ref="A4:H37" xr:uid="{00000000-0009-0000-0000-000005000000}">
    <filterColumn colId="1">
      <filters>
        <filter val="م"/>
      </filters>
    </filterColumn>
    <filterColumn colId="2" showButton="0"/>
    <filterColumn colId="4" showButton="0"/>
    <filterColumn colId="6" showButton="0"/>
  </autoFilter>
  <mergeCells count="9">
    <mergeCell ref="A1:H2"/>
    <mergeCell ref="D37:E37"/>
    <mergeCell ref="G37:H37"/>
    <mergeCell ref="A37:C37"/>
    <mergeCell ref="A3:H3"/>
    <mergeCell ref="E4:F4"/>
    <mergeCell ref="G4:H4"/>
    <mergeCell ref="A4:A5"/>
    <mergeCell ref="C4:D4"/>
  </mergeCells>
  <printOptions horizontalCentered="1"/>
  <pageMargins left="0" right="0" top="0.39370078740157483" bottom="0" header="0" footer="0"/>
  <pageSetup scale="60" orientation="portrait" r:id="rId1"/>
  <colBreaks count="1" manualBreakCount="1">
    <brk id="10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5"/>
  <dimension ref="A1:I23"/>
  <sheetViews>
    <sheetView rightToLeft="1" view="pageBreakPreview" topLeftCell="A4" zoomScale="150" zoomScaleNormal="100" zoomScaleSheetLayoutView="150" workbookViewId="0">
      <selection activeCell="E8" sqref="E8"/>
    </sheetView>
  </sheetViews>
  <sheetFormatPr defaultRowHeight="15"/>
  <cols>
    <col min="1" max="1" width="33.5703125" style="40" bestFit="1" customWidth="1"/>
    <col min="2" max="2" width="0.85546875" customWidth="1"/>
    <col min="3" max="3" width="14.5703125" style="500" bestFit="1" customWidth="1"/>
    <col min="4" max="4" width="0.85546875" customWidth="1"/>
    <col min="5" max="5" width="14.5703125" style="500" bestFit="1" customWidth="1"/>
    <col min="6" max="6" width="0.85546875" style="500" customWidth="1"/>
    <col min="7" max="7" width="13.85546875" style="510" bestFit="1" customWidth="1"/>
    <col min="9" max="9" width="10" bestFit="1" customWidth="1"/>
  </cols>
  <sheetData>
    <row r="1" spans="1:9" ht="18.75">
      <c r="A1" s="687" t="s">
        <v>12</v>
      </c>
      <c r="B1" s="687"/>
      <c r="C1" s="687"/>
      <c r="D1" s="687"/>
      <c r="E1" s="687"/>
      <c r="F1" s="687"/>
      <c r="G1" s="687"/>
      <c r="H1" s="687"/>
    </row>
    <row r="2" spans="1:9" ht="18.75">
      <c r="A2" s="687" t="s">
        <v>247</v>
      </c>
      <c r="B2" s="687"/>
      <c r="C2" s="687"/>
      <c r="D2" s="687"/>
      <c r="E2" s="687"/>
      <c r="F2" s="687"/>
      <c r="G2" s="687"/>
      <c r="H2" s="687"/>
    </row>
    <row r="3" spans="1:9" ht="18.75">
      <c r="A3" s="687" t="s">
        <v>19</v>
      </c>
      <c r="B3" s="687"/>
      <c r="C3" s="687"/>
      <c r="D3" s="687"/>
      <c r="E3" s="687"/>
      <c r="F3" s="687"/>
      <c r="G3" s="687"/>
      <c r="H3" s="687"/>
    </row>
    <row r="5" spans="1:9" ht="16.5" thickBot="1">
      <c r="A5" s="45" t="s">
        <v>1</v>
      </c>
      <c r="B5" s="53"/>
      <c r="C5" s="504"/>
      <c r="D5" s="53"/>
      <c r="E5" s="504" t="s">
        <v>249</v>
      </c>
      <c r="F5" s="505"/>
      <c r="G5" s="506" t="s">
        <v>250</v>
      </c>
    </row>
    <row r="6" spans="1:9" ht="16.5" thickTop="1">
      <c r="A6" s="46" t="s">
        <v>281</v>
      </c>
      <c r="C6" s="507"/>
      <c r="E6" s="507">
        <f>2260565+60801+41449+69240</f>
        <v>2432055</v>
      </c>
      <c r="F6" s="508"/>
      <c r="G6" s="507">
        <v>688226</v>
      </c>
    </row>
    <row r="7" spans="1:9" ht="15.75">
      <c r="A7" s="46" t="s">
        <v>282</v>
      </c>
      <c r="C7" s="507"/>
      <c r="E7" s="507">
        <f>E23</f>
        <v>3839152</v>
      </c>
      <c r="F7" s="508"/>
      <c r="G7" s="507">
        <v>1694361</v>
      </c>
    </row>
    <row r="8" spans="1:9" ht="15.75">
      <c r="A8" s="46" t="s">
        <v>283</v>
      </c>
      <c r="C8" s="507"/>
      <c r="E8" s="507">
        <f>-7948485-23791</f>
        <v>-7972276</v>
      </c>
      <c r="F8" s="508"/>
      <c r="G8" s="507">
        <v>-2858969</v>
      </c>
    </row>
    <row r="9" spans="1:9" ht="15.75">
      <c r="A9" s="46" t="s">
        <v>289</v>
      </c>
      <c r="C9" s="509"/>
      <c r="E9" s="509">
        <f>E6</f>
        <v>2432055</v>
      </c>
      <c r="F9" s="507"/>
      <c r="G9" s="509">
        <v>688226</v>
      </c>
    </row>
    <row r="10" spans="1:9" ht="15.75">
      <c r="A10" s="46" t="s">
        <v>279</v>
      </c>
      <c r="C10" s="507"/>
      <c r="E10" s="507">
        <f>E9*2.5%</f>
        <v>60801.375</v>
      </c>
      <c r="F10" s="507"/>
      <c r="G10" s="507">
        <f>G9*2.5%</f>
        <v>17205.650000000001</v>
      </c>
    </row>
    <row r="11" spans="1:9" ht="15.75">
      <c r="A11" s="46" t="s">
        <v>284</v>
      </c>
      <c r="C11" s="509"/>
      <c r="E11" s="509"/>
      <c r="F11" s="507"/>
      <c r="G11" s="509"/>
      <c r="I11" s="507"/>
    </row>
    <row r="12" spans="1:9" ht="15.75">
      <c r="A12" s="46" t="s">
        <v>285</v>
      </c>
      <c r="C12" s="507"/>
      <c r="E12" s="507">
        <v>0</v>
      </c>
      <c r="F12" s="507"/>
      <c r="G12" s="507">
        <v>32134</v>
      </c>
    </row>
    <row r="13" spans="1:9" ht="15.75">
      <c r="A13" s="46" t="s">
        <v>286</v>
      </c>
      <c r="C13" s="507"/>
      <c r="E13" s="507">
        <v>17206</v>
      </c>
      <c r="F13" s="507"/>
      <c r="G13" s="507">
        <v>17026</v>
      </c>
    </row>
    <row r="14" spans="1:9" ht="15.75">
      <c r="A14" s="46" t="s">
        <v>287</v>
      </c>
      <c r="C14" s="507"/>
      <c r="E14" s="507">
        <v>0</v>
      </c>
      <c r="F14" s="507"/>
      <c r="G14" s="507">
        <v>-32134</v>
      </c>
    </row>
    <row r="15" spans="1:9" ht="15.75">
      <c r="A15" s="46" t="s">
        <v>288</v>
      </c>
      <c r="C15" s="509"/>
      <c r="E15" s="509">
        <f>E10+E13</f>
        <v>78007.375</v>
      </c>
      <c r="F15" s="507"/>
      <c r="G15" s="509">
        <f>G12+G13+G14</f>
        <v>17026</v>
      </c>
    </row>
    <row r="16" spans="1:9">
      <c r="C16" s="510"/>
      <c r="E16" s="510"/>
      <c r="F16" s="510"/>
    </row>
    <row r="17" spans="1:7">
      <c r="A17" s="40" t="s">
        <v>345</v>
      </c>
      <c r="C17" s="510"/>
      <c r="E17" s="510"/>
      <c r="F17" s="510"/>
    </row>
    <row r="18" spans="1:7">
      <c r="C18" s="507"/>
      <c r="E18" s="507"/>
      <c r="F18" s="510"/>
    </row>
    <row r="19" spans="1:7">
      <c r="A19" s="40" t="s">
        <v>346</v>
      </c>
      <c r="C19" s="507"/>
      <c r="E19" s="507">
        <v>500000</v>
      </c>
    </row>
    <row r="20" spans="1:7">
      <c r="A20" s="40" t="s">
        <v>224</v>
      </c>
      <c r="C20" s="507"/>
      <c r="E20" s="507">
        <v>732855</v>
      </c>
      <c r="G20" s="510">
        <f>50000-41449</f>
        <v>8551</v>
      </c>
    </row>
    <row r="21" spans="1:7">
      <c r="A21" s="40" t="s">
        <v>347</v>
      </c>
      <c r="C21" s="507"/>
      <c r="E21" s="507">
        <f>2432055</f>
        <v>2432055</v>
      </c>
      <c r="G21" s="510">
        <f>165587+17206-8551</f>
        <v>174242</v>
      </c>
    </row>
    <row r="22" spans="1:7">
      <c r="A22" s="40" t="s">
        <v>348</v>
      </c>
      <c r="C22" s="507"/>
      <c r="E22" s="507">
        <v>174242</v>
      </c>
    </row>
    <row r="23" spans="1:7">
      <c r="C23" s="507"/>
      <c r="E23" s="507">
        <f>SUM(E19:E22)</f>
        <v>3839152</v>
      </c>
      <c r="G23" s="510">
        <f>3839848-E23</f>
        <v>696</v>
      </c>
    </row>
  </sheetData>
  <mergeCells count="3">
    <mergeCell ref="A1:H1"/>
    <mergeCell ref="A2:H2"/>
    <mergeCell ref="A3:H3"/>
  </mergeCells>
  <printOptions horizontalCentered="1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1"/>
  <sheetViews>
    <sheetView rightToLeft="1" workbookViewId="0">
      <selection activeCell="O20" sqref="O20"/>
    </sheetView>
  </sheetViews>
  <sheetFormatPr defaultRowHeight="15"/>
  <sheetData>
    <row r="1" spans="1:14" s="538" customFormat="1" ht="21">
      <c r="A1" s="534" t="s">
        <v>325</v>
      </c>
      <c r="B1" s="535"/>
      <c r="C1" s="535"/>
      <c r="D1" s="535"/>
      <c r="E1" s="535"/>
      <c r="F1" s="536"/>
      <c r="G1" s="537"/>
      <c r="I1" s="537"/>
      <c r="J1" s="537"/>
      <c r="K1" s="537"/>
      <c r="L1" s="535"/>
      <c r="N1" s="381"/>
    </row>
    <row r="2" spans="1:14" s="538" customFormat="1" ht="18.75">
      <c r="A2" s="539" t="s">
        <v>339</v>
      </c>
      <c r="B2" s="540"/>
      <c r="C2" s="540"/>
      <c r="D2" s="540"/>
      <c r="E2" s="540"/>
      <c r="F2" s="540"/>
      <c r="G2" s="540"/>
      <c r="H2" s="541"/>
      <c r="I2" s="540"/>
      <c r="J2" s="536"/>
      <c r="K2" s="540"/>
      <c r="N2" s="381"/>
    </row>
    <row r="3" spans="1:14" s="538" customFormat="1" ht="18.75">
      <c r="A3" s="542" t="s">
        <v>340</v>
      </c>
      <c r="B3" s="543"/>
      <c r="C3" s="543"/>
      <c r="D3" s="543"/>
      <c r="E3" s="543"/>
      <c r="F3" s="543"/>
      <c r="G3" s="543"/>
      <c r="I3" s="543"/>
      <c r="K3" s="543"/>
      <c r="N3" s="381"/>
    </row>
    <row r="4" spans="1:14" s="538" customFormat="1">
      <c r="G4" s="88">
        <v>2017</v>
      </c>
      <c r="I4" s="88">
        <v>2016</v>
      </c>
      <c r="J4" s="57"/>
      <c r="K4" s="88">
        <v>2015</v>
      </c>
      <c r="N4" s="381"/>
    </row>
    <row r="5" spans="1:14" s="538" customFormat="1" ht="9" customHeight="1">
      <c r="G5" s="83"/>
      <c r="I5" s="83"/>
      <c r="K5" s="83"/>
      <c r="N5" s="381"/>
    </row>
    <row r="6" spans="1:14" s="538" customFormat="1" ht="18.75">
      <c r="A6" s="544" t="s">
        <v>341</v>
      </c>
      <c r="G6" s="92">
        <v>0</v>
      </c>
      <c r="I6" s="92">
        <v>0</v>
      </c>
      <c r="K6" s="546">
        <v>29074</v>
      </c>
      <c r="N6" s="381"/>
    </row>
    <row r="7" spans="1:14" s="538" customFormat="1" ht="18.75">
      <c r="A7" s="544" t="s">
        <v>342</v>
      </c>
      <c r="G7" s="546">
        <v>11693</v>
      </c>
      <c r="I7" s="546">
        <f>23642</f>
        <v>23642</v>
      </c>
      <c r="K7" s="546">
        <v>3349</v>
      </c>
      <c r="N7" s="381"/>
    </row>
    <row r="8" spans="1:14" s="538" customFormat="1" ht="18.75">
      <c r="A8" s="544" t="s">
        <v>1395</v>
      </c>
      <c r="G8" s="546">
        <v>15000</v>
      </c>
      <c r="I8" s="546">
        <v>750000</v>
      </c>
      <c r="K8" s="92">
        <v>0</v>
      </c>
      <c r="N8" s="381"/>
    </row>
    <row r="9" spans="1:14" s="538" customFormat="1" ht="9" customHeight="1">
      <c r="N9" s="381"/>
    </row>
    <row r="10" spans="1:14" s="53" customFormat="1" ht="19.5" thickBot="1">
      <c r="A10" s="545" t="s">
        <v>330</v>
      </c>
      <c r="G10" s="77">
        <f>SUM(G6:G8)</f>
        <v>26693</v>
      </c>
      <c r="I10" s="77">
        <f>SUM(I6:I8)</f>
        <v>773642</v>
      </c>
      <c r="K10" s="77">
        <f>SUM(K6:K8)</f>
        <v>32423</v>
      </c>
      <c r="N10" s="560"/>
    </row>
    <row r="11" spans="1:14" ht="15.75" thickTop="1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J204"/>
  <sheetViews>
    <sheetView rightToLeft="1" view="pageBreakPreview" topLeftCell="A34" zoomScale="130" zoomScaleNormal="120" zoomScaleSheetLayoutView="130" workbookViewId="0">
      <selection activeCell="G59" sqref="G59"/>
    </sheetView>
  </sheetViews>
  <sheetFormatPr defaultRowHeight="15"/>
  <cols>
    <col min="4" max="4" width="6.28515625" customWidth="1"/>
    <col min="5" max="6" width="16.85546875" customWidth="1"/>
    <col min="7" max="7" width="16.85546875" style="82" customWidth="1"/>
    <col min="8" max="8" width="2.7109375" customWidth="1"/>
    <col min="9" max="9" width="16.85546875" style="82" customWidth="1"/>
  </cols>
  <sheetData>
    <row r="1" spans="1:10" ht="20.25">
      <c r="A1" s="94" t="s">
        <v>325</v>
      </c>
      <c r="B1" s="72"/>
      <c r="C1" s="72"/>
      <c r="D1" s="72"/>
      <c r="E1" s="72"/>
      <c r="G1" s="81"/>
      <c r="H1" s="81"/>
      <c r="I1" s="81"/>
      <c r="J1" s="72"/>
    </row>
    <row r="2" spans="1:10" ht="18">
      <c r="A2" s="95" t="s">
        <v>326</v>
      </c>
      <c r="B2" s="90"/>
      <c r="C2" s="90"/>
      <c r="D2" s="90"/>
      <c r="E2" s="90"/>
      <c r="F2" s="102"/>
      <c r="G2" s="90"/>
      <c r="I2" s="90"/>
    </row>
    <row r="3" spans="1:10" ht="18">
      <c r="A3" s="89" t="s">
        <v>327</v>
      </c>
      <c r="B3" s="84"/>
      <c r="C3" s="84"/>
      <c r="D3" s="84"/>
      <c r="E3" s="84"/>
      <c r="G3" s="84"/>
      <c r="I3" s="84"/>
    </row>
    <row r="4" spans="1:10">
      <c r="G4" s="88">
        <v>2016</v>
      </c>
      <c r="H4" s="57"/>
      <c r="I4" s="88">
        <v>2015</v>
      </c>
    </row>
    <row r="5" spans="1:10" ht="9" customHeight="1">
      <c r="G5" s="83"/>
      <c r="I5" s="83"/>
    </row>
    <row r="6" spans="1:10" ht="21" customHeight="1">
      <c r="A6" s="85" t="s">
        <v>328</v>
      </c>
      <c r="G6" s="76">
        <v>532034</v>
      </c>
      <c r="H6" s="86"/>
      <c r="I6" s="87">
        <v>139613</v>
      </c>
    </row>
    <row r="7" spans="1:10" ht="18">
      <c r="A7" s="85" t="s">
        <v>329</v>
      </c>
      <c r="G7" s="76">
        <v>14972</v>
      </c>
      <c r="H7" s="86"/>
      <c r="I7" s="76">
        <v>31767</v>
      </c>
    </row>
    <row r="8" spans="1:10" ht="9" customHeight="1">
      <c r="G8"/>
      <c r="I8"/>
    </row>
    <row r="9" spans="1:10" s="53" customFormat="1" ht="18.75" thickBot="1">
      <c r="A9" s="93" t="s">
        <v>330</v>
      </c>
      <c r="G9" s="77">
        <f>SUM(G6:G7)</f>
        <v>547006</v>
      </c>
      <c r="I9" s="77">
        <f>SUM(I6:I7)</f>
        <v>171380</v>
      </c>
    </row>
    <row r="10" spans="1:10" ht="15.75" thickTop="1">
      <c r="G10" s="39"/>
      <c r="I10" s="39"/>
    </row>
    <row r="11" spans="1:10" ht="36.75" customHeight="1">
      <c r="G11" s="39"/>
      <c r="I11" s="39"/>
    </row>
    <row r="12" spans="1:10" ht="18">
      <c r="A12" s="95" t="s">
        <v>331</v>
      </c>
      <c r="B12" s="90"/>
      <c r="C12" s="90"/>
      <c r="D12" s="90"/>
      <c r="E12" s="90"/>
      <c r="G12" s="90"/>
      <c r="H12" s="91"/>
      <c r="I12" s="90"/>
    </row>
    <row r="13" spans="1:10" ht="18">
      <c r="A13" s="89" t="s">
        <v>332</v>
      </c>
      <c r="B13" s="84"/>
      <c r="C13" s="84"/>
      <c r="D13" s="84"/>
      <c r="E13" s="84"/>
      <c r="G13" s="84"/>
      <c r="I13" s="84"/>
    </row>
    <row r="14" spans="1:10">
      <c r="G14" s="88">
        <v>2016</v>
      </c>
      <c r="H14" s="57"/>
      <c r="I14" s="88">
        <v>2015</v>
      </c>
    </row>
    <row r="15" spans="1:10" ht="9" customHeight="1">
      <c r="G15" s="83"/>
      <c r="I15" s="83"/>
    </row>
    <row r="16" spans="1:10" ht="18">
      <c r="A16" s="85" t="s">
        <v>333</v>
      </c>
      <c r="G16" s="39">
        <v>189853</v>
      </c>
      <c r="I16" s="39">
        <v>405916</v>
      </c>
    </row>
    <row r="17" spans="1:9" ht="18">
      <c r="A17" s="85" t="s">
        <v>13</v>
      </c>
      <c r="G17" s="39">
        <v>270000</v>
      </c>
      <c r="I17" s="39">
        <v>110000</v>
      </c>
    </row>
    <row r="18" spans="1:9" ht="18">
      <c r="A18" s="85" t="s">
        <v>14</v>
      </c>
      <c r="G18" s="39">
        <v>104533.60000000009</v>
      </c>
      <c r="I18" s="39">
        <v>291188</v>
      </c>
    </row>
    <row r="19" spans="1:9" ht="18">
      <c r="A19" s="85" t="s">
        <v>223</v>
      </c>
      <c r="G19" s="39">
        <v>123515</v>
      </c>
      <c r="I19" s="92">
        <v>0</v>
      </c>
    </row>
    <row r="20" spans="1:9" ht="18">
      <c r="A20" s="85" t="s">
        <v>334</v>
      </c>
      <c r="G20" s="39">
        <v>203829</v>
      </c>
      <c r="I20" s="39">
        <v>22600</v>
      </c>
    </row>
    <row r="21" spans="1:9" ht="9" customHeight="1">
      <c r="G21"/>
      <c r="I21"/>
    </row>
    <row r="22" spans="1:9" s="53" customFormat="1" ht="18.75" thickBot="1">
      <c r="A22" s="93" t="s">
        <v>330</v>
      </c>
      <c r="G22" s="77">
        <f>SUM(G16:G20)</f>
        <v>891730.60000000009</v>
      </c>
      <c r="I22" s="77">
        <f>SUM(I16:I20)</f>
        <v>829704</v>
      </c>
    </row>
    <row r="23" spans="1:9" ht="15.75" thickTop="1">
      <c r="G23" s="39"/>
      <c r="I23" s="39"/>
    </row>
    <row r="24" spans="1:9">
      <c r="G24" s="39"/>
      <c r="I24" s="39"/>
    </row>
    <row r="25" spans="1:9">
      <c r="G25" s="39"/>
      <c r="I25" s="39"/>
    </row>
    <row r="26" spans="1:9">
      <c r="G26" s="39"/>
      <c r="I26" s="39"/>
    </row>
    <row r="27" spans="1:9">
      <c r="G27" s="39"/>
      <c r="I27" s="39"/>
    </row>
    <row r="28" spans="1:9">
      <c r="G28" s="39"/>
      <c r="I28" s="39"/>
    </row>
    <row r="29" spans="1:9">
      <c r="G29" s="39"/>
      <c r="I29" s="39"/>
    </row>
    <row r="30" spans="1:9">
      <c r="G30" s="39"/>
      <c r="I30" s="39"/>
    </row>
    <row r="31" spans="1:9">
      <c r="G31" s="39"/>
      <c r="I31" s="39"/>
    </row>
    <row r="32" spans="1:9">
      <c r="G32" s="39"/>
      <c r="I32" s="39"/>
    </row>
    <row r="33" spans="1:10">
      <c r="G33" s="39"/>
      <c r="I33" s="39"/>
    </row>
    <row r="34" spans="1:10">
      <c r="G34" s="39"/>
      <c r="I34" s="39"/>
    </row>
    <row r="35" spans="1:10">
      <c r="G35" s="39"/>
      <c r="I35" s="39"/>
    </row>
    <row r="36" spans="1:10">
      <c r="G36" s="39"/>
      <c r="I36" s="39"/>
    </row>
    <row r="37" spans="1:10">
      <c r="G37" s="39"/>
      <c r="I37" s="39"/>
    </row>
    <row r="38" spans="1:10">
      <c r="G38" s="39"/>
      <c r="I38" s="39"/>
    </row>
    <row r="39" spans="1:10" ht="20.25">
      <c r="A39" s="94" t="s">
        <v>325</v>
      </c>
      <c r="B39" s="72"/>
      <c r="C39" s="72"/>
      <c r="D39" s="72"/>
      <c r="E39" s="72"/>
      <c r="G39" s="81"/>
      <c r="H39" s="81"/>
      <c r="I39" s="81"/>
      <c r="J39" s="72"/>
    </row>
    <row r="40" spans="1:10" ht="18">
      <c r="A40" s="95" t="s">
        <v>339</v>
      </c>
      <c r="B40" s="90"/>
      <c r="C40" s="90"/>
      <c r="D40" s="90"/>
      <c r="E40" s="90"/>
      <c r="F40" s="102"/>
      <c r="G40" s="90"/>
      <c r="H40" s="91"/>
      <c r="I40" s="90"/>
    </row>
    <row r="41" spans="1:10" ht="18">
      <c r="A41" s="89" t="s">
        <v>340</v>
      </c>
      <c r="B41" s="84"/>
      <c r="C41" s="84"/>
      <c r="D41" s="84"/>
      <c r="E41" s="84"/>
      <c r="G41" s="84"/>
      <c r="I41" s="84"/>
    </row>
    <row r="42" spans="1:10">
      <c r="G42" s="88">
        <v>2016</v>
      </c>
      <c r="H42" s="57"/>
      <c r="I42" s="88">
        <v>2015</v>
      </c>
    </row>
    <row r="43" spans="1:10" ht="9" customHeight="1">
      <c r="G43" s="83"/>
      <c r="I43" s="83"/>
    </row>
    <row r="44" spans="1:10" ht="18">
      <c r="A44" s="85" t="s">
        <v>341</v>
      </c>
      <c r="G44" s="92">
        <v>0</v>
      </c>
      <c r="I44" s="39">
        <v>29074</v>
      </c>
    </row>
    <row r="45" spans="1:10" ht="18">
      <c r="A45" s="85" t="s">
        <v>342</v>
      </c>
      <c r="G45" s="39">
        <f>23642</f>
        <v>23642</v>
      </c>
      <c r="I45" s="39">
        <v>3349</v>
      </c>
    </row>
    <row r="46" spans="1:10" ht="18">
      <c r="A46" s="85" t="s">
        <v>229</v>
      </c>
      <c r="G46" s="39">
        <v>1958711</v>
      </c>
      <c r="I46" s="92">
        <v>0</v>
      </c>
    </row>
    <row r="47" spans="1:10" ht="18">
      <c r="A47" s="85"/>
      <c r="G47" s="39">
        <v>750000</v>
      </c>
      <c r="I47" s="92">
        <v>0</v>
      </c>
    </row>
    <row r="48" spans="1:10" ht="9" customHeight="1">
      <c r="G48"/>
      <c r="I48"/>
    </row>
    <row r="49" spans="1:9" s="53" customFormat="1" ht="18.75" thickBot="1">
      <c r="A49" s="93" t="s">
        <v>330</v>
      </c>
      <c r="G49" s="77">
        <f>SUM(G44:G47)</f>
        <v>2732353</v>
      </c>
      <c r="I49" s="77">
        <f>SUM(I44:I47)</f>
        <v>32423</v>
      </c>
    </row>
    <row r="50" spans="1:9" ht="15.75" thickTop="1"/>
    <row r="52" spans="1:9" ht="18">
      <c r="A52" s="95" t="s">
        <v>343</v>
      </c>
      <c r="B52" s="90"/>
      <c r="C52" s="90"/>
      <c r="D52" s="90"/>
      <c r="E52" s="90"/>
      <c r="F52" s="91"/>
      <c r="G52" s="90"/>
      <c r="H52" s="91"/>
      <c r="I52" s="90"/>
    </row>
    <row r="53" spans="1:9" ht="18">
      <c r="A53" s="89" t="s">
        <v>344</v>
      </c>
      <c r="B53" s="84"/>
      <c r="C53" s="84"/>
      <c r="D53" s="84"/>
      <c r="E53" s="84"/>
      <c r="G53" s="84"/>
      <c r="I53" s="84"/>
    </row>
    <row r="54" spans="1:9">
      <c r="G54" s="88">
        <v>2016</v>
      </c>
      <c r="H54" s="57"/>
      <c r="I54" s="88">
        <v>2015</v>
      </c>
    </row>
    <row r="55" spans="1:9" ht="9" customHeight="1">
      <c r="G55" s="83"/>
      <c r="I55" s="83"/>
    </row>
    <row r="56" spans="1:9" ht="18">
      <c r="A56" s="85" t="s">
        <v>281</v>
      </c>
      <c r="G56" s="39">
        <v>2432055</v>
      </c>
      <c r="I56" s="39">
        <v>688226</v>
      </c>
    </row>
    <row r="57" spans="1:9" ht="18">
      <c r="A57" s="85"/>
      <c r="G57" s="39"/>
      <c r="I57" s="39"/>
    </row>
    <row r="58" spans="1:9" ht="18">
      <c r="A58" s="85" t="s">
        <v>282</v>
      </c>
      <c r="G58" s="39">
        <f>500000+732855+174242+2432055</f>
        <v>3839152</v>
      </c>
      <c r="I58" s="39">
        <v>1694361</v>
      </c>
    </row>
    <row r="59" spans="1:9" ht="18">
      <c r="A59" s="85" t="s">
        <v>283</v>
      </c>
      <c r="G59" s="104">
        <f>-7948485-242464-367145</f>
        <v>-8558094</v>
      </c>
      <c r="I59" s="39">
        <v>-2858969</v>
      </c>
    </row>
    <row r="60" spans="1:9" ht="19.5">
      <c r="A60" s="105" t="s">
        <v>289</v>
      </c>
      <c r="G60" s="50">
        <v>2432055</v>
      </c>
      <c r="H60" s="57"/>
      <c r="I60" s="50">
        <v>688226</v>
      </c>
    </row>
    <row r="61" spans="1:9" ht="19.5">
      <c r="A61" s="105" t="s">
        <v>351</v>
      </c>
      <c r="G61" s="50">
        <f>G60*0.025</f>
        <v>60801.375</v>
      </c>
      <c r="H61" s="57"/>
      <c r="I61" s="50">
        <f>I60*0.025</f>
        <v>17205.650000000001</v>
      </c>
    </row>
    <row r="62" spans="1:9" ht="18">
      <c r="A62" s="85" t="s">
        <v>349</v>
      </c>
    </row>
    <row r="63" spans="1:9" ht="18">
      <c r="A63" s="85" t="s">
        <v>350</v>
      </c>
      <c r="G63" s="39">
        <v>17206</v>
      </c>
      <c r="I63" s="39">
        <v>32134</v>
      </c>
    </row>
    <row r="64" spans="1:9" ht="18">
      <c r="A64" s="85" t="s">
        <v>352</v>
      </c>
      <c r="G64" s="39">
        <v>60801</v>
      </c>
      <c r="I64" s="39">
        <v>17206</v>
      </c>
    </row>
    <row r="65" spans="1:10" ht="18">
      <c r="A65" s="85" t="s">
        <v>353</v>
      </c>
      <c r="G65" s="92">
        <v>0</v>
      </c>
      <c r="I65" s="39">
        <v>-32134</v>
      </c>
    </row>
    <row r="66" spans="1:10" ht="23.25" customHeight="1" thickBot="1">
      <c r="A66" s="105" t="s">
        <v>356</v>
      </c>
      <c r="G66" s="51">
        <f>SUM(G63:G65)</f>
        <v>78007</v>
      </c>
      <c r="H66" s="57"/>
      <c r="I66" s="51">
        <f>SUM(I63:I65)</f>
        <v>17206</v>
      </c>
    </row>
    <row r="67" spans="1:10" ht="15.75" thickTop="1"/>
    <row r="75" spans="1:10" ht="20.25">
      <c r="A75" s="94" t="s">
        <v>325</v>
      </c>
      <c r="B75" s="72"/>
      <c r="C75" s="72"/>
      <c r="D75" s="72"/>
      <c r="E75" s="72"/>
      <c r="G75" s="81"/>
      <c r="H75" s="81"/>
      <c r="I75" s="81"/>
      <c r="J75" s="72"/>
    </row>
    <row r="76" spans="1:10" ht="18">
      <c r="A76" s="95" t="s">
        <v>354</v>
      </c>
      <c r="B76" s="90"/>
      <c r="C76" s="90"/>
      <c r="D76" s="90"/>
      <c r="E76" s="90"/>
      <c r="F76" s="102"/>
      <c r="G76" s="90"/>
      <c r="H76" s="91"/>
      <c r="I76" s="90"/>
    </row>
    <row r="77" spans="1:10" ht="18">
      <c r="A77" s="89" t="s">
        <v>355</v>
      </c>
      <c r="B77" s="84"/>
      <c r="C77" s="84"/>
      <c r="D77" s="84"/>
      <c r="E77" s="84"/>
      <c r="G77" s="84"/>
      <c r="I77" s="84"/>
    </row>
    <row r="78" spans="1:10">
      <c r="G78" s="88">
        <v>2016</v>
      </c>
      <c r="H78" s="57"/>
      <c r="I78" s="88">
        <v>2015</v>
      </c>
    </row>
    <row r="80" spans="1:10" s="109" customFormat="1" ht="24" customHeight="1">
      <c r="A80" s="108" t="s">
        <v>350</v>
      </c>
      <c r="G80" s="39">
        <v>165587</v>
      </c>
      <c r="I80" s="39">
        <v>234221</v>
      </c>
    </row>
    <row r="81" spans="1:10" s="109" customFormat="1" ht="24" customHeight="1">
      <c r="A81" s="108" t="s">
        <v>352</v>
      </c>
      <c r="G81" s="39">
        <v>50000</v>
      </c>
      <c r="I81" s="39">
        <v>17307</v>
      </c>
    </row>
    <row r="82" spans="1:10" s="109" customFormat="1" ht="24" customHeight="1">
      <c r="A82" s="108" t="s">
        <v>353</v>
      </c>
      <c r="G82" s="39">
        <v>-8551</v>
      </c>
      <c r="I82" s="39">
        <v>-85941</v>
      </c>
    </row>
    <row r="83" spans="1:10" s="109" customFormat="1" ht="24" customHeight="1" thickBot="1">
      <c r="A83" s="110" t="s">
        <v>356</v>
      </c>
      <c r="G83" s="51">
        <f>SUM(G80:G82)</f>
        <v>207036</v>
      </c>
      <c r="H83" s="111"/>
      <c r="I83" s="51">
        <f>SUM(I80:I82)</f>
        <v>165587</v>
      </c>
    </row>
    <row r="84" spans="1:10" ht="24" customHeight="1" thickTop="1"/>
    <row r="85" spans="1:10" ht="24" customHeight="1"/>
    <row r="86" spans="1:10" ht="24" customHeight="1"/>
    <row r="87" spans="1:10" ht="24" customHeight="1">
      <c r="A87" s="95" t="s">
        <v>364</v>
      </c>
      <c r="B87" s="90"/>
      <c r="C87" s="90"/>
      <c r="D87" s="90"/>
      <c r="E87" s="90"/>
      <c r="F87" s="91"/>
      <c r="G87" s="90"/>
      <c r="H87" s="91"/>
      <c r="I87" s="90"/>
    </row>
    <row r="88" spans="1:10" ht="24" customHeight="1">
      <c r="A88" s="688" t="s">
        <v>357</v>
      </c>
      <c r="B88" s="688"/>
      <c r="C88" s="688"/>
      <c r="D88" s="688"/>
      <c r="E88" s="688"/>
      <c r="F88" s="688"/>
      <c r="G88" s="688"/>
      <c r="H88" s="688"/>
      <c r="I88" s="688"/>
      <c r="J88" s="688"/>
    </row>
    <row r="89" spans="1:10" ht="24" customHeight="1">
      <c r="A89" s="688"/>
      <c r="B89" s="688"/>
      <c r="C89" s="688"/>
      <c r="D89" s="688"/>
      <c r="E89" s="688"/>
      <c r="F89" s="688"/>
      <c r="G89" s="688"/>
      <c r="H89" s="688"/>
      <c r="I89" s="688"/>
      <c r="J89" s="688"/>
    </row>
    <row r="90" spans="1:10" ht="24" customHeight="1"/>
    <row r="91" spans="1:10" ht="24" customHeight="1">
      <c r="E91" s="106" t="s">
        <v>360</v>
      </c>
      <c r="F91" s="106" t="s">
        <v>361</v>
      </c>
      <c r="G91" s="107" t="s">
        <v>362</v>
      </c>
      <c r="H91" s="106"/>
      <c r="I91" s="107" t="s">
        <v>218</v>
      </c>
    </row>
    <row r="92" spans="1:10" s="109" customFormat="1" ht="24" customHeight="1">
      <c r="A92" s="112" t="s">
        <v>358</v>
      </c>
      <c r="E92" s="39">
        <v>2133269</v>
      </c>
      <c r="F92" s="39">
        <f>2435334</f>
        <v>2435334</v>
      </c>
      <c r="G92" s="39">
        <f>3518961</f>
        <v>3518961</v>
      </c>
      <c r="H92" s="39"/>
      <c r="I92" s="39">
        <f>(E92+G92)-F92</f>
        <v>3216896</v>
      </c>
    </row>
    <row r="93" spans="1:10" s="109" customFormat="1" ht="24" customHeight="1">
      <c r="A93" s="112" t="s">
        <v>363</v>
      </c>
      <c r="E93" s="92">
        <v>0</v>
      </c>
      <c r="F93" s="39">
        <v>43138</v>
      </c>
      <c r="G93" s="39">
        <v>299569</v>
      </c>
      <c r="H93" s="39"/>
      <c r="I93" s="39">
        <f>(E93+G93)-F93</f>
        <v>256431</v>
      </c>
    </row>
    <row r="94" spans="1:10" s="109" customFormat="1" ht="24" customHeight="1">
      <c r="A94" s="112" t="s">
        <v>359</v>
      </c>
      <c r="E94" s="39">
        <v>732855</v>
      </c>
      <c r="F94" s="92">
        <v>0</v>
      </c>
      <c r="G94" s="92">
        <v>0</v>
      </c>
      <c r="H94" s="39"/>
      <c r="I94" s="39">
        <f>(E94+G94)-F94</f>
        <v>732855</v>
      </c>
    </row>
    <row r="95" spans="1:10" ht="24" customHeight="1"/>
    <row r="96" spans="1:10" s="109" customFormat="1" ht="24" customHeight="1" thickBot="1">
      <c r="A96" s="112" t="s">
        <v>9</v>
      </c>
      <c r="E96" s="51">
        <f>SUM(E92:E95)</f>
        <v>2866124</v>
      </c>
      <c r="F96" s="51">
        <f>SUM(F92:F95)</f>
        <v>2478472</v>
      </c>
      <c r="G96" s="51">
        <f>SUM(G92:G95)</f>
        <v>3818530</v>
      </c>
      <c r="H96" s="51"/>
      <c r="I96" s="51">
        <f>SUM(I92:I95)</f>
        <v>4206182</v>
      </c>
    </row>
    <row r="97" ht="15.75" thickTop="1"/>
    <row r="120" spans="1:10" ht="20.25">
      <c r="A120" s="94" t="s">
        <v>325</v>
      </c>
      <c r="B120" s="72"/>
      <c r="C120" s="72"/>
      <c r="D120" s="72"/>
      <c r="E120" s="72"/>
      <c r="G120" s="81"/>
      <c r="H120" s="81"/>
      <c r="I120" s="81"/>
      <c r="J120" s="72"/>
    </row>
    <row r="121" spans="1:10" ht="18">
      <c r="A121" s="95" t="s">
        <v>366</v>
      </c>
      <c r="F121" s="118"/>
    </row>
    <row r="122" spans="1:10" ht="18">
      <c r="A122" s="89" t="s">
        <v>365</v>
      </c>
    </row>
    <row r="123" spans="1:10">
      <c r="G123" s="88">
        <v>2016</v>
      </c>
      <c r="H123" s="57"/>
      <c r="I123" s="88">
        <v>2015</v>
      </c>
    </row>
    <row r="124" spans="1:10" s="109" customFormat="1" ht="18" customHeight="1">
      <c r="A124" s="108" t="s">
        <v>367</v>
      </c>
      <c r="G124" s="39">
        <f>852706+143765+7950+19500+66354+18527</f>
        <v>1108802</v>
      </c>
      <c r="I124" s="39">
        <v>456547</v>
      </c>
    </row>
    <row r="125" spans="1:10" s="109" customFormat="1" ht="18" customHeight="1">
      <c r="A125" s="108" t="s">
        <v>368</v>
      </c>
      <c r="G125" s="39">
        <f>33335+2652+54546+1425+8914+1362+2592+5246+840+57382</f>
        <v>168294</v>
      </c>
      <c r="I125" s="39">
        <v>210537</v>
      </c>
    </row>
    <row r="126" spans="1:10" s="109" customFormat="1" ht="18" customHeight="1">
      <c r="A126" s="108" t="s">
        <v>369</v>
      </c>
      <c r="G126" s="39">
        <f>122100+174799</f>
        <v>296899</v>
      </c>
      <c r="I126" s="39">
        <v>112633</v>
      </c>
    </row>
    <row r="127" spans="1:10" s="109" customFormat="1" ht="18" customHeight="1">
      <c r="A127" s="108" t="s">
        <v>383</v>
      </c>
      <c r="G127" s="39">
        <f>100+50+1977</f>
        <v>2127</v>
      </c>
      <c r="I127" s="92">
        <v>0</v>
      </c>
    </row>
    <row r="128" spans="1:10" s="109" customFormat="1" ht="18" customHeight="1">
      <c r="A128" s="108" t="s">
        <v>382</v>
      </c>
      <c r="G128" s="39">
        <f>90133+4399</f>
        <v>94532</v>
      </c>
      <c r="I128" s="92">
        <v>0</v>
      </c>
    </row>
    <row r="129" spans="1:9" s="109" customFormat="1" ht="18" customHeight="1">
      <c r="A129" s="108" t="s">
        <v>370</v>
      </c>
      <c r="G129" s="39">
        <f>225420+10000+27500</f>
        <v>262920</v>
      </c>
      <c r="I129" s="39">
        <v>51750</v>
      </c>
    </row>
    <row r="130" spans="1:9" s="109" customFormat="1" ht="18" customHeight="1">
      <c r="A130" s="108" t="s">
        <v>371</v>
      </c>
      <c r="G130" s="39">
        <f>190250+2250</f>
        <v>192500</v>
      </c>
      <c r="I130" s="39">
        <v>34785</v>
      </c>
    </row>
    <row r="131" spans="1:9" s="109" customFormat="1" ht="18" customHeight="1">
      <c r="A131" s="108" t="s">
        <v>372</v>
      </c>
      <c r="G131" s="39">
        <v>1171298</v>
      </c>
      <c r="I131" s="39">
        <v>961639</v>
      </c>
    </row>
    <row r="132" spans="1:9" s="109" customFormat="1" ht="18" customHeight="1">
      <c r="A132" s="108" t="s">
        <v>390</v>
      </c>
      <c r="G132" s="39">
        <f>6984+55537+9795+27839+4100+2915+3626</f>
        <v>110796</v>
      </c>
      <c r="I132" s="39">
        <v>167466</v>
      </c>
    </row>
    <row r="133" spans="1:9" s="109" customFormat="1" ht="18" customHeight="1">
      <c r="A133" s="108" t="s">
        <v>373</v>
      </c>
      <c r="G133" s="92">
        <v>0</v>
      </c>
      <c r="I133" s="92">
        <v>0</v>
      </c>
    </row>
    <row r="134" spans="1:9" s="109" customFormat="1" ht="18" customHeight="1">
      <c r="A134" s="108" t="s">
        <v>374</v>
      </c>
      <c r="G134" s="92">
        <v>0</v>
      </c>
      <c r="I134" s="39">
        <v>11166</v>
      </c>
    </row>
    <row r="135" spans="1:9" s="109" customFormat="1" ht="18" customHeight="1">
      <c r="A135" s="108" t="s">
        <v>375</v>
      </c>
      <c r="G135" s="39">
        <f>4200+400+53445+7933+15520</f>
        <v>81498</v>
      </c>
      <c r="I135" s="39">
        <v>57583</v>
      </c>
    </row>
    <row r="136" spans="1:9" s="109" customFormat="1" ht="18" customHeight="1">
      <c r="A136" s="108" t="s">
        <v>376</v>
      </c>
      <c r="G136" s="39">
        <v>42981</v>
      </c>
      <c r="I136" s="39">
        <v>43885</v>
      </c>
    </row>
    <row r="137" spans="1:9" s="109" customFormat="1" ht="18" customHeight="1">
      <c r="A137" s="108" t="s">
        <v>377</v>
      </c>
      <c r="G137" s="39">
        <f>1270+34016</f>
        <v>35286</v>
      </c>
      <c r="I137" s="39">
        <v>13116</v>
      </c>
    </row>
    <row r="138" spans="1:9" s="109" customFormat="1" ht="18" customHeight="1">
      <c r="A138" s="108" t="s">
        <v>378</v>
      </c>
      <c r="G138" s="39">
        <f>4705+27292</f>
        <v>31997</v>
      </c>
      <c r="I138" s="39">
        <v>16683</v>
      </c>
    </row>
    <row r="139" spans="1:9" s="109" customFormat="1" ht="18" customHeight="1">
      <c r="A139" s="108" t="s">
        <v>379</v>
      </c>
      <c r="G139" s="39">
        <f>315+225+3450</f>
        <v>3990</v>
      </c>
      <c r="I139" s="39">
        <v>10500</v>
      </c>
    </row>
    <row r="140" spans="1:9" s="109" customFormat="1" ht="18" customHeight="1">
      <c r="A140" s="108" t="s">
        <v>380</v>
      </c>
      <c r="G140" s="39">
        <f>865+4768+150+31552</f>
        <v>37335</v>
      </c>
      <c r="I140" s="39">
        <v>11070</v>
      </c>
    </row>
    <row r="141" spans="1:9" s="109" customFormat="1" ht="18" customHeight="1">
      <c r="A141" s="108" t="s">
        <v>381</v>
      </c>
      <c r="G141" s="39">
        <f>629+5900+7870+123376+60+10960+5719+142895+50665+565+995+21851+600+684</f>
        <v>372769</v>
      </c>
      <c r="I141" s="39">
        <v>235934</v>
      </c>
    </row>
    <row r="142" spans="1:9" s="109" customFormat="1" ht="18" customHeight="1">
      <c r="A142" s="108" t="s">
        <v>384</v>
      </c>
      <c r="G142" s="39">
        <f>4700+22300</f>
        <v>27000</v>
      </c>
      <c r="I142" s="92">
        <v>0</v>
      </c>
    </row>
    <row r="143" spans="1:9" s="109" customFormat="1" ht="18" customHeight="1">
      <c r="A143" s="108" t="s">
        <v>385</v>
      </c>
      <c r="G143" s="39">
        <v>700</v>
      </c>
      <c r="I143" s="92">
        <v>0</v>
      </c>
    </row>
    <row r="144" spans="1:9" s="109" customFormat="1" ht="18" customHeight="1">
      <c r="A144" s="108" t="s">
        <v>386</v>
      </c>
      <c r="G144" s="39">
        <v>50000</v>
      </c>
      <c r="I144" s="92">
        <v>0</v>
      </c>
    </row>
    <row r="145" spans="1:9" s="109" customFormat="1" ht="18" customHeight="1">
      <c r="A145" s="108" t="s">
        <v>387</v>
      </c>
      <c r="G145" s="39">
        <f>10005+12590</f>
        <v>22595</v>
      </c>
      <c r="I145" s="92">
        <v>0</v>
      </c>
    </row>
    <row r="146" spans="1:9" s="109" customFormat="1" ht="18" customHeight="1">
      <c r="A146" s="108" t="s">
        <v>388</v>
      </c>
      <c r="G146" s="39">
        <f>2400+2580+21559</f>
        <v>26539</v>
      </c>
      <c r="I146" s="92">
        <v>0</v>
      </c>
    </row>
    <row r="147" spans="1:9" s="109" customFormat="1" ht="18" customHeight="1">
      <c r="A147" s="108" t="s">
        <v>391</v>
      </c>
      <c r="G147" s="39">
        <v>124950</v>
      </c>
      <c r="I147" s="92">
        <v>0</v>
      </c>
    </row>
    <row r="148" spans="1:9" s="109" customFormat="1" ht="18" customHeight="1">
      <c r="A148" s="108" t="s">
        <v>389</v>
      </c>
      <c r="G148" s="39">
        <f>32898+9879</f>
        <v>42777</v>
      </c>
      <c r="I148" s="92">
        <v>0</v>
      </c>
    </row>
    <row r="149" spans="1:9" ht="18" customHeight="1" thickBot="1">
      <c r="A149" s="112" t="s">
        <v>9</v>
      </c>
      <c r="G149" s="51">
        <f>SUM(G124:G148)</f>
        <v>4308585</v>
      </c>
      <c r="I149" s="51">
        <f>SUM(I124:I148)</f>
        <v>2395294</v>
      </c>
    </row>
    <row r="150" spans="1:9" ht="15.75" thickTop="1"/>
    <row r="170" spans="1:10" ht="20.25">
      <c r="A170" s="94" t="s">
        <v>325</v>
      </c>
      <c r="B170" s="72"/>
      <c r="C170" s="72"/>
      <c r="D170" s="72"/>
      <c r="E170" s="72"/>
      <c r="G170" s="81"/>
      <c r="H170" s="81"/>
      <c r="I170" s="81"/>
      <c r="J170" s="72"/>
    </row>
    <row r="171" spans="1:10" ht="18">
      <c r="A171" s="95" t="s">
        <v>392</v>
      </c>
      <c r="F171" s="118"/>
    </row>
    <row r="172" spans="1:10" ht="18">
      <c r="A172" s="89" t="s">
        <v>393</v>
      </c>
    </row>
    <row r="173" spans="1:10">
      <c r="G173" s="88">
        <v>2016</v>
      </c>
      <c r="H173" s="57"/>
      <c r="I173" s="88">
        <v>2015</v>
      </c>
    </row>
    <row r="174" spans="1:10" s="109" customFormat="1" ht="18" customHeight="1">
      <c r="A174" s="108" t="s">
        <v>367</v>
      </c>
      <c r="G174" s="119">
        <f>3800+671689</f>
        <v>675489</v>
      </c>
      <c r="I174" s="92">
        <v>0</v>
      </c>
    </row>
    <row r="175" spans="1:10" s="109" customFormat="1" ht="18" customHeight="1">
      <c r="A175" s="108" t="s">
        <v>368</v>
      </c>
      <c r="G175" s="92">
        <v>0</v>
      </c>
      <c r="I175" s="39">
        <v>15209</v>
      </c>
    </row>
    <row r="176" spans="1:10" s="109" customFormat="1" ht="18" customHeight="1">
      <c r="A176" s="108" t="s">
        <v>369</v>
      </c>
      <c r="G176" s="92">
        <v>0</v>
      </c>
      <c r="I176" s="92">
        <v>0</v>
      </c>
    </row>
    <row r="177" spans="1:9" s="109" customFormat="1" ht="18" customHeight="1">
      <c r="A177" s="108" t="s">
        <v>383</v>
      </c>
      <c r="G177" s="119">
        <f>2152+125</f>
        <v>2277</v>
      </c>
      <c r="I177" s="92">
        <v>0</v>
      </c>
    </row>
    <row r="178" spans="1:9" s="109" customFormat="1" ht="18" customHeight="1">
      <c r="A178" s="108" t="s">
        <v>382</v>
      </c>
      <c r="G178" s="92">
        <v>0</v>
      </c>
      <c r="I178" s="92">
        <v>0</v>
      </c>
    </row>
    <row r="179" spans="1:9" s="109" customFormat="1" ht="18" customHeight="1">
      <c r="A179" s="108" t="s">
        <v>370</v>
      </c>
      <c r="G179" s="119">
        <f>4750</f>
        <v>4750</v>
      </c>
      <c r="I179" s="92">
        <v>0</v>
      </c>
    </row>
    <row r="180" spans="1:9" s="109" customFormat="1" ht="18" customHeight="1">
      <c r="A180" s="108" t="s">
        <v>371</v>
      </c>
      <c r="G180" s="92">
        <v>0</v>
      </c>
      <c r="I180" s="92">
        <v>0</v>
      </c>
    </row>
    <row r="181" spans="1:9" s="109" customFormat="1" ht="18" customHeight="1">
      <c r="A181" s="108" t="s">
        <v>372</v>
      </c>
      <c r="G181" s="92">
        <v>0</v>
      </c>
      <c r="I181" s="39">
        <v>50164</v>
      </c>
    </row>
    <row r="182" spans="1:9" s="109" customFormat="1" ht="18" customHeight="1">
      <c r="A182" s="108" t="s">
        <v>390</v>
      </c>
      <c r="G182" s="92">
        <v>0</v>
      </c>
      <c r="I182" s="92">
        <v>0</v>
      </c>
    </row>
    <row r="183" spans="1:9" s="109" customFormat="1" ht="18" customHeight="1">
      <c r="A183" s="108" t="s">
        <v>373</v>
      </c>
      <c r="G183" s="92">
        <v>0</v>
      </c>
      <c r="I183" s="92">
        <v>0</v>
      </c>
    </row>
    <row r="184" spans="1:9" s="109" customFormat="1" ht="18" customHeight="1">
      <c r="A184" s="108" t="s">
        <v>374</v>
      </c>
      <c r="G184" s="119">
        <f>7405+13008</f>
        <v>20413</v>
      </c>
      <c r="I184" s="92">
        <v>0</v>
      </c>
    </row>
    <row r="185" spans="1:9" s="109" customFormat="1" ht="18" customHeight="1">
      <c r="A185" s="108" t="s">
        <v>375</v>
      </c>
      <c r="G185" s="119">
        <f>3311+800+150</f>
        <v>4261</v>
      </c>
      <c r="I185" s="39">
        <v>5000</v>
      </c>
    </row>
    <row r="186" spans="1:9" s="109" customFormat="1" ht="18" customHeight="1">
      <c r="A186" s="108" t="s">
        <v>376</v>
      </c>
      <c r="G186" s="92">
        <v>0</v>
      </c>
      <c r="I186" s="92">
        <v>0</v>
      </c>
    </row>
    <row r="187" spans="1:9" s="109" customFormat="1" ht="18" customHeight="1">
      <c r="A187" s="108" t="s">
        <v>377</v>
      </c>
      <c r="G187" s="92">
        <v>0</v>
      </c>
      <c r="I187" s="92">
        <v>0</v>
      </c>
    </row>
    <row r="188" spans="1:9" s="109" customFormat="1" ht="18" customHeight="1">
      <c r="A188" s="108" t="s">
        <v>378</v>
      </c>
      <c r="G188" s="92">
        <v>0</v>
      </c>
      <c r="I188" s="92">
        <v>0</v>
      </c>
    </row>
    <row r="189" spans="1:9" s="109" customFormat="1" ht="18" customHeight="1">
      <c r="A189" s="108" t="s">
        <v>379</v>
      </c>
      <c r="G189" s="92">
        <v>0</v>
      </c>
      <c r="I189" s="92">
        <v>0</v>
      </c>
    </row>
    <row r="190" spans="1:9" s="109" customFormat="1" ht="18" customHeight="1">
      <c r="A190" s="108" t="s">
        <v>380</v>
      </c>
      <c r="G190" s="92">
        <v>0</v>
      </c>
      <c r="I190" s="92">
        <v>0</v>
      </c>
    </row>
    <row r="191" spans="1:9" s="109" customFormat="1" ht="18" customHeight="1">
      <c r="A191" s="108" t="s">
        <v>381</v>
      </c>
      <c r="G191" s="119">
        <f>15752+13993+277215+35+212</f>
        <v>307207</v>
      </c>
      <c r="I191" s="92">
        <v>0</v>
      </c>
    </row>
    <row r="192" spans="1:9" s="109" customFormat="1" ht="18" customHeight="1">
      <c r="A192" s="108" t="s">
        <v>384</v>
      </c>
      <c r="G192" s="92">
        <v>0</v>
      </c>
      <c r="I192" s="92">
        <v>0</v>
      </c>
    </row>
    <row r="193" spans="1:9" s="109" customFormat="1" ht="18" customHeight="1">
      <c r="A193" s="108" t="s">
        <v>385</v>
      </c>
      <c r="G193" s="92">
        <v>0</v>
      </c>
      <c r="I193" s="92">
        <v>0</v>
      </c>
    </row>
    <row r="194" spans="1:9" s="109" customFormat="1" ht="18" customHeight="1">
      <c r="A194" s="108" t="s">
        <v>386</v>
      </c>
      <c r="G194" s="92">
        <v>0</v>
      </c>
      <c r="I194" s="92">
        <v>0</v>
      </c>
    </row>
    <row r="195" spans="1:9" s="109" customFormat="1" ht="18" customHeight="1">
      <c r="A195" s="108" t="s">
        <v>387</v>
      </c>
      <c r="G195" s="92">
        <v>0</v>
      </c>
      <c r="I195" s="92">
        <v>0</v>
      </c>
    </row>
    <row r="196" spans="1:9" s="109" customFormat="1" ht="18" customHeight="1">
      <c r="A196" s="108" t="s">
        <v>388</v>
      </c>
      <c r="G196" s="119">
        <f>4450</f>
        <v>4450</v>
      </c>
      <c r="I196" s="92">
        <v>0</v>
      </c>
    </row>
    <row r="197" spans="1:9" s="109" customFormat="1" ht="18" customHeight="1">
      <c r="A197" s="108" t="s">
        <v>391</v>
      </c>
      <c r="G197" s="92">
        <v>0</v>
      </c>
      <c r="I197" s="92">
        <v>25000</v>
      </c>
    </row>
    <row r="198" spans="1:9" s="109" customFormat="1" ht="18" customHeight="1">
      <c r="A198" s="108" t="s">
        <v>389</v>
      </c>
      <c r="G198" s="92">
        <v>0</v>
      </c>
      <c r="I198" s="92">
        <v>804</v>
      </c>
    </row>
    <row r="199" spans="1:9" ht="18" customHeight="1" thickBot="1">
      <c r="A199" s="112" t="s">
        <v>9</v>
      </c>
      <c r="G199" s="51">
        <f>SUM(G174:G198)</f>
        <v>1018847</v>
      </c>
      <c r="I199" s="51">
        <f>SUM(I174:I198)</f>
        <v>96177</v>
      </c>
    </row>
    <row r="200" spans="1:9" ht="15.75" thickTop="1"/>
    <row r="204" spans="1:9">
      <c r="G204" s="92"/>
    </row>
  </sheetData>
  <mergeCells count="1">
    <mergeCell ref="A88:J89"/>
  </mergeCells>
  <printOptions horizontalCentered="1"/>
  <pageMargins left="0" right="0.19685039370078741" top="0.55118110236220474" bottom="0.74803149606299213" header="0.31496062992125984" footer="0.31496062992125984"/>
  <pageSetup paperSize="9" scale="89" orientation="portrait" r:id="rId1"/>
  <headerFooter>
    <oddFooter>&amp;C&amp;"-,Bold"&amp;14&amp;P</oddFooter>
  </headerFooter>
  <rowBreaks count="2" manualBreakCount="2">
    <brk id="38" max="16383" man="1"/>
    <brk id="74" max="16383" man="1"/>
  </rowBreaks>
  <ignoredErrors>
    <ignoredError sqref="I149 I199" formulaRange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P21"/>
  <sheetViews>
    <sheetView rightToLeft="1" zoomScaleNormal="100" zoomScaleSheetLayoutView="100" workbookViewId="0">
      <selection activeCell="K1" sqref="K1"/>
    </sheetView>
  </sheetViews>
  <sheetFormatPr defaultRowHeight="15"/>
  <cols>
    <col min="1" max="1" width="9" style="8" customWidth="1"/>
    <col min="2" max="2" width="31.7109375" style="8" bestFit="1" customWidth="1"/>
    <col min="3" max="3" width="15" style="8" bestFit="1" customWidth="1"/>
    <col min="4" max="5" width="18.42578125" style="8" bestFit="1" customWidth="1"/>
    <col min="6" max="6" width="18" style="8" bestFit="1" customWidth="1"/>
    <col min="7" max="7" width="15" style="8" bestFit="1" customWidth="1"/>
    <col min="8" max="9" width="18.42578125" style="8" bestFit="1" customWidth="1"/>
    <col min="10" max="10" width="18" style="8" bestFit="1" customWidth="1"/>
    <col min="11" max="11" width="18.42578125" style="8" bestFit="1" customWidth="1"/>
    <col min="12" max="12" width="13.85546875" style="8" customWidth="1"/>
    <col min="13" max="16384" width="9.140625" style="8"/>
  </cols>
  <sheetData>
    <row r="1" spans="1:16" customFormat="1" ht="20.25">
      <c r="A1" s="94" t="s">
        <v>325</v>
      </c>
      <c r="B1" s="72"/>
      <c r="C1" s="72"/>
      <c r="D1" s="72"/>
      <c r="E1" s="72"/>
      <c r="F1" s="81"/>
      <c r="G1" s="81"/>
      <c r="H1" s="81"/>
      <c r="I1" s="81"/>
      <c r="J1" s="72"/>
      <c r="K1" s="631" t="s">
        <v>1469</v>
      </c>
    </row>
    <row r="2" spans="1:16" customFormat="1" ht="18">
      <c r="A2" s="95" t="s">
        <v>337</v>
      </c>
      <c r="B2" s="90"/>
      <c r="C2" s="90"/>
      <c r="D2" s="90"/>
      <c r="E2" s="90"/>
      <c r="F2" s="90"/>
      <c r="H2" s="90"/>
      <c r="I2" s="82"/>
    </row>
    <row r="3" spans="1:16" customFormat="1" ht="18">
      <c r="A3" s="89" t="s">
        <v>1399</v>
      </c>
      <c r="B3" s="84"/>
      <c r="C3" s="84"/>
      <c r="D3" s="84"/>
      <c r="E3" s="84"/>
      <c r="F3" s="84"/>
      <c r="H3" s="84"/>
      <c r="I3" s="82"/>
    </row>
    <row r="4" spans="1:16" s="5" customFormat="1" ht="7.5" customHeight="1">
      <c r="A4" s="703"/>
      <c r="B4" s="703"/>
      <c r="C4" s="703"/>
      <c r="D4" s="703"/>
      <c r="E4" s="703"/>
      <c r="F4" s="703"/>
      <c r="G4" s="703"/>
      <c r="H4" s="703"/>
      <c r="I4" s="703"/>
      <c r="J4" s="703"/>
      <c r="K4" s="703"/>
      <c r="L4" s="6"/>
      <c r="M4" s="6"/>
      <c r="N4" s="6"/>
      <c r="O4" s="6"/>
      <c r="P4" s="6"/>
    </row>
    <row r="5" spans="1:16" s="5" customFormat="1" ht="21.75" thickBot="1">
      <c r="A5" s="704"/>
      <c r="B5" s="704"/>
      <c r="C5" s="704"/>
      <c r="D5" s="704"/>
      <c r="E5" s="704"/>
      <c r="F5" s="704"/>
      <c r="G5" s="704"/>
      <c r="H5" s="704"/>
      <c r="I5" s="704"/>
      <c r="J5" s="704"/>
      <c r="K5" s="704"/>
      <c r="L5" s="7"/>
      <c r="M5" s="7"/>
      <c r="N5" s="7"/>
      <c r="O5" s="7"/>
      <c r="P5" s="7"/>
    </row>
    <row r="6" spans="1:16" ht="24" customHeight="1" thickBot="1">
      <c r="A6" s="705" t="s">
        <v>22</v>
      </c>
      <c r="B6" s="708" t="s">
        <v>338</v>
      </c>
      <c r="C6" s="711" t="s">
        <v>23</v>
      </c>
      <c r="D6" s="712"/>
      <c r="E6" s="712"/>
      <c r="F6" s="713"/>
      <c r="G6" s="711" t="s">
        <v>24</v>
      </c>
      <c r="H6" s="712"/>
      <c r="I6" s="712"/>
      <c r="J6" s="714"/>
      <c r="K6" s="715" t="s">
        <v>25</v>
      </c>
    </row>
    <row r="7" spans="1:16" ht="46.5" customHeight="1" thickTop="1" thickBot="1">
      <c r="A7" s="706"/>
      <c r="B7" s="709"/>
      <c r="C7" s="96" t="s">
        <v>26</v>
      </c>
      <c r="D7" s="97" t="s">
        <v>663</v>
      </c>
      <c r="E7" s="97" t="s">
        <v>664</v>
      </c>
      <c r="F7" s="97" t="s">
        <v>27</v>
      </c>
      <c r="G7" s="97" t="s">
        <v>28</v>
      </c>
      <c r="H7" s="97" t="s">
        <v>665</v>
      </c>
      <c r="I7" s="98" t="s">
        <v>666</v>
      </c>
      <c r="J7" s="99" t="s">
        <v>456</v>
      </c>
      <c r="K7" s="716"/>
    </row>
    <row r="8" spans="1:16" ht="26.25" customHeight="1" thickTop="1" thickBot="1">
      <c r="A8" s="707"/>
      <c r="B8" s="710"/>
      <c r="C8" s="529" t="s">
        <v>662</v>
      </c>
      <c r="D8" s="529" t="s">
        <v>1400</v>
      </c>
      <c r="E8" s="529" t="s">
        <v>1400</v>
      </c>
      <c r="F8" s="530">
        <v>43038</v>
      </c>
      <c r="G8" s="529" t="s">
        <v>662</v>
      </c>
      <c r="H8" s="529" t="s">
        <v>1400</v>
      </c>
      <c r="I8" s="529" t="s">
        <v>1400</v>
      </c>
      <c r="J8" s="531" t="s">
        <v>1401</v>
      </c>
      <c r="K8" s="532" t="s">
        <v>1401</v>
      </c>
    </row>
    <row r="9" spans="1:16" ht="12" customHeight="1" thickBot="1">
      <c r="A9" s="9"/>
      <c r="B9" s="10"/>
      <c r="C9" s="10"/>
      <c r="D9" s="10"/>
      <c r="E9" s="10"/>
      <c r="F9" s="11"/>
      <c r="G9" s="10"/>
      <c r="H9" s="10"/>
      <c r="I9" s="10"/>
      <c r="J9" s="12"/>
      <c r="K9" s="13"/>
    </row>
    <row r="10" spans="1:16" ht="32.25" customHeight="1" thickTop="1" thickBot="1">
      <c r="A10" s="43">
        <v>1</v>
      </c>
      <c r="B10" s="100" t="s">
        <v>31</v>
      </c>
      <c r="C10" s="339">
        <v>5721858</v>
      </c>
      <c r="D10" s="339">
        <v>3657966</v>
      </c>
      <c r="E10" s="339">
        <v>270730</v>
      </c>
      <c r="F10" s="339">
        <f t="shared" ref="F10:F15" si="0">C10+D10-E10</f>
        <v>9109094</v>
      </c>
      <c r="G10" s="339">
        <v>1656792</v>
      </c>
      <c r="H10" s="339">
        <v>1422693</v>
      </c>
      <c r="I10" s="339"/>
      <c r="J10" s="342">
        <f t="shared" ref="J10:J15" si="1">G10+H10-I10</f>
        <v>3079485</v>
      </c>
      <c r="K10" s="343">
        <f t="shared" ref="K10:K15" si="2">F10-J10</f>
        <v>6029609</v>
      </c>
    </row>
    <row r="11" spans="1:16" ht="32.25" customHeight="1" thickTop="1" thickBot="1">
      <c r="A11" s="43">
        <v>1</v>
      </c>
      <c r="B11" s="100" t="s">
        <v>32</v>
      </c>
      <c r="C11" s="339">
        <v>455000</v>
      </c>
      <c r="D11" s="339">
        <v>264000</v>
      </c>
      <c r="E11" s="339"/>
      <c r="F11" s="339">
        <f t="shared" si="0"/>
        <v>719000</v>
      </c>
      <c r="G11" s="339">
        <v>180674</v>
      </c>
      <c r="H11" s="344">
        <f>147249-21742</f>
        <v>125507</v>
      </c>
      <c r="I11" s="339"/>
      <c r="J11" s="345">
        <f t="shared" si="1"/>
        <v>306181</v>
      </c>
      <c r="K11" s="346">
        <f t="shared" si="2"/>
        <v>412819</v>
      </c>
    </row>
    <row r="12" spans="1:16" ht="32.25" customHeight="1" thickTop="1" thickBot="1">
      <c r="A12" s="43">
        <v>3</v>
      </c>
      <c r="B12" s="100" t="s">
        <v>35</v>
      </c>
      <c r="C12" s="339">
        <v>2230729</v>
      </c>
      <c r="D12" s="339">
        <v>183000</v>
      </c>
      <c r="E12" s="339"/>
      <c r="F12" s="339">
        <f t="shared" si="0"/>
        <v>2413729</v>
      </c>
      <c r="G12" s="339">
        <v>71802</v>
      </c>
      <c r="H12" s="344">
        <v>341758</v>
      </c>
      <c r="I12" s="339"/>
      <c r="J12" s="345">
        <f t="shared" si="1"/>
        <v>413560</v>
      </c>
      <c r="K12" s="346">
        <f t="shared" si="2"/>
        <v>2000169</v>
      </c>
    </row>
    <row r="13" spans="1:16" ht="32.25" customHeight="1" thickTop="1" thickBot="1">
      <c r="A13" s="43">
        <v>4</v>
      </c>
      <c r="B13" s="100" t="s">
        <v>33</v>
      </c>
      <c r="C13" s="339">
        <v>2900937</v>
      </c>
      <c r="D13" s="339">
        <v>1384940</v>
      </c>
      <c r="E13" s="339"/>
      <c r="F13" s="339">
        <f t="shared" si="0"/>
        <v>4285877</v>
      </c>
      <c r="G13" s="339">
        <v>1524181</v>
      </c>
      <c r="H13" s="344">
        <v>396131</v>
      </c>
      <c r="I13" s="339"/>
      <c r="J13" s="345">
        <f t="shared" si="1"/>
        <v>1920312</v>
      </c>
      <c r="K13" s="346">
        <f t="shared" si="2"/>
        <v>2365565</v>
      </c>
    </row>
    <row r="14" spans="1:16" ht="32.25" customHeight="1" thickTop="1" thickBot="1">
      <c r="A14" s="43">
        <v>5</v>
      </c>
      <c r="B14" s="100" t="s">
        <v>29</v>
      </c>
      <c r="C14" s="339">
        <v>102775</v>
      </c>
      <c r="D14" s="339">
        <v>69538</v>
      </c>
      <c r="E14" s="339">
        <v>78672</v>
      </c>
      <c r="F14" s="339">
        <f t="shared" si="0"/>
        <v>93641</v>
      </c>
      <c r="G14" s="339">
        <v>85184</v>
      </c>
      <c r="H14" s="344">
        <f>12703+21743</f>
        <v>34446</v>
      </c>
      <c r="I14" s="339">
        <f>80867+21742</f>
        <v>102609</v>
      </c>
      <c r="J14" s="345">
        <f t="shared" si="1"/>
        <v>17021</v>
      </c>
      <c r="K14" s="346">
        <f t="shared" si="2"/>
        <v>76620</v>
      </c>
    </row>
    <row r="15" spans="1:16" ht="32.25" customHeight="1" thickTop="1" thickBot="1">
      <c r="A15" s="43">
        <v>6</v>
      </c>
      <c r="B15" s="100" t="s">
        <v>34</v>
      </c>
      <c r="C15" s="339">
        <v>93245</v>
      </c>
      <c r="D15" s="339">
        <v>11000</v>
      </c>
      <c r="E15" s="339">
        <v>93245</v>
      </c>
      <c r="F15" s="339">
        <f t="shared" si="0"/>
        <v>11000</v>
      </c>
      <c r="G15" s="339">
        <v>37426</v>
      </c>
      <c r="H15" s="344">
        <v>2044</v>
      </c>
      <c r="I15" s="339">
        <v>38073</v>
      </c>
      <c r="J15" s="345">
        <f t="shared" si="1"/>
        <v>1397</v>
      </c>
      <c r="K15" s="346">
        <f t="shared" si="2"/>
        <v>9603</v>
      </c>
    </row>
    <row r="16" spans="1:16" ht="32.25" customHeight="1" thickTop="1" thickBot="1">
      <c r="A16" s="43"/>
      <c r="B16" s="100" t="s">
        <v>660</v>
      </c>
      <c r="C16" s="339">
        <v>0</v>
      </c>
      <c r="D16" s="339">
        <v>108700</v>
      </c>
      <c r="E16" s="339">
        <v>0</v>
      </c>
      <c r="F16" s="339">
        <f t="shared" ref="F16:F18" si="3">C16+D16-E16</f>
        <v>108700</v>
      </c>
      <c r="G16" s="339">
        <v>0</v>
      </c>
      <c r="H16" s="344">
        <v>2234</v>
      </c>
      <c r="I16" s="339"/>
      <c r="J16" s="345">
        <f t="shared" ref="J16:J18" si="4">G16+H16-I16</f>
        <v>2234</v>
      </c>
      <c r="K16" s="346">
        <f t="shared" ref="K16:K18" si="5">F16-J16</f>
        <v>106466</v>
      </c>
    </row>
    <row r="17" spans="1:11" ht="32.25" customHeight="1" thickTop="1" thickBot="1">
      <c r="A17" s="43"/>
      <c r="B17" s="100" t="s">
        <v>661</v>
      </c>
      <c r="C17" s="339">
        <v>0</v>
      </c>
      <c r="D17" s="339">
        <v>21550</v>
      </c>
      <c r="E17" s="339">
        <v>0</v>
      </c>
      <c r="F17" s="339">
        <f t="shared" si="3"/>
        <v>21550</v>
      </c>
      <c r="G17" s="339">
        <v>0</v>
      </c>
      <c r="H17" s="344">
        <v>1570</v>
      </c>
      <c r="I17" s="339"/>
      <c r="J17" s="345">
        <f t="shared" si="4"/>
        <v>1570</v>
      </c>
      <c r="K17" s="346">
        <f t="shared" si="5"/>
        <v>19980</v>
      </c>
    </row>
    <row r="18" spans="1:11" ht="32.25" customHeight="1" thickTop="1" thickBot="1">
      <c r="A18" s="43"/>
      <c r="B18" s="100" t="s">
        <v>630</v>
      </c>
      <c r="C18" s="339">
        <v>0</v>
      </c>
      <c r="D18" s="339">
        <v>11460000</v>
      </c>
      <c r="E18" s="339">
        <v>0</v>
      </c>
      <c r="F18" s="339">
        <f t="shared" si="3"/>
        <v>11460000</v>
      </c>
      <c r="G18" s="339">
        <v>0</v>
      </c>
      <c r="H18" s="344">
        <v>0</v>
      </c>
      <c r="I18" s="339"/>
      <c r="J18" s="345">
        <f t="shared" si="4"/>
        <v>0</v>
      </c>
      <c r="K18" s="346">
        <f t="shared" si="5"/>
        <v>11460000</v>
      </c>
    </row>
    <row r="19" spans="1:11" ht="12" customHeight="1" thickTop="1" thickBot="1">
      <c r="A19" s="14"/>
      <c r="B19" s="14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8.25" customHeight="1" thickBot="1">
      <c r="A20" s="700" t="s">
        <v>30</v>
      </c>
      <c r="B20" s="701"/>
      <c r="C20" s="16">
        <f>SUM(C10:C18)</f>
        <v>11504544</v>
      </c>
      <c r="D20" s="16">
        <f t="shared" ref="D20:K20" si="6">SUM(D10:D18)</f>
        <v>17160694</v>
      </c>
      <c r="E20" s="16">
        <f t="shared" si="6"/>
        <v>442647</v>
      </c>
      <c r="F20" s="16">
        <f t="shared" si="6"/>
        <v>28222591</v>
      </c>
      <c r="G20" s="16">
        <f t="shared" si="6"/>
        <v>3556059</v>
      </c>
      <c r="H20" s="16">
        <f t="shared" si="6"/>
        <v>2326383</v>
      </c>
      <c r="I20" s="16">
        <f t="shared" si="6"/>
        <v>140682</v>
      </c>
      <c r="J20" s="16">
        <f t="shared" si="6"/>
        <v>5741760</v>
      </c>
      <c r="K20" s="16">
        <f t="shared" si="6"/>
        <v>22480831</v>
      </c>
    </row>
    <row r="21" spans="1:11" ht="61.5" customHeight="1">
      <c r="B21" s="702" t="s">
        <v>394</v>
      </c>
      <c r="C21" s="702"/>
      <c r="D21" s="101"/>
      <c r="E21" s="101"/>
      <c r="F21" s="702" t="s">
        <v>10</v>
      </c>
      <c r="G21" s="702"/>
      <c r="H21" s="101"/>
      <c r="I21" s="101"/>
      <c r="J21" s="702" t="s">
        <v>11</v>
      </c>
      <c r="K21" s="702"/>
    </row>
  </sheetData>
  <mergeCells count="11">
    <mergeCell ref="A20:B20"/>
    <mergeCell ref="F21:G21"/>
    <mergeCell ref="J21:K21"/>
    <mergeCell ref="A4:K4"/>
    <mergeCell ref="A5:K5"/>
    <mergeCell ref="A6:A8"/>
    <mergeCell ref="B6:B8"/>
    <mergeCell ref="C6:F6"/>
    <mergeCell ref="G6:J6"/>
    <mergeCell ref="K6:K7"/>
    <mergeCell ref="B21:C21"/>
  </mergeCells>
  <hyperlinks>
    <hyperlink ref="A6:A8" r:id="rId1" location="'الدليل '!A1" display="م" xr:uid="{00000000-0004-0000-1400-000000000000}"/>
    <hyperlink ref="K1" location="'ميزان المراجعة قبل الأقفال 2017'!A1" display="home" xr:uid="{00000000-0004-0000-1400-000001000000}"/>
  </hyperlinks>
  <printOptions horizontalCentered="1"/>
  <pageMargins left="0" right="0" top="0.75" bottom="0" header="0.3" footer="0"/>
  <pageSetup scale="68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0"/>
  <dimension ref="A5:D13"/>
  <sheetViews>
    <sheetView rightToLeft="1" workbookViewId="0">
      <selection activeCell="E25" sqref="E25"/>
    </sheetView>
  </sheetViews>
  <sheetFormatPr defaultRowHeight="15"/>
  <cols>
    <col min="1" max="1" width="10.7109375" bestFit="1" customWidth="1"/>
    <col min="2" max="2" width="16.85546875" bestFit="1" customWidth="1"/>
    <col min="3" max="3" width="25.42578125" bestFit="1" customWidth="1"/>
    <col min="4" max="4" width="16.42578125" bestFit="1" customWidth="1"/>
  </cols>
  <sheetData>
    <row r="5" spans="1:4" ht="30">
      <c r="A5" s="696" t="s">
        <v>229</v>
      </c>
      <c r="B5" s="696"/>
      <c r="C5" s="696"/>
      <c r="D5" s="696"/>
    </row>
    <row r="6" spans="1:4" ht="15.75" thickBot="1"/>
    <row r="7" spans="1:4" ht="16.5" thickBot="1">
      <c r="A7" s="159" t="s">
        <v>22</v>
      </c>
      <c r="B7" s="159" t="s">
        <v>417</v>
      </c>
      <c r="C7" s="160" t="s">
        <v>418</v>
      </c>
      <c r="D7" s="161" t="s">
        <v>419</v>
      </c>
    </row>
    <row r="8" spans="1:4" ht="10.5" customHeight="1" thickBot="1"/>
    <row r="9" spans="1:4" ht="18.75">
      <c r="A9" s="162">
        <v>1</v>
      </c>
      <c r="B9" s="156">
        <v>221101080112</v>
      </c>
      <c r="C9" s="153" t="s">
        <v>230</v>
      </c>
      <c r="D9" s="143">
        <v>267400</v>
      </c>
    </row>
    <row r="10" spans="1:4" ht="18.75">
      <c r="A10" s="163">
        <v>2</v>
      </c>
      <c r="B10" s="157">
        <v>221182100000</v>
      </c>
      <c r="C10" s="154" t="s">
        <v>231</v>
      </c>
      <c r="D10" s="144">
        <v>1308000</v>
      </c>
    </row>
    <row r="11" spans="1:4" ht="18.75">
      <c r="A11" s="163">
        <v>3</v>
      </c>
      <c r="B11" s="157">
        <v>221306000000</v>
      </c>
      <c r="C11" s="154" t="s">
        <v>232</v>
      </c>
      <c r="D11" s="144">
        <v>419311</v>
      </c>
    </row>
    <row r="12" spans="1:4" ht="10.5" customHeight="1" thickBot="1">
      <c r="D12" s="33"/>
    </row>
    <row r="13" spans="1:4" ht="21" thickBot="1">
      <c r="A13" s="142" t="s">
        <v>421</v>
      </c>
      <c r="B13" s="697" t="s">
        <v>420</v>
      </c>
      <c r="C13" s="698"/>
      <c r="D13" s="134">
        <f>SUM(D9:D12)</f>
        <v>1994711</v>
      </c>
    </row>
  </sheetData>
  <mergeCells count="2">
    <mergeCell ref="B13:C13"/>
    <mergeCell ref="A5:D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1"/>
  <dimension ref="A1:K38"/>
  <sheetViews>
    <sheetView rightToLeft="1" workbookViewId="0">
      <selection activeCell="H1" sqref="H1:K2"/>
    </sheetView>
  </sheetViews>
  <sheetFormatPr defaultRowHeight="15"/>
  <cols>
    <col min="1" max="1" width="10.7109375" bestFit="1" customWidth="1"/>
    <col min="2" max="3" width="20.42578125" customWidth="1"/>
    <col min="4" max="4" width="22.5703125" bestFit="1" customWidth="1"/>
    <col min="5" max="5" width="14.42578125" style="33" bestFit="1" customWidth="1"/>
    <col min="9" max="9" width="17" customWidth="1"/>
    <col min="10" max="10" width="18.7109375" customWidth="1"/>
    <col min="11" max="11" width="13.28515625" customWidth="1"/>
  </cols>
  <sheetData>
    <row r="1" spans="1:11" ht="48" customHeight="1" thickBot="1">
      <c r="A1" s="725" t="s">
        <v>668</v>
      </c>
      <c r="B1" s="725"/>
      <c r="C1" s="725"/>
      <c r="D1" s="725"/>
      <c r="E1" s="725"/>
      <c r="H1" s="725" t="s">
        <v>669</v>
      </c>
      <c r="I1" s="725"/>
      <c r="J1" s="725"/>
      <c r="K1" s="725"/>
    </row>
    <row r="2" spans="1:11" ht="16.5" thickBot="1">
      <c r="A2" s="159" t="s">
        <v>22</v>
      </c>
      <c r="B2" s="159" t="s">
        <v>417</v>
      </c>
      <c r="C2" s="185" t="s">
        <v>475</v>
      </c>
      <c r="D2" s="160" t="s">
        <v>418</v>
      </c>
      <c r="E2" s="161" t="s">
        <v>419</v>
      </c>
      <c r="H2" s="159" t="s">
        <v>22</v>
      </c>
      <c r="I2" s="159" t="s">
        <v>417</v>
      </c>
      <c r="J2" s="160" t="s">
        <v>418</v>
      </c>
      <c r="K2" s="161" t="s">
        <v>419</v>
      </c>
    </row>
    <row r="3" spans="1:11" ht="9" customHeight="1" thickBot="1">
      <c r="E3"/>
    </row>
    <row r="4" spans="1:11" ht="18.75">
      <c r="A4" s="139">
        <v>1</v>
      </c>
      <c r="B4" s="150">
        <v>122101000154</v>
      </c>
      <c r="C4" s="186" t="s">
        <v>477</v>
      </c>
      <c r="D4" s="146" t="s">
        <v>397</v>
      </c>
      <c r="E4" s="143">
        <v>97015.4</v>
      </c>
      <c r="H4" s="162">
        <v>1</v>
      </c>
      <c r="I4" s="156">
        <v>221201080600</v>
      </c>
      <c r="J4" s="153" t="s">
        <v>400</v>
      </c>
      <c r="K4" s="143">
        <v>100</v>
      </c>
    </row>
    <row r="5" spans="1:11" ht="18.75">
      <c r="A5" s="140">
        <v>2</v>
      </c>
      <c r="B5" s="151">
        <v>122101000159</v>
      </c>
      <c r="C5" s="187" t="s">
        <v>477</v>
      </c>
      <c r="D5" s="147" t="s">
        <v>398</v>
      </c>
      <c r="E5" s="144">
        <v>1840</v>
      </c>
      <c r="H5" s="163">
        <v>2</v>
      </c>
      <c r="I5" s="157">
        <v>221201082858</v>
      </c>
      <c r="J5" s="154" t="s">
        <v>401</v>
      </c>
      <c r="K5" s="144">
        <v>1125</v>
      </c>
    </row>
    <row r="6" spans="1:11" ht="18.75">
      <c r="A6" s="140">
        <v>3</v>
      </c>
      <c r="B6" s="151">
        <v>122101000162</v>
      </c>
      <c r="C6" s="187" t="s">
        <v>477</v>
      </c>
      <c r="D6" s="147" t="s">
        <v>399</v>
      </c>
      <c r="E6" s="144">
        <v>5678</v>
      </c>
      <c r="H6" s="163">
        <v>3</v>
      </c>
      <c r="I6" s="157">
        <v>221201090859</v>
      </c>
      <c r="J6" s="154" t="s">
        <v>402</v>
      </c>
      <c r="K6" s="144">
        <v>500</v>
      </c>
    </row>
    <row r="7" spans="1:11" ht="18.75">
      <c r="A7" s="140">
        <v>4</v>
      </c>
      <c r="B7" s="151">
        <v>122201070222</v>
      </c>
      <c r="C7" s="187" t="s">
        <v>476</v>
      </c>
      <c r="D7" s="147" t="s">
        <v>405</v>
      </c>
      <c r="E7" s="144">
        <v>1997</v>
      </c>
      <c r="H7" s="163">
        <v>4</v>
      </c>
      <c r="I7" s="157">
        <v>221203450670</v>
      </c>
      <c r="J7" s="154" t="s">
        <v>403</v>
      </c>
      <c r="K7" s="144">
        <v>287</v>
      </c>
    </row>
    <row r="8" spans="1:11" ht="18.75">
      <c r="A8" s="140">
        <v>5</v>
      </c>
      <c r="B8" s="151">
        <v>122201070486</v>
      </c>
      <c r="C8" s="187" t="s">
        <v>476</v>
      </c>
      <c r="D8" s="147" t="s">
        <v>406</v>
      </c>
      <c r="E8" s="144">
        <v>25279</v>
      </c>
      <c r="H8" s="163">
        <v>5</v>
      </c>
      <c r="I8" s="157">
        <v>221203484910</v>
      </c>
      <c r="J8" s="154" t="s">
        <v>404</v>
      </c>
      <c r="K8" s="144">
        <v>1337</v>
      </c>
    </row>
    <row r="9" spans="1:11" ht="18.75">
      <c r="A9" s="140">
        <v>6</v>
      </c>
      <c r="B9" s="151">
        <v>122201070487</v>
      </c>
      <c r="C9" s="187" t="s">
        <v>476</v>
      </c>
      <c r="D9" s="147" t="s">
        <v>407</v>
      </c>
      <c r="E9" s="144">
        <v>3500</v>
      </c>
      <c r="H9" s="163">
        <v>6</v>
      </c>
      <c r="I9" s="157">
        <v>221204987323</v>
      </c>
      <c r="J9" s="154" t="s">
        <v>416</v>
      </c>
      <c r="K9" s="144">
        <v>8344</v>
      </c>
    </row>
    <row r="10" spans="1:11" ht="18.75">
      <c r="A10" s="140">
        <v>7</v>
      </c>
      <c r="B10" s="151">
        <v>122201070488</v>
      </c>
      <c r="C10" s="187" t="s">
        <v>476</v>
      </c>
      <c r="D10" s="148" t="s">
        <v>408</v>
      </c>
      <c r="E10" s="144">
        <v>100</v>
      </c>
      <c r="H10" s="163">
        <v>7</v>
      </c>
      <c r="I10" s="157">
        <v>122201070485</v>
      </c>
      <c r="J10" s="154" t="s">
        <v>414</v>
      </c>
      <c r="K10" s="144">
        <v>6346</v>
      </c>
    </row>
    <row r="11" spans="1:11" ht="19.5" thickBot="1">
      <c r="A11" s="140">
        <v>8</v>
      </c>
      <c r="B11" s="151">
        <v>122201070489</v>
      </c>
      <c r="C11" s="187" t="s">
        <v>476</v>
      </c>
      <c r="D11" s="147" t="s">
        <v>409</v>
      </c>
      <c r="E11" s="144">
        <v>100</v>
      </c>
      <c r="H11" s="164">
        <v>8</v>
      </c>
      <c r="I11" s="158">
        <v>122201070494</v>
      </c>
      <c r="J11" s="155" t="s">
        <v>415</v>
      </c>
      <c r="K11" s="145">
        <v>5602</v>
      </c>
    </row>
    <row r="12" spans="1:11" ht="16.5" thickBot="1">
      <c r="A12" s="140">
        <v>9</v>
      </c>
      <c r="B12" s="151">
        <v>122201070490</v>
      </c>
      <c r="C12" s="187" t="s">
        <v>476</v>
      </c>
      <c r="D12" s="147" t="s">
        <v>410</v>
      </c>
      <c r="E12" s="144">
        <v>100</v>
      </c>
      <c r="H12" s="135"/>
      <c r="I12" s="135"/>
      <c r="J12" s="136"/>
      <c r="K12" s="137"/>
    </row>
    <row r="13" spans="1:11" ht="21" thickBot="1">
      <c r="A13" s="140">
        <v>10</v>
      </c>
      <c r="B13" s="151">
        <v>122201070491</v>
      </c>
      <c r="C13" s="187" t="s">
        <v>476</v>
      </c>
      <c r="D13" s="147" t="s">
        <v>411</v>
      </c>
      <c r="E13" s="144">
        <v>1150</v>
      </c>
      <c r="H13" s="142" t="s">
        <v>421</v>
      </c>
      <c r="I13" s="697" t="s">
        <v>420</v>
      </c>
      <c r="J13" s="698"/>
      <c r="K13" s="134">
        <f>SUM(K4:K12)</f>
        <v>23641</v>
      </c>
    </row>
    <row r="14" spans="1:11" ht="15.75">
      <c r="A14" s="140">
        <v>11</v>
      </c>
      <c r="B14" s="151">
        <v>122201070492</v>
      </c>
      <c r="C14" s="187" t="s">
        <v>476</v>
      </c>
      <c r="D14" s="147" t="s">
        <v>86</v>
      </c>
      <c r="E14" s="144">
        <v>299</v>
      </c>
      <c r="H14" s="129"/>
      <c r="I14" s="129"/>
      <c r="K14" s="130"/>
    </row>
    <row r="15" spans="1:11" ht="15.75">
      <c r="A15" s="140">
        <v>12</v>
      </c>
      <c r="B15" s="151">
        <v>122201070493</v>
      </c>
      <c r="C15" s="187" t="s">
        <v>476</v>
      </c>
      <c r="D15" s="147" t="s">
        <v>412</v>
      </c>
      <c r="E15" s="144">
        <v>990</v>
      </c>
      <c r="H15" s="129"/>
      <c r="I15" s="129"/>
      <c r="K15" s="130"/>
    </row>
    <row r="16" spans="1:11" ht="16.5" thickBot="1">
      <c r="A16" s="141">
        <v>13</v>
      </c>
      <c r="B16" s="152">
        <v>122201070496</v>
      </c>
      <c r="C16" s="188" t="s">
        <v>476</v>
      </c>
      <c r="D16" s="149" t="s">
        <v>413</v>
      </c>
      <c r="E16" s="145">
        <v>90000</v>
      </c>
      <c r="H16" s="129"/>
      <c r="I16" s="129"/>
      <c r="K16" s="130"/>
    </row>
    <row r="17" spans="1:11" ht="9" customHeight="1" thickBot="1">
      <c r="A17" s="131"/>
      <c r="B17" s="132"/>
      <c r="C17" s="132"/>
      <c r="D17" s="131"/>
      <c r="E17" s="133"/>
      <c r="H17" s="129"/>
      <c r="I17" s="129"/>
      <c r="K17" s="130"/>
    </row>
    <row r="18" spans="1:11" ht="21" thickBot="1">
      <c r="A18" s="138" t="s">
        <v>421</v>
      </c>
      <c r="B18" s="697" t="s">
        <v>420</v>
      </c>
      <c r="C18" s="724"/>
      <c r="D18" s="698"/>
      <c r="E18" s="134">
        <f>SUBTOTAL(9,E4:E17)</f>
        <v>228048.4</v>
      </c>
      <c r="H18" s="129"/>
      <c r="I18" s="129"/>
      <c r="K18" s="130"/>
    </row>
    <row r="19" spans="1:11">
      <c r="B19" s="129"/>
      <c r="C19" s="129"/>
      <c r="H19" s="129"/>
      <c r="I19" s="129"/>
      <c r="K19" s="130"/>
    </row>
    <row r="20" spans="1:11">
      <c r="B20" s="129"/>
      <c r="C20" s="129"/>
      <c r="H20" s="129"/>
      <c r="I20" s="129"/>
      <c r="K20" s="130"/>
    </row>
    <row r="21" spans="1:11">
      <c r="B21" s="129"/>
      <c r="C21" s="129"/>
      <c r="H21" s="129"/>
      <c r="I21" s="129"/>
      <c r="K21" s="130"/>
    </row>
    <row r="22" spans="1:11">
      <c r="B22" s="129"/>
      <c r="C22" s="129"/>
      <c r="H22" s="129"/>
      <c r="I22" s="129"/>
      <c r="K22" s="130"/>
    </row>
    <row r="23" spans="1:11">
      <c r="B23" s="129"/>
      <c r="C23" s="129"/>
      <c r="H23" s="129"/>
      <c r="I23" s="129"/>
      <c r="K23" s="130"/>
    </row>
    <row r="24" spans="1:11">
      <c r="B24" s="129"/>
      <c r="C24" s="129"/>
      <c r="H24" s="129"/>
      <c r="I24" s="129"/>
      <c r="K24" s="130"/>
    </row>
    <row r="25" spans="1:11">
      <c r="B25" s="129"/>
      <c r="C25" s="129"/>
      <c r="H25" s="129"/>
      <c r="I25" s="129"/>
    </row>
    <row r="26" spans="1:11">
      <c r="B26" s="129"/>
      <c r="C26" s="129"/>
      <c r="H26" s="129"/>
      <c r="I26" s="129"/>
    </row>
    <row r="27" spans="1:11">
      <c r="B27" s="129"/>
      <c r="C27" s="129"/>
      <c r="H27" s="129"/>
      <c r="I27" s="129"/>
    </row>
    <row r="28" spans="1:11">
      <c r="B28" s="129"/>
      <c r="C28" s="129"/>
    </row>
    <row r="29" spans="1:11">
      <c r="B29" s="129"/>
      <c r="C29" s="129"/>
    </row>
    <row r="30" spans="1:11">
      <c r="B30" s="129"/>
      <c r="C30" s="129"/>
    </row>
    <row r="31" spans="1:11">
      <c r="B31" s="129"/>
      <c r="C31" s="129"/>
    </row>
    <row r="32" spans="1:11">
      <c r="B32" s="129"/>
      <c r="C32" s="129"/>
    </row>
    <row r="33" spans="2:3">
      <c r="B33" s="129"/>
      <c r="C33" s="129"/>
    </row>
    <row r="34" spans="2:3">
      <c r="B34" s="129"/>
      <c r="C34" s="129"/>
    </row>
    <row r="35" spans="2:3">
      <c r="B35" s="129"/>
      <c r="C35" s="129"/>
    </row>
    <row r="36" spans="2:3">
      <c r="B36" s="129"/>
      <c r="C36" s="129"/>
    </row>
    <row r="37" spans="2:3">
      <c r="B37" s="129"/>
      <c r="C37" s="129"/>
    </row>
    <row r="38" spans="2:3">
      <c r="B38" s="129"/>
      <c r="C38" s="129"/>
    </row>
  </sheetData>
  <autoFilter ref="C2:C16" xr:uid="{00000000-0009-0000-0000-00001A000000}"/>
  <mergeCells count="4">
    <mergeCell ref="B18:D18"/>
    <mergeCell ref="I13:J13"/>
    <mergeCell ref="A1:E1"/>
    <mergeCell ref="H1:K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J27"/>
  <sheetViews>
    <sheetView rightToLeft="1" view="pageBreakPreview" zoomScaleNormal="100" zoomScaleSheetLayoutView="100" workbookViewId="0">
      <selection activeCell="F16" sqref="F16"/>
    </sheetView>
  </sheetViews>
  <sheetFormatPr defaultRowHeight="15"/>
  <cols>
    <col min="1" max="1" width="34.5703125" style="40" customWidth="1"/>
    <col min="2" max="2" width="0.85546875" customWidth="1"/>
    <col min="3" max="3" width="6.140625" customWidth="1"/>
    <col min="4" max="4" width="0.85546875" hidden="1" customWidth="1"/>
    <col min="5" max="5" width="0.85546875" customWidth="1"/>
    <col min="6" max="6" width="21.5703125" style="489" customWidth="1"/>
    <col min="7" max="7" width="0.85546875" style="490" customWidth="1"/>
    <col min="8" max="8" width="21.5703125" style="489" customWidth="1"/>
    <col min="9" max="9" width="0.85546875" style="490" customWidth="1"/>
    <col min="10" max="10" width="21.5703125" style="491" customWidth="1"/>
  </cols>
  <sheetData>
    <row r="1" spans="1:10" s="44" customFormat="1" ht="22.5" customHeight="1">
      <c r="A1" s="685" t="s">
        <v>12</v>
      </c>
      <c r="B1" s="685"/>
      <c r="C1" s="685"/>
      <c r="D1" s="685"/>
      <c r="E1" s="685"/>
      <c r="F1" s="685"/>
      <c r="G1" s="685"/>
      <c r="H1" s="685"/>
      <c r="I1" s="685"/>
      <c r="J1" s="685"/>
    </row>
    <row r="2" spans="1:10" s="44" customFormat="1" ht="22.5" customHeight="1">
      <c r="A2" s="686" t="s">
        <v>247</v>
      </c>
      <c r="B2" s="686"/>
      <c r="C2" s="686"/>
      <c r="D2" s="686"/>
      <c r="E2" s="686"/>
      <c r="F2" s="686"/>
      <c r="G2" s="686"/>
      <c r="H2" s="686"/>
      <c r="I2" s="686"/>
      <c r="J2" s="686"/>
    </row>
    <row r="3" spans="1:10" s="44" customFormat="1" ht="25.5" customHeight="1">
      <c r="A3" s="685" t="s">
        <v>319</v>
      </c>
      <c r="B3" s="685"/>
      <c r="C3" s="685"/>
      <c r="D3" s="685"/>
      <c r="E3" s="685"/>
      <c r="F3" s="685"/>
      <c r="G3" s="685"/>
      <c r="H3" s="685"/>
      <c r="I3" s="685"/>
      <c r="J3" s="685"/>
    </row>
    <row r="4" spans="1:10" s="44" customFormat="1" ht="25.5" customHeight="1">
      <c r="A4" s="685" t="s">
        <v>320</v>
      </c>
      <c r="B4" s="685"/>
      <c r="C4" s="685"/>
      <c r="D4" s="685"/>
      <c r="E4" s="685"/>
      <c r="F4" s="685"/>
      <c r="G4" s="685"/>
      <c r="H4" s="685"/>
      <c r="I4" s="685"/>
      <c r="J4" s="685"/>
    </row>
    <row r="6" spans="1:10" ht="19.5" thickBot="1">
      <c r="A6" s="56" t="s">
        <v>1</v>
      </c>
      <c r="B6" s="53"/>
      <c r="C6" s="54" t="s">
        <v>248</v>
      </c>
      <c r="D6" s="53"/>
      <c r="E6" s="53"/>
      <c r="F6" s="492" t="s">
        <v>1390</v>
      </c>
      <c r="G6" s="493"/>
      <c r="H6" s="492" t="s">
        <v>249</v>
      </c>
      <c r="I6" s="494"/>
      <c r="J6" s="492" t="s">
        <v>250</v>
      </c>
    </row>
    <row r="7" spans="1:10" ht="18.75" thickTop="1">
      <c r="A7" s="70" t="s">
        <v>225</v>
      </c>
      <c r="F7" s="499">
        <v>11685815</v>
      </c>
      <c r="G7" s="500"/>
      <c r="H7" s="499">
        <v>7783013</v>
      </c>
      <c r="I7" s="501"/>
      <c r="J7" s="499">
        <v>3130256</v>
      </c>
    </row>
    <row r="8" spans="1:10" ht="18">
      <c r="A8" s="70" t="s">
        <v>272</v>
      </c>
      <c r="C8" s="78" t="s">
        <v>321</v>
      </c>
      <c r="F8" s="499">
        <f>-6416473.09-2272839+2762-2700</f>
        <v>-8689250.0899999999</v>
      </c>
      <c r="G8" s="500"/>
      <c r="H8" s="499">
        <v>-4613761</v>
      </c>
      <c r="I8" s="501"/>
      <c r="J8" s="499">
        <v>-2395294</v>
      </c>
    </row>
    <row r="9" spans="1:10" ht="18">
      <c r="A9" s="71" t="s">
        <v>273</v>
      </c>
      <c r="F9" s="502">
        <f>SUM(F7:F8)</f>
        <v>2996564.91</v>
      </c>
      <c r="G9" s="500"/>
      <c r="H9" s="502">
        <f>SUM(H7:H8)</f>
        <v>3169252</v>
      </c>
      <c r="I9" s="501"/>
      <c r="J9" s="502">
        <f>SUM(J7:J8)</f>
        <v>734962</v>
      </c>
    </row>
    <row r="10" spans="1:10" ht="18">
      <c r="A10" s="70" t="s">
        <v>274</v>
      </c>
      <c r="C10" s="78" t="s">
        <v>322</v>
      </c>
      <c r="F10" s="499">
        <f>-1618434.41-56306</f>
        <v>-1674740.41</v>
      </c>
      <c r="G10" s="500"/>
      <c r="H10" s="499">
        <v>-847886</v>
      </c>
      <c r="I10" s="501"/>
      <c r="J10" s="499">
        <v>-96177</v>
      </c>
    </row>
    <row r="11" spans="1:10" ht="18">
      <c r="A11" s="70" t="s">
        <v>275</v>
      </c>
      <c r="F11" s="499">
        <v>0</v>
      </c>
      <c r="G11" s="500"/>
      <c r="H11" s="499">
        <v>0</v>
      </c>
      <c r="I11" s="501"/>
      <c r="J11" s="499">
        <v>0</v>
      </c>
    </row>
    <row r="12" spans="1:10" ht="18">
      <c r="A12" s="71" t="s">
        <v>276</v>
      </c>
      <c r="F12" s="502">
        <f>SUM(F10:F11)</f>
        <v>-1674740.41</v>
      </c>
      <c r="G12" s="500"/>
      <c r="H12" s="502">
        <f>SUM(H10:H11)</f>
        <v>-847886</v>
      </c>
      <c r="I12" s="501"/>
      <c r="J12" s="502">
        <f>SUM(J10:J11)</f>
        <v>-96177</v>
      </c>
    </row>
    <row r="13" spans="1:10" ht="18">
      <c r="A13" s="70" t="s">
        <v>277</v>
      </c>
      <c r="F13" s="502">
        <v>0</v>
      </c>
      <c r="G13" s="500"/>
      <c r="H13" s="502">
        <v>0</v>
      </c>
      <c r="I13" s="501"/>
      <c r="J13" s="502">
        <v>32134</v>
      </c>
    </row>
    <row r="14" spans="1:10" ht="18">
      <c r="A14" s="71" t="s">
        <v>278</v>
      </c>
      <c r="F14" s="502">
        <f>F9+F12+F13</f>
        <v>1321824.5000000002</v>
      </c>
      <c r="G14" s="500"/>
      <c r="H14" s="502">
        <f>H9+H12+H13</f>
        <v>2321366</v>
      </c>
      <c r="I14" s="501"/>
      <c r="J14" s="502">
        <f>J9+J12+J13</f>
        <v>670919</v>
      </c>
    </row>
    <row r="15" spans="1:10" ht="18">
      <c r="A15" s="70" t="s">
        <v>279</v>
      </c>
      <c r="C15" s="78" t="s">
        <v>316</v>
      </c>
      <c r="F15" s="502">
        <v>-35421</v>
      </c>
      <c r="G15" s="500"/>
      <c r="H15" s="502">
        <v>-60801</v>
      </c>
      <c r="I15" s="501"/>
      <c r="J15" s="502">
        <v>-17206</v>
      </c>
    </row>
    <row r="16" spans="1:10" ht="18.75" thickBot="1">
      <c r="A16" s="71" t="s">
        <v>280</v>
      </c>
      <c r="F16" s="503">
        <f>F14+F15</f>
        <v>1286403.5000000002</v>
      </c>
      <c r="G16" s="500"/>
      <c r="H16" s="503">
        <f>H14+H15</f>
        <v>2260565</v>
      </c>
      <c r="I16" s="501"/>
      <c r="J16" s="503">
        <f>J14+J15</f>
        <v>653713</v>
      </c>
    </row>
    <row r="17" spans="1:10" ht="15.75" thickTop="1">
      <c r="F17" s="491"/>
      <c r="H17" s="491"/>
      <c r="I17" s="495"/>
    </row>
    <row r="18" spans="1:10">
      <c r="F18" s="491"/>
      <c r="H18" s="491"/>
      <c r="I18" s="495"/>
    </row>
    <row r="19" spans="1:10" ht="35.25" customHeight="1">
      <c r="F19" s="491"/>
      <c r="H19" s="491"/>
      <c r="I19" s="495"/>
    </row>
    <row r="20" spans="1:10" ht="35.25" customHeight="1"/>
    <row r="21" spans="1:10" ht="35.25" customHeight="1"/>
    <row r="22" spans="1:10" ht="35.25" customHeight="1"/>
    <row r="23" spans="1:10" ht="35.25" customHeight="1"/>
    <row r="24" spans="1:10" ht="35.25" customHeight="1"/>
    <row r="25" spans="1:10" ht="35.25" customHeight="1"/>
    <row r="26" spans="1:10" ht="35.25" customHeight="1"/>
    <row r="27" spans="1:10">
      <c r="A27" s="73" t="s">
        <v>318</v>
      </c>
      <c r="B27" s="72"/>
      <c r="C27" s="72"/>
      <c r="D27" s="72"/>
      <c r="E27" s="72"/>
      <c r="F27" s="496"/>
      <c r="G27" s="497"/>
      <c r="H27" s="496"/>
      <c r="I27" s="497"/>
      <c r="J27" s="498"/>
    </row>
  </sheetData>
  <mergeCells count="4">
    <mergeCell ref="A1:J1"/>
    <mergeCell ref="A2:J2"/>
    <mergeCell ref="A3:J3"/>
    <mergeCell ref="A4:J4"/>
  </mergeCells>
  <printOptions horizontalCentered="1"/>
  <pageMargins left="0.70866141732283472" right="0.70866141732283472" top="0.74803149606299213" bottom="0.15748031496062992" header="0.31496062992125984" footer="0.31496062992125984"/>
  <pageSetup scale="82" orientation="portrait" r:id="rId1"/>
  <ignoredErrors>
    <ignoredError sqref="C8:C15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4"/>
  <sheetViews>
    <sheetView rightToLeft="1" workbookViewId="0">
      <selection activeCell="G7" sqref="G7"/>
    </sheetView>
  </sheetViews>
  <sheetFormatPr defaultRowHeight="15"/>
  <cols>
    <col min="1" max="1" width="11.7109375" customWidth="1"/>
    <col min="5" max="5" width="9.5703125" bestFit="1" customWidth="1"/>
    <col min="7" max="7" width="15" bestFit="1" customWidth="1"/>
    <col min="9" max="9" width="10.5703125" bestFit="1" customWidth="1"/>
    <col min="11" max="11" width="9.85546875" bestFit="1" customWidth="1"/>
    <col min="16" max="16" width="14.85546875" customWidth="1"/>
  </cols>
  <sheetData>
    <row r="1" spans="1:16" s="538" customFormat="1" ht="18.75">
      <c r="A1" s="539" t="s">
        <v>343</v>
      </c>
      <c r="B1" s="540"/>
      <c r="C1" s="540"/>
      <c r="D1" s="540"/>
      <c r="E1" s="540"/>
      <c r="F1" s="540"/>
      <c r="G1" s="540"/>
      <c r="H1" s="536"/>
      <c r="I1" s="540"/>
      <c r="J1" s="536"/>
      <c r="K1" s="631" t="s">
        <v>1469</v>
      </c>
      <c r="N1" s="381"/>
    </row>
    <row r="2" spans="1:16" s="538" customFormat="1" ht="18.75">
      <c r="A2" s="542" t="s">
        <v>1488</v>
      </c>
      <c r="B2" s="543"/>
      <c r="C2" s="543"/>
      <c r="D2" s="543"/>
      <c r="E2" s="543"/>
      <c r="F2" s="543"/>
      <c r="G2" s="543"/>
      <c r="I2" s="543"/>
      <c r="K2" s="543"/>
      <c r="N2" s="381"/>
    </row>
    <row r="3" spans="1:16" s="538" customFormat="1">
      <c r="G3" s="88">
        <v>2017</v>
      </c>
      <c r="I3" s="88">
        <v>2016</v>
      </c>
      <c r="J3" s="57"/>
      <c r="K3" s="88">
        <v>2015</v>
      </c>
      <c r="N3" s="381"/>
    </row>
    <row r="4" spans="1:16" s="538" customFormat="1" ht="9" customHeight="1">
      <c r="G4" s="83"/>
      <c r="I4" s="83"/>
      <c r="K4" s="83"/>
      <c r="N4" s="381"/>
    </row>
    <row r="5" spans="1:16" s="538" customFormat="1" ht="18.75">
      <c r="A5" s="544" t="s">
        <v>281</v>
      </c>
      <c r="G5" s="546">
        <v>1416824.5</v>
      </c>
      <c r="I5" s="546">
        <v>2432055</v>
      </c>
      <c r="K5" s="546">
        <v>688226</v>
      </c>
      <c r="N5" s="381"/>
    </row>
    <row r="6" spans="1:16" s="538" customFormat="1" ht="18.75">
      <c r="A6" s="544"/>
      <c r="G6" s="546"/>
      <c r="I6" s="546"/>
      <c r="K6" s="546"/>
      <c r="N6" s="381"/>
    </row>
    <row r="7" spans="1:16" s="538" customFormat="1" ht="18.75">
      <c r="A7" s="544" t="s">
        <v>282</v>
      </c>
      <c r="G7" s="548">
        <f>207036+1275000+1625539+15266698+69240</f>
        <v>18443513</v>
      </c>
      <c r="I7" s="546">
        <f>500000+732855+174242+2432055</f>
        <v>3839152</v>
      </c>
      <c r="K7" s="546">
        <v>1694361</v>
      </c>
      <c r="N7" s="381"/>
    </row>
    <row r="8" spans="1:16" s="538" customFormat="1" ht="18.75">
      <c r="A8" s="544" t="s">
        <v>283</v>
      </c>
      <c r="G8" s="638">
        <f>-22480831</f>
        <v>-22480831</v>
      </c>
      <c r="I8" s="549">
        <f>-7948485-242464-367145</f>
        <v>-8558094</v>
      </c>
      <c r="K8" s="546">
        <v>-2858969</v>
      </c>
      <c r="N8" s="381"/>
    </row>
    <row r="9" spans="1:16" s="538" customFormat="1" ht="19.5">
      <c r="A9" s="550" t="s">
        <v>289</v>
      </c>
      <c r="G9" s="639">
        <f>G5+G7+G8</f>
        <v>-2620493.5</v>
      </c>
      <c r="I9" s="50">
        <v>2432055</v>
      </c>
      <c r="J9" s="57"/>
      <c r="K9" s="50">
        <v>688226</v>
      </c>
      <c r="N9" s="739" t="s">
        <v>1526</v>
      </c>
    </row>
    <row r="10" spans="1:16" s="538" customFormat="1" ht="19.5">
      <c r="A10" s="550" t="s">
        <v>351</v>
      </c>
      <c r="G10" s="50">
        <f>G5*0.025</f>
        <v>35420.612500000003</v>
      </c>
      <c r="I10" s="50">
        <f>I9*0.025</f>
        <v>60801.375</v>
      </c>
      <c r="J10" s="57"/>
      <c r="K10" s="50">
        <f>K9*0.025</f>
        <v>17205.650000000001</v>
      </c>
      <c r="N10" s="381"/>
    </row>
    <row r="11" spans="1:16" s="538" customFormat="1" ht="18.75">
      <c r="A11" s="544" t="s">
        <v>349</v>
      </c>
      <c r="G11" s="547"/>
      <c r="I11" s="547"/>
      <c r="K11" s="547"/>
      <c r="N11" s="381"/>
    </row>
    <row r="12" spans="1:16" s="538" customFormat="1" ht="18.75">
      <c r="A12" s="544" t="s">
        <v>350</v>
      </c>
      <c r="G12" s="546">
        <v>78007</v>
      </c>
      <c r="I12" s="546">
        <v>17206</v>
      </c>
      <c r="K12" s="546">
        <v>32134</v>
      </c>
      <c r="N12" s="381"/>
    </row>
    <row r="13" spans="1:16" s="538" customFormat="1" ht="18.75">
      <c r="A13" s="544" t="s">
        <v>352</v>
      </c>
      <c r="G13" s="546">
        <v>35421</v>
      </c>
      <c r="I13" s="546">
        <v>60801</v>
      </c>
      <c r="K13" s="546">
        <v>17206</v>
      </c>
      <c r="N13" s="381"/>
      <c r="P13" s="740"/>
    </row>
    <row r="14" spans="1:16" s="538" customFormat="1" ht="18.75">
      <c r="A14" s="544" t="s">
        <v>353</v>
      </c>
      <c r="G14" s="92">
        <v>0</v>
      </c>
      <c r="I14" s="92">
        <v>0</v>
      </c>
      <c r="K14" s="546">
        <v>-32134</v>
      </c>
      <c r="N14" s="381"/>
      <c r="P14" s="740"/>
    </row>
    <row r="15" spans="1:16" s="538" customFormat="1" ht="23.25" customHeight="1" thickBot="1">
      <c r="A15" s="550" t="s">
        <v>356</v>
      </c>
      <c r="G15" s="51">
        <f>SUM(G12:G14)</f>
        <v>113428</v>
      </c>
      <c r="I15" s="51">
        <f>SUM(I12:I14)</f>
        <v>78007</v>
      </c>
      <c r="J15" s="57"/>
      <c r="K15" s="51">
        <f>SUM(K12:K14)</f>
        <v>17206</v>
      </c>
      <c r="N15" s="381"/>
      <c r="P15" s="381"/>
    </row>
    <row r="16" spans="1:16" ht="15.75" thickTop="1"/>
    <row r="20" spans="1:16" s="601" customFormat="1">
      <c r="A20" s="601" t="s">
        <v>1489</v>
      </c>
      <c r="P20" s="381"/>
    </row>
    <row r="23" spans="1:16">
      <c r="A23" s="690" t="s">
        <v>1490</v>
      </c>
      <c r="B23" s="692" t="s">
        <v>1491</v>
      </c>
      <c r="C23" s="599">
        <v>35421</v>
      </c>
      <c r="D23" s="693" t="s">
        <v>1491</v>
      </c>
      <c r="E23" s="691">
        <f>C23/12</f>
        <v>2951.75</v>
      </c>
      <c r="F23" s="694" t="s">
        <v>1493</v>
      </c>
      <c r="G23" s="695">
        <v>12</v>
      </c>
      <c r="H23" s="693" t="s">
        <v>1491</v>
      </c>
      <c r="I23" s="691">
        <f>E23*12</f>
        <v>35421</v>
      </c>
      <c r="J23" s="692" t="s">
        <v>1494</v>
      </c>
    </row>
    <row r="24" spans="1:16">
      <c r="A24" s="690"/>
      <c r="B24" s="692"/>
      <c r="C24" s="600" t="s">
        <v>1492</v>
      </c>
      <c r="D24" s="693"/>
      <c r="E24" s="691"/>
      <c r="F24" s="694"/>
      <c r="G24" s="695"/>
      <c r="H24" s="693"/>
      <c r="I24" s="691"/>
      <c r="J24" s="692"/>
    </row>
  </sheetData>
  <mergeCells count="9">
    <mergeCell ref="A23:A24"/>
    <mergeCell ref="I23:I24"/>
    <mergeCell ref="J23:J24"/>
    <mergeCell ref="D23:D24"/>
    <mergeCell ref="B23:B24"/>
    <mergeCell ref="E23:E24"/>
    <mergeCell ref="F23:F24"/>
    <mergeCell ref="G23:G24"/>
    <mergeCell ref="H23:H24"/>
  </mergeCells>
  <hyperlinks>
    <hyperlink ref="K1" location="'ميزان المراجعة قبل الأقفال 2017'!A1" display="home" xr:uid="{00000000-0004-0000-0F00-000000000000}"/>
    <hyperlink ref="N9" location="'قائمة الدخل'!A1" display="'قائمة الدخل'!A1" xr:uid="{A31589CD-ACC7-461B-8329-AFC98DBE8DCA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N41"/>
  <sheetViews>
    <sheetView rightToLeft="1" topLeftCell="A7" zoomScaleNormal="100" zoomScaleSheetLayoutView="100" workbookViewId="0">
      <selection activeCell="Q14" sqref="Q14"/>
    </sheetView>
  </sheetViews>
  <sheetFormatPr defaultRowHeight="15"/>
  <cols>
    <col min="1" max="1" width="37.140625" style="40" customWidth="1"/>
    <col min="2" max="2" width="0.85546875" customWidth="1"/>
    <col min="4" max="4" width="0.85546875" customWidth="1"/>
    <col min="5" max="5" width="16.85546875" style="749" customWidth="1"/>
    <col min="6" max="6" width="1.28515625" customWidth="1"/>
    <col min="7" max="7" width="16.85546875" customWidth="1"/>
    <col min="8" max="8" width="0.85546875" customWidth="1"/>
    <col min="9" max="9" width="16.85546875" style="38" customWidth="1"/>
  </cols>
  <sheetData>
    <row r="1" spans="1:9" s="44" customFormat="1" ht="22.5" customHeight="1">
      <c r="A1" s="685" t="s">
        <v>12</v>
      </c>
      <c r="B1" s="685"/>
      <c r="C1" s="685"/>
      <c r="D1" s="685"/>
      <c r="E1" s="685"/>
      <c r="F1" s="685"/>
      <c r="G1" s="685"/>
      <c r="H1" s="685"/>
      <c r="I1" s="685"/>
    </row>
    <row r="2" spans="1:9" s="44" customFormat="1" ht="22.5" customHeight="1">
      <c r="A2" s="686" t="s">
        <v>247</v>
      </c>
      <c r="B2" s="686"/>
      <c r="C2" s="686"/>
      <c r="D2" s="686"/>
      <c r="E2" s="686"/>
      <c r="F2" s="686"/>
      <c r="G2" s="686"/>
      <c r="H2" s="686"/>
      <c r="I2" s="686"/>
    </row>
    <row r="3" spans="1:9" s="44" customFormat="1" ht="25.5" customHeight="1">
      <c r="A3" s="685" t="s">
        <v>317</v>
      </c>
      <c r="B3" s="685"/>
      <c r="C3" s="685"/>
      <c r="D3" s="685"/>
      <c r="E3" s="685"/>
      <c r="F3" s="685"/>
      <c r="G3" s="685"/>
      <c r="H3" s="685"/>
      <c r="I3" s="685"/>
    </row>
    <row r="4" spans="1:9" s="44" customFormat="1" ht="25.5" customHeight="1">
      <c r="A4" s="685" t="s">
        <v>1503</v>
      </c>
      <c r="B4" s="685"/>
      <c r="C4" s="685"/>
      <c r="D4" s="685"/>
      <c r="E4" s="685"/>
      <c r="F4" s="685"/>
      <c r="G4" s="685"/>
      <c r="H4" s="685"/>
      <c r="I4" s="685"/>
    </row>
    <row r="6" spans="1:9" ht="19.5" customHeight="1" thickBot="1">
      <c r="A6" s="45" t="s">
        <v>1</v>
      </c>
      <c r="C6" s="42" t="s">
        <v>248</v>
      </c>
      <c r="E6" s="742" t="s">
        <v>1390</v>
      </c>
      <c r="G6" s="47" t="s">
        <v>249</v>
      </c>
      <c r="H6" s="48"/>
      <c r="I6" s="47" t="s">
        <v>250</v>
      </c>
    </row>
    <row r="7" spans="1:9" ht="18.75" thickTop="1">
      <c r="A7" s="70" t="s">
        <v>251</v>
      </c>
      <c r="E7" s="743"/>
      <c r="G7" s="48"/>
      <c r="H7" s="48"/>
      <c r="I7" s="48"/>
    </row>
    <row r="8" spans="1:9" ht="18">
      <c r="A8" s="70" t="s">
        <v>252</v>
      </c>
      <c r="E8" s="743"/>
      <c r="G8" s="48"/>
      <c r="H8" s="48"/>
      <c r="I8" s="48"/>
    </row>
    <row r="9" spans="1:9" ht="18">
      <c r="A9" s="70" t="s">
        <v>253</v>
      </c>
      <c r="C9" s="78" t="s">
        <v>1479</v>
      </c>
      <c r="E9" s="744">
        <f>'النقد و ما في حكمه'!G9</f>
        <v>83821.36</v>
      </c>
      <c r="G9" s="49">
        <f>532034+14972</f>
        <v>547006</v>
      </c>
      <c r="H9" s="48"/>
      <c r="I9" s="49">
        <v>171380</v>
      </c>
    </row>
    <row r="10" spans="1:9" ht="18">
      <c r="A10" s="70" t="s">
        <v>254</v>
      </c>
      <c r="C10" s="78" t="s">
        <v>1480</v>
      </c>
      <c r="E10" s="744">
        <v>2448731.94</v>
      </c>
      <c r="G10" s="49">
        <f>189853+220000+104534+123515+146400+57429+41667</f>
        <v>883398</v>
      </c>
      <c r="H10" s="48"/>
      <c r="I10" s="49">
        <v>829704</v>
      </c>
    </row>
    <row r="11" spans="1:9" ht="18">
      <c r="A11" s="71" t="s">
        <v>255</v>
      </c>
      <c r="C11" s="79"/>
      <c r="E11" s="745">
        <f>SUM(E9:E10)</f>
        <v>2532553.2999999998</v>
      </c>
      <c r="G11" s="50">
        <f>SUM(G9:G10)</f>
        <v>1430404</v>
      </c>
      <c r="H11" s="48"/>
      <c r="I11" s="50">
        <f>SUM(I9:I10)</f>
        <v>1001084</v>
      </c>
    </row>
    <row r="12" spans="1:9" ht="18">
      <c r="A12" s="70" t="s">
        <v>256</v>
      </c>
      <c r="C12" s="79"/>
      <c r="E12" s="743"/>
      <c r="G12" s="48"/>
      <c r="H12" s="48"/>
      <c r="I12" s="48"/>
    </row>
    <row r="13" spans="1:9" ht="18">
      <c r="A13" s="70" t="s">
        <v>315</v>
      </c>
      <c r="C13" s="78" t="s">
        <v>1474</v>
      </c>
      <c r="E13" s="744">
        <v>22480831</v>
      </c>
      <c r="G13" s="49">
        <f>11504544-3556059</f>
        <v>7948485</v>
      </c>
      <c r="H13" s="48"/>
      <c r="I13" s="49">
        <v>2181465</v>
      </c>
    </row>
    <row r="14" spans="1:9" ht="18">
      <c r="A14" s="71" t="s">
        <v>257</v>
      </c>
      <c r="C14" s="79"/>
      <c r="E14" s="745">
        <f>SUM(E13)</f>
        <v>22480831</v>
      </c>
      <c r="G14" s="50">
        <f>SUM(G13)</f>
        <v>7948485</v>
      </c>
      <c r="H14" s="48"/>
      <c r="I14" s="50">
        <f>SUM(I13)</f>
        <v>2181465</v>
      </c>
    </row>
    <row r="15" spans="1:9" ht="18.75" thickBot="1">
      <c r="A15" s="71" t="s">
        <v>258</v>
      </c>
      <c r="C15" s="79"/>
      <c r="E15" s="746">
        <f>E14+E11</f>
        <v>25013384.300000001</v>
      </c>
      <c r="G15" s="51">
        <f>G14+G11</f>
        <v>9378889</v>
      </c>
      <c r="H15" s="48"/>
      <c r="I15" s="51">
        <f>I14+I11</f>
        <v>3182549</v>
      </c>
    </row>
    <row r="16" spans="1:9" ht="18.75" thickTop="1">
      <c r="A16" s="70" t="s">
        <v>259</v>
      </c>
      <c r="C16" s="79"/>
      <c r="E16" s="743"/>
      <c r="G16" s="48"/>
      <c r="H16" s="48"/>
      <c r="I16" s="48"/>
    </row>
    <row r="17" spans="1:14" ht="18">
      <c r="A17" s="70" t="s">
        <v>260</v>
      </c>
      <c r="C17" s="79"/>
      <c r="E17" s="743"/>
      <c r="G17" s="48"/>
      <c r="H17" s="48"/>
      <c r="I17" s="48"/>
    </row>
    <row r="18" spans="1:14" ht="18">
      <c r="A18" s="70" t="s">
        <v>261</v>
      </c>
      <c r="C18" s="78" t="s">
        <v>1484</v>
      </c>
      <c r="E18" s="744">
        <f>'الموردون 2017'!G19</f>
        <v>3570961</v>
      </c>
      <c r="G18" s="49">
        <v>2744711</v>
      </c>
      <c r="H18" s="48"/>
      <c r="I18" s="49">
        <v>32423</v>
      </c>
    </row>
    <row r="19" spans="1:14" ht="18">
      <c r="A19" s="70" t="s">
        <v>1486</v>
      </c>
      <c r="C19" s="78" t="s">
        <v>1485</v>
      </c>
      <c r="E19" s="744">
        <v>416210</v>
      </c>
      <c r="G19" s="49">
        <v>0</v>
      </c>
      <c r="H19" s="48"/>
      <c r="I19" s="49">
        <v>0</v>
      </c>
    </row>
    <row r="20" spans="1:14" ht="18">
      <c r="A20" s="70" t="s">
        <v>18</v>
      </c>
      <c r="C20" s="78" t="s">
        <v>1485</v>
      </c>
      <c r="E20" s="744">
        <f>'الذمم  2017 '!M13</f>
        <v>3349</v>
      </c>
      <c r="G20" s="49">
        <v>23642</v>
      </c>
      <c r="H20" s="48"/>
      <c r="I20" s="49"/>
    </row>
    <row r="21" spans="1:14">
      <c r="A21" s="637" t="s">
        <v>19</v>
      </c>
      <c r="C21" s="78" t="s">
        <v>1487</v>
      </c>
      <c r="E21" s="744">
        <f>35421-1624</f>
        <v>33797</v>
      </c>
      <c r="G21" s="49">
        <v>78007</v>
      </c>
      <c r="H21" s="48"/>
      <c r="I21" s="49">
        <v>17206</v>
      </c>
    </row>
    <row r="22" spans="1:14" ht="18">
      <c r="A22" s="71" t="s">
        <v>262</v>
      </c>
      <c r="C22" s="79"/>
      <c r="E22" s="745">
        <f>SUM(E18:E21)</f>
        <v>4024317</v>
      </c>
      <c r="G22" s="50">
        <f>SUM(G18:G21)</f>
        <v>2846360</v>
      </c>
      <c r="H22" s="48"/>
      <c r="I22" s="50">
        <f>SUM(I18:I21)</f>
        <v>49629</v>
      </c>
    </row>
    <row r="23" spans="1:14" ht="18">
      <c r="A23" s="70" t="s">
        <v>263</v>
      </c>
      <c r="C23" s="79"/>
      <c r="E23" s="744"/>
      <c r="G23" s="49"/>
      <c r="H23" s="48"/>
      <c r="I23" s="49"/>
    </row>
    <row r="24" spans="1:14" ht="18">
      <c r="A24" s="70" t="s">
        <v>264</v>
      </c>
      <c r="C24" s="78" t="s">
        <v>1495</v>
      </c>
      <c r="E24" s="744">
        <v>302036</v>
      </c>
      <c r="G24" s="49">
        <v>207036</v>
      </c>
      <c r="H24" s="48"/>
      <c r="I24" s="49">
        <v>165587</v>
      </c>
    </row>
    <row r="25" spans="1:14" ht="18">
      <c r="A25" s="70" t="s">
        <v>469</v>
      </c>
      <c r="C25" s="78"/>
      <c r="E25" s="744">
        <v>69240</v>
      </c>
      <c r="G25" s="49">
        <v>0</v>
      </c>
      <c r="H25" s="647"/>
      <c r="I25" s="49">
        <v>0</v>
      </c>
    </row>
    <row r="26" spans="1:14" ht="18">
      <c r="A26" s="70" t="s">
        <v>265</v>
      </c>
      <c r="C26" s="78" t="s">
        <v>1475</v>
      </c>
      <c r="E26" s="744">
        <v>16429223.810000002</v>
      </c>
      <c r="G26" s="49">
        <v>3473328</v>
      </c>
      <c r="H26" s="48"/>
      <c r="I26" s="49">
        <v>2866124</v>
      </c>
    </row>
    <row r="27" spans="1:14" ht="18">
      <c r="A27" s="71" t="s">
        <v>266</v>
      </c>
      <c r="C27" s="80"/>
      <c r="E27" s="745">
        <f>SUM(E24:E26)</f>
        <v>16800499.810000002</v>
      </c>
      <c r="G27" s="50">
        <f>SUM(G24:G26)</f>
        <v>3680364</v>
      </c>
      <c r="H27" s="48"/>
      <c r="I27" s="50">
        <f>SUM(I24:I26)</f>
        <v>3031711</v>
      </c>
      <c r="N27" s="741"/>
    </row>
    <row r="28" spans="1:14" ht="18">
      <c r="A28" s="71" t="s">
        <v>267</v>
      </c>
      <c r="C28" s="79"/>
      <c r="E28" s="745">
        <f>E27+E22</f>
        <v>20824816.810000002</v>
      </c>
      <c r="G28" s="50">
        <f>G27+G22</f>
        <v>6526724</v>
      </c>
      <c r="H28" s="48"/>
      <c r="I28" s="50">
        <f>I27+I22</f>
        <v>3081340</v>
      </c>
    </row>
    <row r="29" spans="1:14" ht="18">
      <c r="A29" s="70" t="s">
        <v>268</v>
      </c>
      <c r="C29" s="79"/>
      <c r="E29" s="744"/>
      <c r="G29" s="49"/>
      <c r="H29" s="48"/>
      <c r="I29" s="49"/>
    </row>
    <row r="30" spans="1:14" ht="18">
      <c r="A30" s="70" t="s">
        <v>20</v>
      </c>
      <c r="C30" s="79"/>
      <c r="E30" s="744">
        <v>1275000</v>
      </c>
      <c r="G30" s="49">
        <v>1225000</v>
      </c>
      <c r="H30" s="48"/>
      <c r="I30" s="49">
        <v>125000</v>
      </c>
    </row>
    <row r="31" spans="1:14" ht="18">
      <c r="A31" s="70" t="s">
        <v>291</v>
      </c>
      <c r="C31" s="79"/>
      <c r="E31" s="744"/>
      <c r="G31" s="49"/>
      <c r="H31" s="48"/>
      <c r="I31" s="49">
        <v>0</v>
      </c>
    </row>
    <row r="32" spans="1:14" ht="18">
      <c r="A32" s="70" t="s">
        <v>1496</v>
      </c>
      <c r="C32" s="69"/>
      <c r="E32" s="747">
        <v>2913568.5</v>
      </c>
      <c r="G32" s="52">
        <v>1627165</v>
      </c>
      <c r="H32" s="48"/>
      <c r="I32" s="52">
        <v>-23791</v>
      </c>
    </row>
    <row r="33" spans="1:9" ht="18">
      <c r="A33" s="71" t="s">
        <v>270</v>
      </c>
      <c r="C33" s="69"/>
      <c r="E33" s="745">
        <f>SUM(E30:E32)</f>
        <v>4188568.5</v>
      </c>
      <c r="G33" s="50">
        <f>SUM(G30:G32)</f>
        <v>2852165</v>
      </c>
      <c r="H33" s="48"/>
      <c r="I33" s="50">
        <f>SUM(I30:I32)</f>
        <v>101209</v>
      </c>
    </row>
    <row r="34" spans="1:9" ht="18.75" thickBot="1">
      <c r="A34" s="71" t="s">
        <v>271</v>
      </c>
      <c r="C34" s="69"/>
      <c r="E34" s="746">
        <f>E33+E28</f>
        <v>25013385.310000002</v>
      </c>
      <c r="G34" s="51">
        <f>G33+G28</f>
        <v>9378889</v>
      </c>
      <c r="H34" s="48"/>
      <c r="I34" s="51">
        <f>I33+I28</f>
        <v>3182549</v>
      </c>
    </row>
    <row r="35" spans="1:9" ht="15.75" thickTop="1">
      <c r="C35" s="68"/>
      <c r="E35" s="748"/>
      <c r="G35" s="39"/>
      <c r="I35" s="39"/>
    </row>
    <row r="36" spans="1:9">
      <c r="I36" s="39"/>
    </row>
    <row r="37" spans="1:9" ht="75.75" customHeight="1">
      <c r="E37" s="750">
        <f>E34-E15-1.01</f>
        <v>1.639127722441458E-9</v>
      </c>
      <c r="F37" s="381">
        <f t="shared" ref="F37" si="0">F34-F15</f>
        <v>0</v>
      </c>
      <c r="G37" s="381">
        <f>G34-G15</f>
        <v>0</v>
      </c>
      <c r="I37" s="381">
        <f>I34-I15</f>
        <v>0</v>
      </c>
    </row>
    <row r="38" spans="1:9" s="57" customFormat="1">
      <c r="A38" s="73" t="s">
        <v>1497</v>
      </c>
      <c r="B38" s="74"/>
      <c r="C38" s="74"/>
      <c r="D38" s="74"/>
      <c r="E38" s="751"/>
      <c r="F38" s="74"/>
      <c r="G38" s="74"/>
      <c r="H38" s="74"/>
      <c r="I38" s="75"/>
    </row>
    <row r="39" spans="1:9">
      <c r="E39" s="748"/>
      <c r="G39" s="39"/>
    </row>
    <row r="40" spans="1:9">
      <c r="E40" s="748"/>
      <c r="G40" s="39"/>
    </row>
    <row r="41" spans="1:9">
      <c r="E41" s="748"/>
      <c r="G41" s="39"/>
    </row>
  </sheetData>
  <mergeCells count="4">
    <mergeCell ref="A1:I1"/>
    <mergeCell ref="A2:I2"/>
    <mergeCell ref="A3:I3"/>
    <mergeCell ref="A4:I4"/>
  </mergeCells>
  <hyperlinks>
    <hyperlink ref="A9" location="'النقد و ما في حكمه'!A1" display="النقدية وما في حكمها" xr:uid="{00000000-0004-0000-0800-000000000000}"/>
    <hyperlink ref="A10" location="'إيرادات مستحقة وأرصدة مدينة أخر'!A1" display="إيرادات مستحقة وأرصدة مدينة أخري" xr:uid="{00000000-0004-0000-0800-000001000000}"/>
    <hyperlink ref="A13" location="'الأصول الثابتة'!A1" display="موجودات ثابتة  ( صافي )" xr:uid="{00000000-0004-0000-0800-000002000000}"/>
    <hyperlink ref="A26" location="'أطراف ذات علاقة 2017'!A1" display="أطراف ذات علاقة دائنة" xr:uid="{00000000-0004-0000-0800-000003000000}"/>
    <hyperlink ref="A18" location="'الموردون 2017'!A1" display="مصروفات مستحقة وأرصدة دائنة آخري" xr:uid="{00000000-0004-0000-0800-000004000000}"/>
    <hyperlink ref="A19" location="'الإيرادات المقدمة 2017'!A1" display="إيرادات مقدمة" xr:uid="{00000000-0004-0000-0800-000005000000}"/>
    <hyperlink ref="A21" location="'الزكاة الشرعية 2017'!A1" display="مخصص الزكاة الشرعية" xr:uid="{00000000-0004-0000-0800-000006000000}"/>
  </hyperlinks>
  <printOptions horizontalCentered="1"/>
  <pageMargins left="0.70866141732283472" right="0.70866141732283472" top="0.35433070866141736" bottom="0.15748031496062992" header="0.31496062992125984" footer="0.31496062992125984"/>
  <pageSetup scale="8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6"/>
  <dimension ref="B1:O32"/>
  <sheetViews>
    <sheetView rightToLeft="1" zoomScaleNormal="100" workbookViewId="0">
      <pane xSplit="1" ySplit="6" topLeftCell="B13" activePane="bottomRight" state="frozen"/>
      <selection pane="topRight" activeCell="B1" sqref="B1"/>
      <selection pane="bottomLeft" activeCell="A7" sqref="A7"/>
      <selection pane="bottomRight" activeCell="B3" sqref="B3:M4"/>
    </sheetView>
  </sheetViews>
  <sheetFormatPr defaultRowHeight="15"/>
  <cols>
    <col min="1" max="1" width="1.28515625" style="582" customWidth="1"/>
    <col min="2" max="2" width="6.28515625" style="582" customWidth="1"/>
    <col min="3" max="3" width="13.85546875" style="582" customWidth="1"/>
    <col min="4" max="4" width="16.85546875" style="582" customWidth="1"/>
    <col min="5" max="5" width="13" style="582" customWidth="1"/>
    <col min="6" max="6" width="14.85546875" style="582" customWidth="1"/>
    <col min="7" max="7" width="19.5703125" style="582" customWidth="1"/>
    <col min="8" max="8" width="16.28515625" style="582" customWidth="1"/>
    <col min="9" max="9" width="16.28515625" style="582" bestFit="1" customWidth="1"/>
    <col min="10" max="10" width="17" style="582" customWidth="1"/>
    <col min="11" max="11" width="17.85546875" style="582" customWidth="1"/>
    <col min="12" max="12" width="17.140625" style="582" customWidth="1"/>
    <col min="13" max="13" width="14.140625" style="582" customWidth="1"/>
    <col min="14" max="14" width="9.140625" style="582"/>
    <col min="15" max="15" width="14.28515625" style="582" bestFit="1" customWidth="1"/>
    <col min="16" max="16384" width="9.140625" style="582"/>
  </cols>
  <sheetData>
    <row r="1" spans="2:15" ht="60.75" customHeight="1">
      <c r="K1" s="654" t="s">
        <v>1460</v>
      </c>
      <c r="L1" s="654"/>
      <c r="M1" s="654"/>
    </row>
    <row r="2" spans="2:15" ht="15" customHeight="1">
      <c r="J2" s="645"/>
      <c r="K2" s="645"/>
      <c r="L2" s="645"/>
      <c r="M2" s="645"/>
    </row>
    <row r="3" spans="2:15" ht="13.5" customHeight="1">
      <c r="B3" s="655" t="s">
        <v>1461</v>
      </c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</row>
    <row r="4" spans="2:15" ht="13.5" customHeight="1">
      <c r="B4" s="655"/>
      <c r="C4" s="655"/>
      <c r="D4" s="655"/>
      <c r="E4" s="655"/>
      <c r="F4" s="655"/>
      <c r="G4" s="655"/>
      <c r="H4" s="655"/>
      <c r="I4" s="655"/>
      <c r="J4" s="655"/>
      <c r="K4" s="655"/>
      <c r="L4" s="655"/>
      <c r="M4" s="655"/>
    </row>
    <row r="5" spans="2:15" s="584" customFormat="1" ht="39" customHeight="1">
      <c r="B5" s="584" t="s">
        <v>429</v>
      </c>
      <c r="C5" s="584" t="s">
        <v>1440</v>
      </c>
      <c r="D5" s="584" t="s">
        <v>9</v>
      </c>
      <c r="E5" s="584" t="s">
        <v>1441</v>
      </c>
      <c r="F5" s="584" t="s">
        <v>1442</v>
      </c>
      <c r="G5" s="584" t="s">
        <v>1443</v>
      </c>
      <c r="H5" s="584" t="s">
        <v>1444</v>
      </c>
      <c r="I5" s="584" t="s">
        <v>1445</v>
      </c>
      <c r="J5" s="584" t="s">
        <v>1446</v>
      </c>
      <c r="K5" s="584" t="s">
        <v>1447</v>
      </c>
      <c r="L5" s="585" t="s">
        <v>1448</v>
      </c>
      <c r="M5" s="585" t="s">
        <v>1517</v>
      </c>
    </row>
    <row r="6" spans="2:15" s="586" customFormat="1" ht="36.75" customHeight="1">
      <c r="B6" s="586">
        <v>10</v>
      </c>
      <c r="C6" s="586">
        <v>160000</v>
      </c>
      <c r="D6" s="586">
        <f>Table79[سعر/ الحبة]*Table79[العدد]</f>
        <v>1600000</v>
      </c>
      <c r="E6" s="586">
        <v>400000</v>
      </c>
      <c r="F6" s="586">
        <f>Table79[الإجمالي]-Table79[الدفعة المقدمة]</f>
        <v>1200000</v>
      </c>
      <c r="G6" s="587">
        <v>0.09</v>
      </c>
      <c r="H6" s="586">
        <f>Table79[[المتبقي ]]*Table79[الفائدة]+Table79[[المتبقي ]]</f>
        <v>1308000</v>
      </c>
      <c r="I6" s="586">
        <v>18</v>
      </c>
      <c r="J6" s="586">
        <f>Table79[الإجمالي بالفائدة]/Table79[عدد الاقساط]</f>
        <v>72666.666666666672</v>
      </c>
      <c r="K6" s="588">
        <v>42795</v>
      </c>
      <c r="L6" s="589">
        <f>COUNTA(Table8[ملاحظات السداد])</f>
        <v>12</v>
      </c>
      <c r="M6" s="643">
        <v>5</v>
      </c>
    </row>
    <row r="7" spans="2:15" ht="11.25" customHeight="1">
      <c r="O7" s="581"/>
    </row>
    <row r="8" spans="2:15" ht="6" customHeight="1"/>
    <row r="9" spans="2:15" ht="38.25" customHeight="1">
      <c r="B9" s="585" t="s">
        <v>1449</v>
      </c>
      <c r="C9" s="585" t="s">
        <v>1450</v>
      </c>
      <c r="D9" s="585" t="s">
        <v>1451</v>
      </c>
      <c r="E9" s="585" t="s">
        <v>1443</v>
      </c>
      <c r="F9" s="585" t="s">
        <v>1452</v>
      </c>
      <c r="G9" s="642" t="s">
        <v>1515</v>
      </c>
      <c r="H9" s="585" t="s">
        <v>1453</v>
      </c>
      <c r="I9" s="585" t="s">
        <v>1454</v>
      </c>
      <c r="J9" s="585" t="s">
        <v>1455</v>
      </c>
      <c r="K9" s="585" t="s">
        <v>1456</v>
      </c>
      <c r="L9" s="585" t="s">
        <v>1457</v>
      </c>
      <c r="M9" s="644" t="s">
        <v>737</v>
      </c>
    </row>
    <row r="10" spans="2:15" s="592" customFormat="1" ht="24.75" customHeight="1">
      <c r="B10" s="586">
        <v>1</v>
      </c>
      <c r="C10" s="586">
        <f t="shared" ref="C10:C27" si="0">1200000/18</f>
        <v>66666.666666666672</v>
      </c>
      <c r="D10" s="587">
        <v>0.09</v>
      </c>
      <c r="E10" s="586">
        <f>Table8[نسبة الفائدة]*Table8[المبلغ الاساسي]</f>
        <v>6000</v>
      </c>
      <c r="F10" s="590">
        <f>Table8[الفائدة]+Table8[المبلغ الاساسي]</f>
        <v>72666.666666666672</v>
      </c>
      <c r="G10" s="588">
        <v>42795</v>
      </c>
      <c r="H10" s="586">
        <f>Table79[عدد الاقساط]-Table8[رقم القسط]</f>
        <v>17</v>
      </c>
      <c r="I10" s="586">
        <f>Table79[[المتبقي ]]/Table79[عدد الاقساط]*Table8[عدد الاقساط المتبقية]</f>
        <v>1133333.3333333335</v>
      </c>
      <c r="J10" s="586">
        <f>Table8[نسبة الفائدة]*Table8[قيمة الاقساط المتبقية]</f>
        <v>102000.00000000001</v>
      </c>
      <c r="K10" s="586">
        <f>Table79[قيمة القسط الواحد]*Table8[عدد الاقساط المتبقية]</f>
        <v>1235333.3333333335</v>
      </c>
      <c r="L10" s="591" t="s">
        <v>1467</v>
      </c>
      <c r="M10" s="643" t="s">
        <v>1516</v>
      </c>
    </row>
    <row r="11" spans="2:15" s="592" customFormat="1" ht="24.75" customHeight="1">
      <c r="B11" s="586">
        <v>2</v>
      </c>
      <c r="C11" s="586">
        <f t="shared" si="0"/>
        <v>66666.666666666672</v>
      </c>
      <c r="D11" s="587">
        <v>0.09</v>
      </c>
      <c r="E11" s="586">
        <f>Table8[نسبة الفائدة]*Table8[المبلغ الاساسي]</f>
        <v>6000</v>
      </c>
      <c r="F11" s="590">
        <f>Table8[الفائدة]+Table8[المبلغ الاساسي]</f>
        <v>72666.666666666672</v>
      </c>
      <c r="G11" s="588">
        <f>G10+31</f>
        <v>42826</v>
      </c>
      <c r="H11" s="586">
        <f>Table79[عدد الاقساط]-Table8[رقم القسط]</f>
        <v>16</v>
      </c>
      <c r="I11" s="586">
        <f>Table79[[المتبقي ]]/Table79[عدد الاقساط]*Table8[عدد الاقساط المتبقية]</f>
        <v>1066666.6666666667</v>
      </c>
      <c r="J11" s="586">
        <f>Table8[نسبة الفائدة]*Table8[قيمة الاقساط المتبقية]</f>
        <v>96000</v>
      </c>
      <c r="K11" s="586">
        <f>Table79[قيمة القسط الواحد]*Table8[عدد الاقساط المتبقية]</f>
        <v>1162666.6666666667</v>
      </c>
      <c r="L11" s="591" t="s">
        <v>1468</v>
      </c>
      <c r="M11" s="643" t="s">
        <v>1516</v>
      </c>
    </row>
    <row r="12" spans="2:15" s="592" customFormat="1" ht="24.75" customHeight="1">
      <c r="B12" s="586">
        <v>3</v>
      </c>
      <c r="C12" s="586">
        <f t="shared" si="0"/>
        <v>66666.666666666672</v>
      </c>
      <c r="D12" s="587">
        <v>0.09</v>
      </c>
      <c r="E12" s="586">
        <f>Table8[نسبة الفائدة]*Table8[المبلغ الاساسي]</f>
        <v>6000</v>
      </c>
      <c r="F12" s="590">
        <f>Table8[الفائدة]+Table8[المبلغ الاساسي]</f>
        <v>72666.666666666672</v>
      </c>
      <c r="G12" s="588">
        <v>42856</v>
      </c>
      <c r="H12" s="586">
        <f>Table79[عدد الاقساط]-Table8[رقم القسط]</f>
        <v>15</v>
      </c>
      <c r="I12" s="586">
        <f>Table79[[المتبقي ]]/Table79[عدد الاقساط]*Table8[عدد الاقساط المتبقية]</f>
        <v>1000000.0000000001</v>
      </c>
      <c r="J12" s="586">
        <f>Table8[نسبة الفائدة]*Table8[قيمة الاقساط المتبقية]</f>
        <v>90000</v>
      </c>
      <c r="K12" s="586">
        <f>Table79[قيمة القسط الواحد]*Table8[عدد الاقساط المتبقية]</f>
        <v>1090000</v>
      </c>
      <c r="L12" s="591" t="s">
        <v>1458</v>
      </c>
      <c r="M12" s="643" t="s">
        <v>1516</v>
      </c>
    </row>
    <row r="13" spans="2:15" s="592" customFormat="1" ht="24.75" customHeight="1">
      <c r="B13" s="586">
        <v>4</v>
      </c>
      <c r="C13" s="586">
        <f t="shared" si="0"/>
        <v>66666.666666666672</v>
      </c>
      <c r="D13" s="587">
        <v>0.09</v>
      </c>
      <c r="E13" s="586">
        <f>Table8[نسبة الفائدة]*Table8[المبلغ الاساسي]</f>
        <v>6000</v>
      </c>
      <c r="F13" s="590">
        <f>Table8[الفائدة]+Table8[المبلغ الاساسي]</f>
        <v>72666.666666666672</v>
      </c>
      <c r="G13" s="588">
        <v>42887</v>
      </c>
      <c r="H13" s="586">
        <f>Table79[عدد الاقساط]-Table8[رقم القسط]</f>
        <v>14</v>
      </c>
      <c r="I13" s="586">
        <f>Table79[[المتبقي ]]/Table79[عدد الاقساط]*Table8[عدد الاقساط المتبقية]</f>
        <v>933333.33333333337</v>
      </c>
      <c r="J13" s="586">
        <f>Table8[نسبة الفائدة]*Table8[قيمة الاقساط المتبقية]</f>
        <v>84000</v>
      </c>
      <c r="K13" s="586">
        <f>Table79[قيمة القسط الواحد]*Table8[عدد الاقساط المتبقية]</f>
        <v>1017333.3333333334</v>
      </c>
      <c r="L13" s="591" t="s">
        <v>1459</v>
      </c>
      <c r="M13" s="643" t="s">
        <v>1516</v>
      </c>
    </row>
    <row r="14" spans="2:15" s="592" customFormat="1" ht="24.75" customHeight="1">
      <c r="B14" s="586">
        <v>5</v>
      </c>
      <c r="C14" s="586">
        <f t="shared" si="0"/>
        <v>66666.666666666672</v>
      </c>
      <c r="D14" s="587">
        <v>0.09</v>
      </c>
      <c r="E14" s="586">
        <f>Table8[نسبة الفائدة]*Table8[المبلغ الاساسي]</f>
        <v>6000</v>
      </c>
      <c r="F14" s="590">
        <f>Table8[الفائدة]+Table8[المبلغ الاساسي]</f>
        <v>72666.666666666672</v>
      </c>
      <c r="G14" s="588">
        <v>42917</v>
      </c>
      <c r="H14" s="586">
        <f>Table79[عدد الاقساط]-Table8[رقم القسط]</f>
        <v>13</v>
      </c>
      <c r="I14" s="586">
        <f>Table79[[المتبقي ]]/Table79[عدد الاقساط]*Table8[عدد الاقساط المتبقية]</f>
        <v>866666.66666666674</v>
      </c>
      <c r="J14" s="586">
        <f>Table8[نسبة الفائدة]*Table8[قيمة الاقساط المتبقية]</f>
        <v>78000</v>
      </c>
      <c r="K14" s="586">
        <f>Table79[قيمة القسط الواحد]*Table8[عدد الاقساط المتبقية]</f>
        <v>944666.66666666674</v>
      </c>
      <c r="L14" s="591" t="s">
        <v>1462</v>
      </c>
      <c r="M14" s="643" t="s">
        <v>1516</v>
      </c>
    </row>
    <row r="15" spans="2:15" s="592" customFormat="1" ht="24.75" customHeight="1">
      <c r="B15" s="586">
        <v>6</v>
      </c>
      <c r="C15" s="586">
        <f t="shared" si="0"/>
        <v>66666.666666666672</v>
      </c>
      <c r="D15" s="587">
        <v>0.09</v>
      </c>
      <c r="E15" s="586">
        <f>Table8[نسبة الفائدة]*Table8[المبلغ الاساسي]</f>
        <v>6000</v>
      </c>
      <c r="F15" s="590">
        <f>Table8[الفائدة]+Table8[المبلغ الاساسي]</f>
        <v>72666.666666666672</v>
      </c>
      <c r="G15" s="588">
        <v>42948</v>
      </c>
      <c r="H15" s="586">
        <f>Table79[عدد الاقساط]-Table8[رقم القسط]</f>
        <v>12</v>
      </c>
      <c r="I15" s="586">
        <f>Table79[[المتبقي ]]/Table79[عدد الاقساط]*Table8[عدد الاقساط المتبقية]</f>
        <v>800000</v>
      </c>
      <c r="J15" s="586">
        <f>Table8[نسبة الفائدة]*Table8[قيمة الاقساط المتبقية]</f>
        <v>72000</v>
      </c>
      <c r="K15" s="586">
        <f>Table79[قيمة القسط الواحد]*Table8[عدد الاقساط المتبقية]</f>
        <v>872000</v>
      </c>
      <c r="L15" s="591" t="s">
        <v>1463</v>
      </c>
      <c r="M15" s="643" t="s">
        <v>1516</v>
      </c>
    </row>
    <row r="16" spans="2:15" s="592" customFormat="1" ht="24.75" customHeight="1">
      <c r="B16" s="586">
        <v>7</v>
      </c>
      <c r="C16" s="586">
        <f t="shared" si="0"/>
        <v>66666.666666666672</v>
      </c>
      <c r="D16" s="587">
        <v>0.09</v>
      </c>
      <c r="E16" s="586">
        <f>Table8[نسبة الفائدة]*Table8[المبلغ الاساسي]</f>
        <v>6000</v>
      </c>
      <c r="F16" s="590">
        <f>Table8[الفائدة]+Table8[المبلغ الاساسي]</f>
        <v>72666.666666666672</v>
      </c>
      <c r="G16" s="588">
        <v>42979</v>
      </c>
      <c r="H16" s="586">
        <f>Table79[عدد الاقساط]-Table8[رقم القسط]</f>
        <v>11</v>
      </c>
      <c r="I16" s="586">
        <f>Table79[[المتبقي ]]/Table79[عدد الاقساط]*Table8[عدد الاقساط المتبقية]</f>
        <v>733333.33333333337</v>
      </c>
      <c r="J16" s="586">
        <f>Table8[نسبة الفائدة]*Table8[قيمة الاقساط المتبقية]</f>
        <v>66000</v>
      </c>
      <c r="K16" s="586">
        <f>Table79[قيمة القسط الواحد]*Table8[عدد الاقساط المتبقية]</f>
        <v>799333.33333333337</v>
      </c>
      <c r="L16" s="591" t="s">
        <v>1464</v>
      </c>
      <c r="M16" s="643" t="s">
        <v>1516</v>
      </c>
    </row>
    <row r="17" spans="2:13" s="592" customFormat="1" ht="24.75" customHeight="1">
      <c r="B17" s="586">
        <v>8</v>
      </c>
      <c r="C17" s="586">
        <f t="shared" si="0"/>
        <v>66666.666666666672</v>
      </c>
      <c r="D17" s="587">
        <v>0.09</v>
      </c>
      <c r="E17" s="586">
        <f>Table8[نسبة الفائدة]*Table8[المبلغ الاساسي]</f>
        <v>6000</v>
      </c>
      <c r="F17" s="590">
        <f>Table8[الفائدة]+Table8[المبلغ الاساسي]</f>
        <v>72666.666666666672</v>
      </c>
      <c r="G17" s="588">
        <v>43009</v>
      </c>
      <c r="H17" s="586">
        <f>Table79[عدد الاقساط]-Table8[رقم القسط]</f>
        <v>10</v>
      </c>
      <c r="I17" s="586">
        <f>Table79[[المتبقي ]]/Table79[عدد الاقساط]*Table8[عدد الاقساط المتبقية]</f>
        <v>666666.66666666674</v>
      </c>
      <c r="J17" s="586">
        <f>Table8[نسبة الفائدة]*Table8[قيمة الاقساط المتبقية]</f>
        <v>60000.000000000007</v>
      </c>
      <c r="K17" s="586">
        <f>Table79[قيمة القسط الواحد]*Table8[عدد الاقساط المتبقية]</f>
        <v>726666.66666666674</v>
      </c>
      <c r="L17" s="591" t="s">
        <v>1465</v>
      </c>
      <c r="M17" s="643" t="s">
        <v>1516</v>
      </c>
    </row>
    <row r="18" spans="2:13" s="592" customFormat="1" ht="24.75" customHeight="1">
      <c r="B18" s="586">
        <v>9</v>
      </c>
      <c r="C18" s="586">
        <f t="shared" si="0"/>
        <v>66666.666666666672</v>
      </c>
      <c r="D18" s="587">
        <v>0.09</v>
      </c>
      <c r="E18" s="586">
        <f>Table8[نسبة الفائدة]*Table8[المبلغ الاساسي]</f>
        <v>6000</v>
      </c>
      <c r="F18" s="590">
        <f>Table8[الفائدة]+Table8[المبلغ الاساسي]</f>
        <v>72666.666666666672</v>
      </c>
      <c r="G18" s="588">
        <v>43040</v>
      </c>
      <c r="H18" s="586">
        <f>Table79[عدد الاقساط]-Table8[رقم القسط]</f>
        <v>9</v>
      </c>
      <c r="I18" s="586">
        <f>Table79[[المتبقي ]]/Table79[عدد الاقساط]*Table8[عدد الاقساط المتبقية]</f>
        <v>600000</v>
      </c>
      <c r="J18" s="586">
        <f>Table8[نسبة الفائدة]*Table8[قيمة الاقساط المتبقية]</f>
        <v>54000</v>
      </c>
      <c r="K18" s="586">
        <f>Table79[قيمة القسط الواحد]*Table8[عدد الاقساط المتبقية]</f>
        <v>654000</v>
      </c>
      <c r="L18" s="591" t="s">
        <v>1466</v>
      </c>
      <c r="M18" s="643" t="s">
        <v>1516</v>
      </c>
    </row>
    <row r="19" spans="2:13" s="592" customFormat="1" ht="24.75" customHeight="1">
      <c r="B19" s="586">
        <v>10</v>
      </c>
      <c r="C19" s="586">
        <f t="shared" si="0"/>
        <v>66666.666666666672</v>
      </c>
      <c r="D19" s="587">
        <v>0.09</v>
      </c>
      <c r="E19" s="586">
        <f>Table8[نسبة الفائدة]*Table8[المبلغ الاساسي]</f>
        <v>6000</v>
      </c>
      <c r="F19" s="590">
        <f>Table8[الفائدة]+Table8[المبلغ الاساسي]</f>
        <v>72666.666666666672</v>
      </c>
      <c r="G19" s="588">
        <v>43070</v>
      </c>
      <c r="H19" s="586">
        <f>Table79[عدد الاقساط]-Table8[رقم القسط]</f>
        <v>8</v>
      </c>
      <c r="I19" s="586">
        <f>Table79[[المتبقي ]]/Table79[عدد الاقساط]*Table8[عدد الاقساط المتبقية]</f>
        <v>533333.33333333337</v>
      </c>
      <c r="J19" s="586">
        <f>Table8[نسبة الفائدة]*Table8[قيمة الاقساط المتبقية]</f>
        <v>48000</v>
      </c>
      <c r="K19" s="586">
        <f>Table79[قيمة القسط الواحد]*Table8[عدد الاقساط المتبقية]</f>
        <v>581333.33333333337</v>
      </c>
      <c r="L19" s="591" t="s">
        <v>1510</v>
      </c>
      <c r="M19" s="643" t="s">
        <v>1516</v>
      </c>
    </row>
    <row r="20" spans="2:13" s="592" customFormat="1" ht="24.75" customHeight="1">
      <c r="B20" s="586">
        <v>11</v>
      </c>
      <c r="C20" s="586">
        <f t="shared" si="0"/>
        <v>66666.666666666672</v>
      </c>
      <c r="D20" s="587">
        <v>0.09</v>
      </c>
      <c r="E20" s="586">
        <f>Table8[نسبة الفائدة]*Table8[المبلغ الاساسي]</f>
        <v>6000</v>
      </c>
      <c r="F20" s="590">
        <f>Table8[الفائدة]+Table8[المبلغ الاساسي]</f>
        <v>72666.666666666672</v>
      </c>
      <c r="G20" s="588">
        <v>43101</v>
      </c>
      <c r="H20" s="586">
        <f>Table79[عدد الاقساط]-Table8[رقم القسط]</f>
        <v>7</v>
      </c>
      <c r="I20" s="586">
        <f>Table79[[المتبقي ]]/Table79[عدد الاقساط]*Table8[عدد الاقساط المتبقية]</f>
        <v>466666.66666666669</v>
      </c>
      <c r="J20" s="586">
        <f>Table8[نسبة الفائدة]*Table8[قيمة الاقساط المتبقية]</f>
        <v>42000</v>
      </c>
      <c r="K20" s="586">
        <f>Table79[قيمة القسط الواحد]*Table8[عدد الاقساط المتبقية]</f>
        <v>508666.66666666669</v>
      </c>
      <c r="L20" s="591" t="s">
        <v>1511</v>
      </c>
      <c r="M20" s="643" t="s">
        <v>1516</v>
      </c>
    </row>
    <row r="21" spans="2:13" s="592" customFormat="1" ht="24.75" customHeight="1">
      <c r="B21" s="586">
        <v>12</v>
      </c>
      <c r="C21" s="586">
        <f t="shared" si="0"/>
        <v>66666.666666666672</v>
      </c>
      <c r="D21" s="587">
        <v>0.09</v>
      </c>
      <c r="E21" s="586">
        <f>Table8[نسبة الفائدة]*Table8[المبلغ الاساسي]</f>
        <v>6000</v>
      </c>
      <c r="F21" s="590">
        <f>Table8[الفائدة]+Table8[المبلغ الاساسي]</f>
        <v>72666.666666666672</v>
      </c>
      <c r="G21" s="588">
        <v>43132</v>
      </c>
      <c r="H21" s="586">
        <f>Table79[عدد الاقساط]-Table8[رقم القسط]</f>
        <v>6</v>
      </c>
      <c r="I21" s="586">
        <f>Table79[[المتبقي ]]/Table79[عدد الاقساط]*Table8[عدد الاقساط المتبقية]</f>
        <v>400000</v>
      </c>
      <c r="J21" s="586">
        <f>Table8[نسبة الفائدة]*Table8[قيمة الاقساط المتبقية]</f>
        <v>36000</v>
      </c>
      <c r="K21" s="586">
        <f>Table79[قيمة القسط الواحد]*Table8[عدد الاقساط المتبقية]</f>
        <v>436000</v>
      </c>
      <c r="L21" s="591" t="s">
        <v>1512</v>
      </c>
      <c r="M21" s="643" t="s">
        <v>1516</v>
      </c>
    </row>
    <row r="22" spans="2:13" s="592" customFormat="1" ht="24.75" customHeight="1">
      <c r="B22" s="586">
        <v>13</v>
      </c>
      <c r="C22" s="586">
        <f t="shared" si="0"/>
        <v>66666.666666666672</v>
      </c>
      <c r="D22" s="587">
        <v>0.09</v>
      </c>
      <c r="E22" s="586">
        <f>Table8[نسبة الفائدة]*Table8[المبلغ الاساسي]</f>
        <v>6000</v>
      </c>
      <c r="F22" s="590">
        <f>Table8[الفائدة]+Table8[المبلغ الاساسي]</f>
        <v>72666.666666666672</v>
      </c>
      <c r="G22" s="588">
        <v>43160</v>
      </c>
      <c r="H22" s="586">
        <f>Table79[عدد الاقساط]-Table8[رقم القسط]</f>
        <v>5</v>
      </c>
      <c r="I22" s="586">
        <f>Table79[[المتبقي ]]/Table79[عدد الاقساط]*Table8[عدد الاقساط المتبقية]</f>
        <v>333333.33333333337</v>
      </c>
      <c r="J22" s="586">
        <f>Table8[نسبة الفائدة]*Table8[قيمة الاقساط المتبقية]</f>
        <v>30000.000000000004</v>
      </c>
      <c r="K22" s="640">
        <f>Table79[قيمة القسط الواحد]*Table8[عدد الاقساط المتبقية]</f>
        <v>363333.33333333337</v>
      </c>
      <c r="L22" s="641"/>
      <c r="M22" s="643" t="s">
        <v>1513</v>
      </c>
    </row>
    <row r="23" spans="2:13" s="592" customFormat="1" ht="24.75" customHeight="1">
      <c r="B23" s="586">
        <v>14</v>
      </c>
      <c r="C23" s="586">
        <f t="shared" si="0"/>
        <v>66666.666666666672</v>
      </c>
      <c r="D23" s="587">
        <v>0.09</v>
      </c>
      <c r="E23" s="586">
        <f>Table8[نسبة الفائدة]*Table8[المبلغ الاساسي]</f>
        <v>6000</v>
      </c>
      <c r="F23" s="590">
        <f>Table8[الفائدة]+Table8[المبلغ الاساسي]</f>
        <v>72666.666666666672</v>
      </c>
      <c r="G23" s="588">
        <v>43191</v>
      </c>
      <c r="H23" s="586">
        <f>Table79[عدد الاقساط]-Table8[رقم القسط]</f>
        <v>4</v>
      </c>
      <c r="I23" s="586">
        <f>Table79[[المتبقي ]]/Table79[عدد الاقساط]*Table8[عدد الاقساط المتبقية]</f>
        <v>266666.66666666669</v>
      </c>
      <c r="J23" s="586">
        <f>Table8[نسبة الفائدة]*Table8[قيمة الاقساط المتبقية]</f>
        <v>24000</v>
      </c>
      <c r="K23" s="586">
        <f>Table79[قيمة القسط الواحد]*Table8[عدد الاقساط المتبقية]</f>
        <v>290666.66666666669</v>
      </c>
      <c r="L23" s="641"/>
      <c r="M23" s="643" t="s">
        <v>1513</v>
      </c>
    </row>
    <row r="24" spans="2:13" s="592" customFormat="1" ht="24.75" customHeight="1">
      <c r="B24" s="586">
        <v>15</v>
      </c>
      <c r="C24" s="586">
        <f t="shared" si="0"/>
        <v>66666.666666666672</v>
      </c>
      <c r="D24" s="587">
        <v>0.09</v>
      </c>
      <c r="E24" s="586">
        <f>Table8[نسبة الفائدة]*Table8[المبلغ الاساسي]</f>
        <v>6000</v>
      </c>
      <c r="F24" s="590">
        <f>Table8[الفائدة]+Table8[المبلغ الاساسي]</f>
        <v>72666.666666666672</v>
      </c>
      <c r="G24" s="588">
        <v>43221</v>
      </c>
      <c r="H24" s="586">
        <f>Table79[عدد الاقساط]-Table8[رقم القسط]</f>
        <v>3</v>
      </c>
      <c r="I24" s="586">
        <f>Table79[[المتبقي ]]/Table79[عدد الاقساط]*Table8[عدد الاقساط المتبقية]</f>
        <v>200000</v>
      </c>
      <c r="J24" s="586">
        <f>Table8[نسبة الفائدة]*Table8[قيمة الاقساط المتبقية]</f>
        <v>18000</v>
      </c>
      <c r="K24" s="586">
        <f>Table79[قيمة القسط الواحد]*Table8[عدد الاقساط المتبقية]</f>
        <v>218000</v>
      </c>
      <c r="L24" s="641"/>
      <c r="M24" s="643" t="s">
        <v>1513</v>
      </c>
    </row>
    <row r="25" spans="2:13" s="592" customFormat="1" ht="24.75" customHeight="1">
      <c r="B25" s="586">
        <v>16</v>
      </c>
      <c r="C25" s="586">
        <f t="shared" si="0"/>
        <v>66666.666666666672</v>
      </c>
      <c r="D25" s="587">
        <v>0.09</v>
      </c>
      <c r="E25" s="586">
        <f>Table8[نسبة الفائدة]*Table8[المبلغ الاساسي]</f>
        <v>6000</v>
      </c>
      <c r="F25" s="590">
        <f>Table8[الفائدة]+Table8[المبلغ الاساسي]</f>
        <v>72666.666666666672</v>
      </c>
      <c r="G25" s="588">
        <v>43252</v>
      </c>
      <c r="H25" s="586">
        <f>Table79[عدد الاقساط]-Table8[رقم القسط]</f>
        <v>2</v>
      </c>
      <c r="I25" s="586">
        <f>Table79[[المتبقي ]]/Table79[عدد الاقساط]*Table8[عدد الاقساط المتبقية]</f>
        <v>133333.33333333334</v>
      </c>
      <c r="J25" s="586">
        <f>Table8[نسبة الفائدة]*Table8[قيمة الاقساط المتبقية]</f>
        <v>12000</v>
      </c>
      <c r="K25" s="586">
        <f>Table79[قيمة القسط الواحد]*Table8[عدد الاقساط المتبقية]</f>
        <v>145333.33333333334</v>
      </c>
      <c r="L25" s="641"/>
      <c r="M25" s="643" t="s">
        <v>1513</v>
      </c>
    </row>
    <row r="26" spans="2:13" s="592" customFormat="1" ht="24.75" customHeight="1">
      <c r="B26" s="586">
        <v>17</v>
      </c>
      <c r="C26" s="586">
        <f t="shared" si="0"/>
        <v>66666.666666666672</v>
      </c>
      <c r="D26" s="587">
        <v>0.09</v>
      </c>
      <c r="E26" s="586">
        <f>Table8[نسبة الفائدة]*Table8[المبلغ الاساسي]</f>
        <v>6000</v>
      </c>
      <c r="F26" s="590">
        <f>Table8[الفائدة]+Table8[المبلغ الاساسي]</f>
        <v>72666.666666666672</v>
      </c>
      <c r="G26" s="588">
        <v>43282</v>
      </c>
      <c r="H26" s="586">
        <f>Table79[عدد الاقساط]-Table8[رقم القسط]</f>
        <v>1</v>
      </c>
      <c r="I26" s="586">
        <f>Table79[[المتبقي ]]/Table79[عدد الاقساط]*Table8[عدد الاقساط المتبقية]</f>
        <v>66666.666666666672</v>
      </c>
      <c r="J26" s="586">
        <f>Table8[نسبة الفائدة]*Table8[قيمة الاقساط المتبقية]</f>
        <v>6000</v>
      </c>
      <c r="K26" s="586">
        <f>Table79[قيمة القسط الواحد]*Table8[عدد الاقساط المتبقية]</f>
        <v>72666.666666666672</v>
      </c>
      <c r="L26" s="641"/>
      <c r="M26" s="643" t="s">
        <v>1513</v>
      </c>
    </row>
    <row r="27" spans="2:13" s="592" customFormat="1" ht="24.75" customHeight="1">
      <c r="B27" s="586">
        <v>18</v>
      </c>
      <c r="C27" s="586">
        <f t="shared" si="0"/>
        <v>66666.666666666672</v>
      </c>
      <c r="D27" s="587">
        <v>0.09</v>
      </c>
      <c r="E27" s="586">
        <f>Table8[نسبة الفائدة]*Table8[المبلغ الاساسي]</f>
        <v>6000</v>
      </c>
      <c r="F27" s="590">
        <f>Table8[الفائدة]+Table8[المبلغ الاساسي]</f>
        <v>72666.666666666672</v>
      </c>
      <c r="G27" s="588">
        <v>43313</v>
      </c>
      <c r="H27" s="586">
        <f>Table79[عدد الاقساط]-Table8[رقم القسط]</f>
        <v>0</v>
      </c>
      <c r="I27" s="586">
        <f>Table79[[المتبقي ]]/Table79[عدد الاقساط]*Table8[عدد الاقساط المتبقية]</f>
        <v>0</v>
      </c>
      <c r="J27" s="586">
        <f>Table8[نسبة الفائدة]*Table8[قيمة الاقساط المتبقية]</f>
        <v>0</v>
      </c>
      <c r="K27" s="586">
        <f>Table79[قيمة القسط الواحد]*Table8[عدد الاقساط المتبقية]</f>
        <v>0</v>
      </c>
      <c r="L27" s="591"/>
      <c r="M27" s="643" t="s">
        <v>1514</v>
      </c>
    </row>
    <row r="28" spans="2:13" ht="24.75" customHeight="1"/>
    <row r="29" spans="2:13" ht="23.25">
      <c r="J29" s="652" t="s">
        <v>394</v>
      </c>
      <c r="K29" s="652"/>
      <c r="L29" s="652"/>
    </row>
    <row r="32" spans="2:13" ht="18.75">
      <c r="J32" s="653" t="s">
        <v>54</v>
      </c>
      <c r="K32" s="653"/>
      <c r="L32" s="653"/>
    </row>
  </sheetData>
  <mergeCells count="4">
    <mergeCell ref="J29:L29"/>
    <mergeCell ref="J32:L32"/>
    <mergeCell ref="K1:M1"/>
    <mergeCell ref="B3:M4"/>
  </mergeCells>
  <printOptions horizontalCentered="1"/>
  <pageMargins left="0.39370078740157483" right="0.39370078740157483" top="0" bottom="0" header="0.31496062992125984" footer="0.31496062992125984"/>
  <pageSetup scale="70" orientation="landscape" r:id="rId1"/>
  <headerFooter>
    <oddFooter>&amp;L
&amp;14&amp;D&amp;C
&amp;14صفحة  رقم &amp;P&amp;R&amp;14
حسابات الموردين 
  شركة جمجوم</oddFooter>
  </headerFooter>
  <drawing r:id="rId2"/>
  <legacyDrawing r:id="rId3"/>
  <controls>
    <mc:AlternateContent xmlns:mc="http://schemas.openxmlformats.org/markup-compatibility/2006">
      <mc:Choice Requires="x14">
        <control shapeId="66561" r:id="rId4" name="Image1">
          <controlPr defaultSize="0" autoLine="0" r:id="rId5">
            <anchor moveWithCells="1">
              <from>
                <xdr:col>2944</xdr:col>
                <xdr:colOff>57150</xdr:colOff>
                <xdr:row>0</xdr:row>
                <xdr:rowOff>57150</xdr:rowOff>
              </from>
              <to>
                <xdr:col>2945</xdr:col>
                <xdr:colOff>447675</xdr:colOff>
                <xdr:row>2</xdr:row>
                <xdr:rowOff>9525</xdr:rowOff>
              </to>
            </anchor>
          </controlPr>
        </control>
      </mc:Choice>
      <mc:Fallback>
        <control shapeId="66561" r:id="rId4" name="Image1"/>
      </mc:Fallback>
    </mc:AlternateContent>
  </controls>
  <tableParts count="2"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Q91"/>
  <sheetViews>
    <sheetView rightToLeft="1" view="pageBreakPreview" zoomScale="130" zoomScaleNormal="120" zoomScaleSheetLayoutView="130" workbookViewId="0">
      <selection activeCell="M21" sqref="M21"/>
    </sheetView>
  </sheetViews>
  <sheetFormatPr defaultRowHeight="15"/>
  <cols>
    <col min="1" max="3" width="9.140625" style="538"/>
    <col min="4" max="4" width="6.28515625" style="538" customWidth="1"/>
    <col min="5" max="5" width="16.85546875" style="538" customWidth="1"/>
    <col min="6" max="6" width="5.7109375" style="538" customWidth="1"/>
    <col min="7" max="7" width="16.85546875" style="547" customWidth="1"/>
    <col min="8" max="8" width="1.42578125" style="538" customWidth="1"/>
    <col min="9" max="9" width="16.85546875" style="547" customWidth="1"/>
    <col min="10" max="10" width="0.7109375" style="538" customWidth="1"/>
    <col min="11" max="11" width="16.85546875" style="547" customWidth="1"/>
    <col min="12" max="13" width="9.140625" style="538"/>
    <col min="14" max="14" width="15.140625" style="381" customWidth="1"/>
    <col min="15" max="16" width="9.140625" style="538"/>
    <col min="17" max="17" width="14" style="538" customWidth="1"/>
    <col min="18" max="16384" width="9.140625" style="538"/>
  </cols>
  <sheetData>
    <row r="1" spans="1:14" ht="21">
      <c r="A1" s="534" t="s">
        <v>325</v>
      </c>
      <c r="B1" s="535"/>
      <c r="C1" s="535"/>
      <c r="D1" s="535"/>
      <c r="E1" s="535"/>
      <c r="F1" s="536"/>
      <c r="G1" s="537"/>
      <c r="I1" s="537"/>
      <c r="J1" s="537"/>
      <c r="K1" s="537"/>
      <c r="L1" s="535"/>
    </row>
    <row r="2" spans="1:14" ht="18.75">
      <c r="A2" s="539" t="s">
        <v>366</v>
      </c>
      <c r="H2" s="557"/>
    </row>
    <row r="3" spans="1:14" ht="18.75">
      <c r="A3" s="542" t="s">
        <v>365</v>
      </c>
    </row>
    <row r="4" spans="1:14">
      <c r="G4" s="88">
        <v>2017</v>
      </c>
      <c r="I4" s="88">
        <v>2016</v>
      </c>
      <c r="J4" s="57"/>
      <c r="K4" s="88">
        <v>2015</v>
      </c>
    </row>
    <row r="5" spans="1:14" s="552" customFormat="1" ht="18" customHeight="1">
      <c r="A5" s="551" t="s">
        <v>367</v>
      </c>
      <c r="G5" s="546">
        <f>1847720.87+444489+1230+2700</f>
        <v>2296139.87</v>
      </c>
      <c r="I5" s="562">
        <f>852706+143765+7950+19500+66354+18527</f>
        <v>1108802</v>
      </c>
      <c r="K5" s="546">
        <v>456547</v>
      </c>
      <c r="N5" s="561"/>
    </row>
    <row r="6" spans="1:14" s="552" customFormat="1" ht="18" customHeight="1">
      <c r="A6" s="551" t="s">
        <v>368</v>
      </c>
      <c r="G6" s="546">
        <f>66471.92+426266+2093+4954</f>
        <v>499784.92</v>
      </c>
      <c r="I6" s="562">
        <f>33335+2652+54546+1425+8914+1362+2592+5246+840+57382</f>
        <v>168294</v>
      </c>
      <c r="K6" s="546">
        <v>210537</v>
      </c>
      <c r="N6" s="561"/>
    </row>
    <row r="7" spans="1:14" s="552" customFormat="1" ht="18" customHeight="1">
      <c r="A7" s="551" t="s">
        <v>369</v>
      </c>
      <c r="G7" s="546">
        <f>529593+39474</f>
        <v>569067</v>
      </c>
      <c r="I7" s="562">
        <f>122100+174799</f>
        <v>296899</v>
      </c>
      <c r="K7" s="546">
        <v>112633</v>
      </c>
      <c r="N7" s="561"/>
    </row>
    <row r="8" spans="1:14" s="552" customFormat="1" ht="18" customHeight="1">
      <c r="A8" s="551" t="s">
        <v>383</v>
      </c>
      <c r="G8" s="546">
        <v>9639</v>
      </c>
      <c r="I8" s="562">
        <f>100+50+1977</f>
        <v>2127</v>
      </c>
      <c r="K8" s="92">
        <v>0</v>
      </c>
      <c r="N8" s="561"/>
    </row>
    <row r="9" spans="1:14" s="552" customFormat="1" ht="18" customHeight="1">
      <c r="A9" s="551" t="s">
        <v>382</v>
      </c>
      <c r="G9" s="546">
        <f>130448.76+8610</f>
        <v>139058.76</v>
      </c>
      <c r="I9" s="562">
        <f>90133+4399</f>
        <v>94532</v>
      </c>
      <c r="K9" s="92">
        <v>0</v>
      </c>
      <c r="N9" s="561"/>
    </row>
    <row r="10" spans="1:14" s="552" customFormat="1" ht="18" customHeight="1">
      <c r="A10" s="551" t="s">
        <v>370</v>
      </c>
      <c r="G10" s="546">
        <v>366230</v>
      </c>
      <c r="I10" s="562">
        <f>225420+10000+27500</f>
        <v>262920</v>
      </c>
      <c r="K10" s="546">
        <v>51750</v>
      </c>
      <c r="N10" s="561"/>
    </row>
    <row r="11" spans="1:14" s="552" customFormat="1" ht="18" customHeight="1">
      <c r="A11" s="551" t="s">
        <v>371</v>
      </c>
      <c r="G11" s="546">
        <f>747381.12+24350</f>
        <v>771731.12</v>
      </c>
      <c r="I11" s="562">
        <v>751408</v>
      </c>
      <c r="K11" s="546">
        <v>34785</v>
      </c>
      <c r="N11" s="561"/>
    </row>
    <row r="12" spans="1:14" s="552" customFormat="1" ht="18" customHeight="1">
      <c r="A12" s="551" t="s">
        <v>1417</v>
      </c>
      <c r="G12" s="546">
        <v>63560</v>
      </c>
      <c r="I12" s="562"/>
      <c r="K12" s="546"/>
      <c r="N12" s="561"/>
    </row>
    <row r="13" spans="1:14" s="552" customFormat="1" ht="18" customHeight="1">
      <c r="A13" s="551" t="s">
        <v>372</v>
      </c>
      <c r="G13" s="546">
        <v>2270077</v>
      </c>
      <c r="I13" s="562">
        <v>714978</v>
      </c>
      <c r="K13" s="546">
        <v>961639</v>
      </c>
      <c r="N13" s="561"/>
    </row>
    <row r="14" spans="1:14" s="552" customFormat="1" ht="18" customHeight="1">
      <c r="A14" s="551" t="s">
        <v>390</v>
      </c>
      <c r="G14" s="546">
        <f>155001+11650</f>
        <v>166651</v>
      </c>
      <c r="I14" s="562">
        <f>6984+55537+9795+27839+4100+2915+3626</f>
        <v>110796</v>
      </c>
      <c r="K14" s="546">
        <v>167466</v>
      </c>
      <c r="N14" s="561"/>
    </row>
    <row r="15" spans="1:14" s="552" customFormat="1" ht="18" customHeight="1">
      <c r="A15" s="551" t="s">
        <v>1410</v>
      </c>
      <c r="G15" s="546">
        <f>11300+460</f>
        <v>11760</v>
      </c>
      <c r="I15" s="562"/>
      <c r="K15" s="546"/>
      <c r="N15" s="561"/>
    </row>
    <row r="16" spans="1:14" s="552" customFormat="1" ht="18" customHeight="1">
      <c r="A16" s="551" t="s">
        <v>373</v>
      </c>
      <c r="G16" s="92">
        <f>52570+28249+300+12050</f>
        <v>93169</v>
      </c>
      <c r="I16" s="563">
        <v>0</v>
      </c>
      <c r="K16" s="92">
        <v>0</v>
      </c>
      <c r="N16" s="561"/>
    </row>
    <row r="17" spans="1:14" s="552" customFormat="1" ht="18" customHeight="1">
      <c r="A17" s="551" t="s">
        <v>374</v>
      </c>
      <c r="G17" s="92">
        <v>0</v>
      </c>
      <c r="I17" s="563">
        <v>0</v>
      </c>
      <c r="K17" s="546">
        <v>11166</v>
      </c>
      <c r="N17" s="561"/>
    </row>
    <row r="18" spans="1:14" s="552" customFormat="1" ht="18" customHeight="1">
      <c r="A18" s="551" t="s">
        <v>1334</v>
      </c>
      <c r="G18" s="92">
        <v>116444</v>
      </c>
      <c r="I18" s="563"/>
      <c r="K18" s="546"/>
      <c r="N18" s="561"/>
    </row>
    <row r="19" spans="1:14" s="552" customFormat="1" ht="18" customHeight="1">
      <c r="A19" s="551" t="s">
        <v>375</v>
      </c>
      <c r="G19" s="546">
        <f>4381.92+29909+1000+490</f>
        <v>35780.92</v>
      </c>
      <c r="I19" s="562">
        <f>4200+400+53445+7933+15520</f>
        <v>81498</v>
      </c>
      <c r="K19" s="546">
        <v>57583</v>
      </c>
      <c r="N19" s="561"/>
    </row>
    <row r="20" spans="1:14" s="552" customFormat="1" ht="18" customHeight="1">
      <c r="A20" s="551" t="s">
        <v>1416</v>
      </c>
      <c r="G20" s="546">
        <v>77755</v>
      </c>
      <c r="I20" s="562"/>
      <c r="K20" s="546"/>
      <c r="N20" s="561"/>
    </row>
    <row r="21" spans="1:14" s="552" customFormat="1" ht="18" customHeight="1">
      <c r="A21" s="551" t="s">
        <v>376</v>
      </c>
      <c r="G21" s="546">
        <f>41558.75+3000</f>
        <v>44558.75</v>
      </c>
      <c r="I21" s="562">
        <v>42981</v>
      </c>
      <c r="K21" s="546">
        <v>43885</v>
      </c>
      <c r="N21" s="561"/>
    </row>
    <row r="22" spans="1:14" s="552" customFormat="1" ht="18" customHeight="1">
      <c r="A22" s="551" t="s">
        <v>377</v>
      </c>
      <c r="G22" s="546">
        <f>2119.75+36296+70</f>
        <v>38485.75</v>
      </c>
      <c r="I22" s="562">
        <f>1270+34016</f>
        <v>35286</v>
      </c>
      <c r="K22" s="546">
        <v>13116</v>
      </c>
      <c r="N22" s="561"/>
    </row>
    <row r="23" spans="1:14" s="552" customFormat="1" ht="18" customHeight="1">
      <c r="A23" s="551" t="s">
        <v>378</v>
      </c>
      <c r="G23" s="546">
        <v>52802</v>
      </c>
      <c r="I23" s="562">
        <f>4705+27292</f>
        <v>31997</v>
      </c>
      <c r="K23" s="546">
        <v>16683</v>
      </c>
      <c r="N23" s="561"/>
    </row>
    <row r="24" spans="1:14" s="552" customFormat="1" ht="18" customHeight="1">
      <c r="A24" s="551" t="s">
        <v>379</v>
      </c>
      <c r="G24" s="546"/>
      <c r="I24" s="562">
        <f>315+225+3450</f>
        <v>3990</v>
      </c>
      <c r="K24" s="546">
        <v>10500</v>
      </c>
      <c r="N24" s="561"/>
    </row>
    <row r="25" spans="1:14" s="552" customFormat="1" ht="18" customHeight="1">
      <c r="A25" s="551" t="s">
        <v>380</v>
      </c>
      <c r="G25" s="546">
        <v>4270</v>
      </c>
      <c r="I25" s="562">
        <f>865+4768+150+31552</f>
        <v>37335</v>
      </c>
      <c r="K25" s="546">
        <v>11070</v>
      </c>
      <c r="N25" s="561"/>
    </row>
    <row r="26" spans="1:14" s="552" customFormat="1" ht="18" customHeight="1">
      <c r="A26" s="551" t="s">
        <v>1402</v>
      </c>
      <c r="G26" s="546">
        <v>1785</v>
      </c>
      <c r="I26" s="562"/>
      <c r="K26" s="546"/>
      <c r="N26" s="561"/>
    </row>
    <row r="27" spans="1:14" s="552" customFormat="1" ht="18" customHeight="1">
      <c r="A27" s="551" t="s">
        <v>381</v>
      </c>
      <c r="G27" s="546">
        <f>29100+96168+120+340+71+23860</f>
        <v>149659</v>
      </c>
      <c r="I27" s="562">
        <v>601896</v>
      </c>
      <c r="K27" s="546">
        <v>235934</v>
      </c>
      <c r="N27" s="561"/>
    </row>
    <row r="28" spans="1:14" s="552" customFormat="1" ht="18" customHeight="1">
      <c r="A28" s="551" t="s">
        <v>384</v>
      </c>
      <c r="G28" s="546">
        <f>47618+4000</f>
        <v>51618</v>
      </c>
      <c r="I28" s="562">
        <f>4700+22300</f>
        <v>27000</v>
      </c>
      <c r="K28" s="92">
        <v>0</v>
      </c>
      <c r="N28" s="561"/>
    </row>
    <row r="29" spans="1:14" s="552" customFormat="1" ht="18" customHeight="1">
      <c r="A29" s="551" t="s">
        <v>1412</v>
      </c>
      <c r="G29" s="546">
        <v>500</v>
      </c>
      <c r="I29" s="562"/>
      <c r="K29" s="92"/>
      <c r="N29" s="561"/>
    </row>
    <row r="30" spans="1:14" s="552" customFormat="1" ht="18" customHeight="1">
      <c r="A30" s="551" t="s">
        <v>1415</v>
      </c>
      <c r="G30" s="546">
        <v>10755</v>
      </c>
      <c r="I30" s="562"/>
      <c r="K30" s="92"/>
      <c r="N30" s="561"/>
    </row>
    <row r="31" spans="1:14" s="552" customFormat="1" ht="18" customHeight="1">
      <c r="A31" s="551" t="s">
        <v>1406</v>
      </c>
      <c r="G31" s="546">
        <v>69000</v>
      </c>
      <c r="I31" s="562"/>
      <c r="K31" s="92"/>
      <c r="N31" s="561"/>
    </row>
    <row r="32" spans="1:14" s="552" customFormat="1" ht="18" customHeight="1">
      <c r="A32" s="551" t="s">
        <v>385</v>
      </c>
      <c r="G32" s="546">
        <v>225</v>
      </c>
      <c r="I32" s="562">
        <v>700</v>
      </c>
      <c r="K32" s="92">
        <v>0</v>
      </c>
      <c r="N32" s="561"/>
    </row>
    <row r="33" spans="1:17" s="552" customFormat="1" ht="18" customHeight="1">
      <c r="A33" s="551" t="s">
        <v>386</v>
      </c>
      <c r="G33" s="546"/>
      <c r="I33" s="562">
        <v>50000</v>
      </c>
      <c r="K33" s="92">
        <v>0</v>
      </c>
      <c r="N33" s="561"/>
    </row>
    <row r="34" spans="1:17" s="552" customFormat="1" ht="18" customHeight="1">
      <c r="A34" s="551" t="s">
        <v>387</v>
      </c>
      <c r="G34" s="546">
        <v>17470</v>
      </c>
      <c r="I34" s="562">
        <f>10005+12590</f>
        <v>22595</v>
      </c>
      <c r="K34" s="92">
        <v>0</v>
      </c>
      <c r="N34" s="561"/>
    </row>
    <row r="35" spans="1:17" s="552" customFormat="1" ht="18" customHeight="1">
      <c r="A35" s="551" t="s">
        <v>1409</v>
      </c>
      <c r="G35" s="546">
        <v>136566</v>
      </c>
      <c r="I35" s="562"/>
      <c r="K35" s="92"/>
      <c r="N35" s="561"/>
    </row>
    <row r="36" spans="1:17" s="552" customFormat="1" ht="18" customHeight="1">
      <c r="A36" s="551" t="s">
        <v>1403</v>
      </c>
      <c r="G36" s="546">
        <f>8331+441+400+615+5858+1000</f>
        <v>16645</v>
      </c>
      <c r="I36" s="562"/>
      <c r="K36" s="92"/>
      <c r="N36" s="561"/>
    </row>
    <row r="37" spans="1:17" s="552" customFormat="1" ht="18" customHeight="1">
      <c r="A37" s="551" t="s">
        <v>388</v>
      </c>
      <c r="G37" s="546">
        <v>68543</v>
      </c>
      <c r="I37" s="562"/>
      <c r="K37" s="92">
        <v>0</v>
      </c>
      <c r="N37" s="561"/>
    </row>
    <row r="38" spans="1:17" s="552" customFormat="1" ht="18" customHeight="1">
      <c r="A38" s="551" t="s">
        <v>1411</v>
      </c>
      <c r="G38" s="546">
        <v>5167</v>
      </c>
      <c r="I38" s="562"/>
      <c r="K38" s="92"/>
      <c r="N38" s="561"/>
      <c r="Q38" s="561"/>
    </row>
    <row r="39" spans="1:17" s="552" customFormat="1" ht="18" customHeight="1">
      <c r="A39" s="551" t="s">
        <v>1413</v>
      </c>
      <c r="G39" s="546">
        <v>200</v>
      </c>
      <c r="I39" s="562"/>
      <c r="K39" s="92"/>
      <c r="N39" s="561"/>
    </row>
    <row r="40" spans="1:17" s="552" customFormat="1" ht="18" customHeight="1">
      <c r="A40" s="551" t="s">
        <v>1414</v>
      </c>
      <c r="G40" s="546">
        <v>12506</v>
      </c>
      <c r="I40" s="562"/>
      <c r="K40" s="92"/>
      <c r="N40" s="561"/>
    </row>
    <row r="41" spans="1:17" s="552" customFormat="1" ht="18" customHeight="1">
      <c r="A41" s="551" t="s">
        <v>391</v>
      </c>
      <c r="G41" s="546"/>
      <c r="I41" s="562">
        <v>124950</v>
      </c>
      <c r="K41" s="92">
        <v>0</v>
      </c>
      <c r="N41" s="561"/>
    </row>
    <row r="42" spans="1:17" s="552" customFormat="1" ht="18" customHeight="1">
      <c r="A42" s="551" t="s">
        <v>389</v>
      </c>
      <c r="G42" s="546">
        <f>521647</f>
        <v>521647</v>
      </c>
      <c r="I42" s="562">
        <f>32898+9879</f>
        <v>42777</v>
      </c>
      <c r="K42" s="92">
        <v>0</v>
      </c>
      <c r="N42" s="561"/>
    </row>
    <row r="43" spans="1:17" ht="18" customHeight="1" thickBot="1">
      <c r="A43" s="556" t="s">
        <v>9</v>
      </c>
      <c r="G43" s="51">
        <f>SUM(G5:G42)</f>
        <v>8689250.0899999999</v>
      </c>
      <c r="I43" s="51">
        <f>SUM(I5:I42)</f>
        <v>4613761</v>
      </c>
      <c r="K43" s="51">
        <f>SUM(K5:K42)</f>
        <v>2395294</v>
      </c>
    </row>
    <row r="44" spans="1:17" ht="15.75" thickTop="1"/>
    <row r="46" spans="1:17" ht="21">
      <c r="A46" s="534" t="s">
        <v>325</v>
      </c>
      <c r="B46" s="535"/>
      <c r="C46" s="535"/>
      <c r="D46" s="535"/>
      <c r="E46" s="535"/>
      <c r="F46" s="536"/>
      <c r="G46" s="537"/>
      <c r="I46" s="537"/>
      <c r="J46" s="537"/>
      <c r="K46" s="537"/>
      <c r="L46" s="535"/>
    </row>
    <row r="47" spans="1:17" ht="18.75">
      <c r="A47" s="539" t="s">
        <v>392</v>
      </c>
      <c r="H47" s="557"/>
    </row>
    <row r="48" spans="1:17" ht="18.75">
      <c r="A48" s="542" t="s">
        <v>393</v>
      </c>
    </row>
    <row r="49" spans="1:14">
      <c r="G49" s="88">
        <v>2017</v>
      </c>
      <c r="I49" s="88">
        <v>2016</v>
      </c>
      <c r="J49" s="57"/>
      <c r="K49" s="88">
        <v>2015</v>
      </c>
    </row>
    <row r="50" spans="1:14" s="552" customFormat="1" ht="18" customHeight="1">
      <c r="A50" s="551" t="s">
        <v>367</v>
      </c>
      <c r="G50" s="533">
        <f>196713.34+411765</f>
        <v>608478.34</v>
      </c>
      <c r="H50" s="558">
        <v>0</v>
      </c>
      <c r="I50" s="564">
        <f>3800+671689</f>
        <v>675489</v>
      </c>
      <c r="J50" s="558">
        <v>0</v>
      </c>
      <c r="K50" s="533">
        <v>0</v>
      </c>
      <c r="N50" s="561"/>
    </row>
    <row r="51" spans="1:14" s="552" customFormat="1" ht="18" customHeight="1">
      <c r="A51" s="551" t="s">
        <v>368</v>
      </c>
      <c r="G51" s="533">
        <f>8458+1401</f>
        <v>9859</v>
      </c>
      <c r="H51" s="558">
        <v>0</v>
      </c>
      <c r="I51" s="564">
        <v>0</v>
      </c>
      <c r="J51" s="558">
        <v>0</v>
      </c>
      <c r="K51" s="559">
        <v>15209</v>
      </c>
      <c r="N51" s="561"/>
    </row>
    <row r="52" spans="1:14" s="552" customFormat="1" ht="18" customHeight="1">
      <c r="A52" s="551" t="s">
        <v>369</v>
      </c>
      <c r="G52" s="533">
        <v>4481</v>
      </c>
      <c r="H52" s="558">
        <v>0</v>
      </c>
      <c r="I52" s="564">
        <v>0</v>
      </c>
      <c r="J52" s="558">
        <v>0</v>
      </c>
      <c r="K52" s="533">
        <v>0</v>
      </c>
      <c r="N52" s="561"/>
    </row>
    <row r="53" spans="1:14" s="552" customFormat="1" ht="18" customHeight="1">
      <c r="A53" s="551" t="s">
        <v>383</v>
      </c>
      <c r="G53" s="533">
        <v>3446</v>
      </c>
      <c r="H53" s="558">
        <v>0</v>
      </c>
      <c r="I53" s="564">
        <f>2152+125</f>
        <v>2277</v>
      </c>
      <c r="J53" s="558">
        <v>0</v>
      </c>
      <c r="K53" s="533">
        <v>0</v>
      </c>
      <c r="N53" s="561"/>
    </row>
    <row r="54" spans="1:14" s="552" customFormat="1" ht="18" customHeight="1">
      <c r="A54" s="551" t="s">
        <v>382</v>
      </c>
      <c r="G54" s="533">
        <v>1335</v>
      </c>
      <c r="H54" s="558">
        <v>0</v>
      </c>
      <c r="I54" s="564">
        <v>0</v>
      </c>
      <c r="J54" s="558">
        <v>0</v>
      </c>
      <c r="K54" s="533">
        <v>0</v>
      </c>
      <c r="N54" s="561"/>
    </row>
    <row r="55" spans="1:14" s="552" customFormat="1" ht="18" customHeight="1">
      <c r="A55" s="551" t="s">
        <v>370</v>
      </c>
      <c r="G55" s="533">
        <v>0</v>
      </c>
      <c r="H55" s="558">
        <v>0</v>
      </c>
      <c r="I55" s="564">
        <f>4750</f>
        <v>4750</v>
      </c>
      <c r="J55" s="558">
        <v>0</v>
      </c>
      <c r="K55" s="533">
        <v>0</v>
      </c>
      <c r="N55" s="561"/>
    </row>
    <row r="56" spans="1:14" s="552" customFormat="1" ht="18" customHeight="1">
      <c r="A56" s="551" t="s">
        <v>1402</v>
      </c>
      <c r="G56" s="533">
        <v>1016</v>
      </c>
      <c r="H56" s="558">
        <v>0</v>
      </c>
      <c r="I56" s="564">
        <v>0</v>
      </c>
      <c r="J56" s="558">
        <v>0</v>
      </c>
      <c r="K56" s="533">
        <v>0</v>
      </c>
      <c r="N56" s="561"/>
    </row>
    <row r="57" spans="1:14" s="552" customFormat="1" ht="18" customHeight="1">
      <c r="A57" s="551" t="s">
        <v>371</v>
      </c>
      <c r="G57" s="533">
        <v>200</v>
      </c>
      <c r="H57" s="558">
        <v>0</v>
      </c>
      <c r="I57" s="564">
        <v>0</v>
      </c>
      <c r="J57" s="558">
        <v>0</v>
      </c>
      <c r="K57" s="533">
        <v>0</v>
      </c>
      <c r="N57" s="561"/>
    </row>
    <row r="58" spans="1:14" s="552" customFormat="1" ht="18" customHeight="1">
      <c r="A58" s="551" t="s">
        <v>294</v>
      </c>
      <c r="G58" s="533">
        <v>56306</v>
      </c>
      <c r="H58" s="558">
        <v>0</v>
      </c>
      <c r="I58" s="564">
        <v>71504</v>
      </c>
      <c r="J58" s="558">
        <v>0</v>
      </c>
      <c r="K58" s="559">
        <v>50164</v>
      </c>
      <c r="N58" s="561"/>
    </row>
    <row r="59" spans="1:14" s="552" customFormat="1" ht="18" customHeight="1">
      <c r="A59" s="551" t="s">
        <v>390</v>
      </c>
      <c r="G59" s="533">
        <v>0</v>
      </c>
      <c r="H59" s="558">
        <v>0</v>
      </c>
      <c r="I59" s="564">
        <v>0</v>
      </c>
      <c r="J59" s="558">
        <v>0</v>
      </c>
      <c r="K59" s="533">
        <v>0</v>
      </c>
      <c r="N59" s="561"/>
    </row>
    <row r="60" spans="1:14" s="552" customFormat="1" ht="18" customHeight="1">
      <c r="A60" s="551" t="s">
        <v>373</v>
      </c>
      <c r="G60" s="533">
        <v>1500</v>
      </c>
      <c r="H60" s="558">
        <v>0</v>
      </c>
      <c r="I60" s="564">
        <v>0</v>
      </c>
      <c r="J60" s="558">
        <v>0</v>
      </c>
      <c r="K60" s="533">
        <v>0</v>
      </c>
      <c r="N60" s="561"/>
    </row>
    <row r="61" spans="1:14" s="552" customFormat="1" ht="18" customHeight="1">
      <c r="A61" s="551" t="s">
        <v>374</v>
      </c>
      <c r="G61" s="533">
        <v>0</v>
      </c>
      <c r="H61" s="558">
        <v>0</v>
      </c>
      <c r="I61" s="564">
        <f>7405+13008</f>
        <v>20413</v>
      </c>
      <c r="J61" s="558">
        <v>0</v>
      </c>
      <c r="K61" s="533">
        <v>0</v>
      </c>
      <c r="N61" s="561"/>
    </row>
    <row r="62" spans="1:14" s="552" customFormat="1" ht="18" customHeight="1">
      <c r="A62" s="551" t="s">
        <v>1408</v>
      </c>
      <c r="G62" s="533">
        <v>429.9</v>
      </c>
      <c r="H62" s="558">
        <v>0</v>
      </c>
      <c r="I62" s="564">
        <v>0</v>
      </c>
      <c r="J62" s="558">
        <v>0</v>
      </c>
      <c r="K62" s="533">
        <v>0</v>
      </c>
      <c r="N62" s="561"/>
    </row>
    <row r="63" spans="1:14" s="552" customFormat="1" ht="18" customHeight="1">
      <c r="A63" s="551" t="s">
        <v>375</v>
      </c>
      <c r="G63" s="533">
        <f>376706.58+605.31+81800+3050+10300</f>
        <v>472461.89</v>
      </c>
      <c r="H63" s="558">
        <v>0</v>
      </c>
      <c r="I63" s="564">
        <f>3311+800+150</f>
        <v>4261</v>
      </c>
      <c r="J63" s="558">
        <v>0</v>
      </c>
      <c r="K63" s="559">
        <v>5000</v>
      </c>
      <c r="N63" s="561"/>
    </row>
    <row r="64" spans="1:14" s="552" customFormat="1" ht="18" customHeight="1">
      <c r="A64" s="551" t="s">
        <v>376</v>
      </c>
      <c r="G64" s="533">
        <v>5893.19</v>
      </c>
      <c r="H64" s="558">
        <v>0</v>
      </c>
      <c r="I64" s="564">
        <v>0</v>
      </c>
      <c r="J64" s="558">
        <v>0</v>
      </c>
      <c r="K64" s="533">
        <v>0</v>
      </c>
      <c r="N64" s="561"/>
    </row>
    <row r="65" spans="1:14" s="552" customFormat="1" ht="18" customHeight="1">
      <c r="A65" s="551" t="s">
        <v>377</v>
      </c>
      <c r="G65" s="533">
        <v>94696.95</v>
      </c>
      <c r="H65" s="558">
        <v>0</v>
      </c>
      <c r="I65" s="564">
        <v>0</v>
      </c>
      <c r="J65" s="558">
        <v>0</v>
      </c>
      <c r="K65" s="533">
        <v>0</v>
      </c>
      <c r="N65" s="561"/>
    </row>
    <row r="66" spans="1:14" s="552" customFormat="1" ht="18" customHeight="1">
      <c r="A66" s="551" t="s">
        <v>1406</v>
      </c>
      <c r="G66" s="533">
        <v>1267</v>
      </c>
      <c r="H66" s="558">
        <v>0</v>
      </c>
      <c r="I66" s="564">
        <v>0</v>
      </c>
      <c r="J66" s="558">
        <v>0</v>
      </c>
      <c r="K66" s="533">
        <v>0</v>
      </c>
      <c r="N66" s="561"/>
    </row>
    <row r="67" spans="1:14" s="552" customFormat="1" ht="18" customHeight="1">
      <c r="A67" s="551" t="s">
        <v>378</v>
      </c>
      <c r="G67" s="533">
        <v>14542.28</v>
      </c>
      <c r="H67" s="558">
        <v>0</v>
      </c>
      <c r="I67" s="564">
        <v>0</v>
      </c>
      <c r="J67" s="558">
        <v>0</v>
      </c>
      <c r="K67" s="533">
        <v>0</v>
      </c>
      <c r="N67" s="561"/>
    </row>
    <row r="68" spans="1:14" s="552" customFormat="1" ht="18" customHeight="1">
      <c r="A68" s="551" t="s">
        <v>1407</v>
      </c>
      <c r="G68" s="533">
        <v>20500</v>
      </c>
      <c r="H68" s="558">
        <v>0</v>
      </c>
      <c r="I68" s="564">
        <v>0</v>
      </c>
      <c r="J68" s="558">
        <v>0</v>
      </c>
      <c r="K68" s="533">
        <v>0</v>
      </c>
      <c r="N68" s="561"/>
    </row>
    <row r="69" spans="1:14" s="552" customFormat="1" ht="18" customHeight="1">
      <c r="A69" s="551" t="s">
        <v>379</v>
      </c>
      <c r="G69" s="533">
        <v>0</v>
      </c>
      <c r="H69" s="558">
        <v>0</v>
      </c>
      <c r="I69" s="564">
        <v>0</v>
      </c>
      <c r="J69" s="558">
        <v>0</v>
      </c>
      <c r="K69" s="533">
        <v>0</v>
      </c>
      <c r="N69" s="561"/>
    </row>
    <row r="70" spans="1:14" s="552" customFormat="1" ht="18" customHeight="1">
      <c r="A70" s="551" t="s">
        <v>380</v>
      </c>
      <c r="G70" s="533">
        <v>50</v>
      </c>
      <c r="H70" s="558">
        <v>0</v>
      </c>
      <c r="I70" s="564">
        <v>0</v>
      </c>
      <c r="J70" s="558">
        <v>0</v>
      </c>
      <c r="K70" s="533">
        <v>0</v>
      </c>
      <c r="N70" s="561"/>
    </row>
    <row r="71" spans="1:14" s="552" customFormat="1" ht="18" customHeight="1">
      <c r="A71" s="551" t="s">
        <v>381</v>
      </c>
      <c r="G71" s="533">
        <f>7+110586.74+900-95000</f>
        <v>16493.740000000005</v>
      </c>
      <c r="H71" s="558">
        <v>0</v>
      </c>
      <c r="I71" s="564">
        <v>64742</v>
      </c>
      <c r="J71" s="558">
        <v>0</v>
      </c>
      <c r="K71" s="533">
        <v>0</v>
      </c>
      <c r="N71" s="561"/>
    </row>
    <row r="72" spans="1:14" s="552" customFormat="1" ht="18" customHeight="1">
      <c r="A72" s="551" t="s">
        <v>386</v>
      </c>
      <c r="G72" s="533">
        <v>95000</v>
      </c>
      <c r="H72" s="558"/>
      <c r="I72" s="564"/>
      <c r="J72" s="558"/>
      <c r="K72" s="533"/>
      <c r="N72" s="561"/>
    </row>
    <row r="73" spans="1:14" s="552" customFormat="1" ht="18" customHeight="1">
      <c r="A73" s="551" t="s">
        <v>384</v>
      </c>
      <c r="G73" s="533">
        <v>0</v>
      </c>
      <c r="H73" s="558">
        <v>0</v>
      </c>
      <c r="I73" s="564">
        <v>0</v>
      </c>
      <c r="J73" s="558">
        <v>0</v>
      </c>
      <c r="K73" s="533">
        <v>0</v>
      </c>
      <c r="N73" s="561"/>
    </row>
    <row r="74" spans="1:14" s="552" customFormat="1" ht="18" customHeight="1">
      <c r="A74" s="551" t="s">
        <v>385</v>
      </c>
      <c r="G74" s="533">
        <v>1325</v>
      </c>
      <c r="H74" s="558">
        <v>0</v>
      </c>
      <c r="I74" s="564">
        <v>0</v>
      </c>
      <c r="J74" s="558">
        <v>0</v>
      </c>
      <c r="K74" s="533">
        <v>0</v>
      </c>
      <c r="N74" s="561"/>
    </row>
    <row r="75" spans="1:14" s="552" customFormat="1" ht="18" customHeight="1">
      <c r="A75" s="551" t="s">
        <v>386</v>
      </c>
      <c r="G75" s="533">
        <v>0</v>
      </c>
      <c r="H75" s="558">
        <v>0</v>
      </c>
      <c r="I75" s="564">
        <v>0</v>
      </c>
      <c r="J75" s="558">
        <v>0</v>
      </c>
      <c r="K75" s="533">
        <v>0</v>
      </c>
      <c r="N75" s="561"/>
    </row>
    <row r="76" spans="1:14" s="552" customFormat="1" ht="18" customHeight="1">
      <c r="A76" s="551" t="s">
        <v>1403</v>
      </c>
      <c r="G76" s="533">
        <v>3776</v>
      </c>
      <c r="H76" s="558">
        <v>0</v>
      </c>
      <c r="I76" s="564">
        <v>0</v>
      </c>
      <c r="J76" s="558">
        <v>0</v>
      </c>
      <c r="K76" s="533">
        <v>0</v>
      </c>
      <c r="N76" s="561"/>
    </row>
    <row r="77" spans="1:14" s="552" customFormat="1" ht="18" customHeight="1">
      <c r="A77" s="551" t="s">
        <v>1404</v>
      </c>
      <c r="G77" s="533">
        <v>63734</v>
      </c>
      <c r="H77" s="558">
        <v>0</v>
      </c>
      <c r="I77" s="564">
        <v>0</v>
      </c>
      <c r="J77" s="558">
        <v>0</v>
      </c>
      <c r="K77" s="533">
        <v>0</v>
      </c>
      <c r="N77" s="561"/>
    </row>
    <row r="78" spans="1:14" s="552" customFormat="1" ht="18" customHeight="1">
      <c r="A78" s="551" t="s">
        <v>1405</v>
      </c>
      <c r="G78" s="533">
        <v>35714</v>
      </c>
      <c r="H78" s="558">
        <v>0</v>
      </c>
      <c r="I78" s="564">
        <v>0</v>
      </c>
      <c r="J78" s="558">
        <v>0</v>
      </c>
      <c r="K78" s="533">
        <v>0</v>
      </c>
      <c r="N78" s="561"/>
    </row>
    <row r="79" spans="1:14" s="552" customFormat="1" ht="18" customHeight="1">
      <c r="A79" s="551" t="s">
        <v>387</v>
      </c>
      <c r="G79" s="533">
        <v>0</v>
      </c>
      <c r="H79" s="558">
        <v>0</v>
      </c>
      <c r="I79" s="564">
        <v>0</v>
      </c>
      <c r="J79" s="558">
        <v>0</v>
      </c>
      <c r="K79" s="533">
        <v>0</v>
      </c>
      <c r="N79" s="561"/>
    </row>
    <row r="80" spans="1:14" s="552" customFormat="1" ht="18" customHeight="1">
      <c r="A80" s="551" t="s">
        <v>388</v>
      </c>
      <c r="G80" s="533">
        <v>2700</v>
      </c>
      <c r="H80" s="558">
        <v>0</v>
      </c>
      <c r="I80" s="564">
        <f>4450</f>
        <v>4450</v>
      </c>
      <c r="J80" s="558">
        <v>0</v>
      </c>
      <c r="K80" s="533">
        <v>0</v>
      </c>
      <c r="N80" s="561"/>
    </row>
    <row r="81" spans="1:14" s="552" customFormat="1" ht="18" customHeight="1">
      <c r="A81" s="551" t="s">
        <v>391</v>
      </c>
      <c r="G81" s="533">
        <v>159535.12</v>
      </c>
      <c r="H81" s="558">
        <v>0</v>
      </c>
      <c r="I81" s="564">
        <v>0</v>
      </c>
      <c r="J81" s="558">
        <v>0</v>
      </c>
      <c r="K81" s="533">
        <v>25000</v>
      </c>
      <c r="N81" s="561"/>
    </row>
    <row r="82" spans="1:14" s="552" customFormat="1" ht="18" customHeight="1">
      <c r="A82" s="551" t="s">
        <v>389</v>
      </c>
      <c r="G82" s="533">
        <v>0</v>
      </c>
      <c r="H82" s="558">
        <v>0</v>
      </c>
      <c r="I82" s="564">
        <v>0</v>
      </c>
      <c r="J82" s="558">
        <v>0</v>
      </c>
      <c r="K82" s="533">
        <v>804</v>
      </c>
      <c r="N82" s="561"/>
    </row>
    <row r="83" spans="1:14" ht="18" customHeight="1" thickBot="1">
      <c r="A83" s="556" t="s">
        <v>9</v>
      </c>
      <c r="G83" s="51">
        <f>SUM(G50:G82)</f>
        <v>1674740.4099999997</v>
      </c>
      <c r="I83" s="51">
        <f>SUM(I50:I82)</f>
        <v>847886</v>
      </c>
      <c r="K83" s="51">
        <f>SUM(K50:K82)</f>
        <v>96177</v>
      </c>
    </row>
    <row r="84" spans="1:14" ht="15.75" thickTop="1"/>
    <row r="86" spans="1:14">
      <c r="G86" s="92">
        <f>G43+G83</f>
        <v>10363990.5</v>
      </c>
    </row>
    <row r="87" spans="1:14">
      <c r="E87" s="92"/>
    </row>
    <row r="88" spans="1:14">
      <c r="G88" s="92"/>
      <c r="I88" s="92"/>
    </row>
    <row r="89" spans="1:14">
      <c r="E89" s="547"/>
    </row>
    <row r="91" spans="1:14">
      <c r="E91" s="92"/>
    </row>
  </sheetData>
  <printOptions horizontalCentered="1"/>
  <pageMargins left="0" right="0.19685039370078741" top="0.55118110236220474" bottom="0.74803149606299213" header="0.31496062992125984" footer="0.31496062992125984"/>
  <pageSetup paperSize="9" scale="87" orientation="portrait" r:id="rId1"/>
  <headerFooter>
    <oddFooter>&amp;C&amp;"-,Bold"&amp;14&amp;P</oddFooter>
  </headerFooter>
  <rowBreaks count="1" manualBreakCount="1">
    <brk id="43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/>
  <dimension ref="A1:J48"/>
  <sheetViews>
    <sheetView rightToLeft="1" view="pageBreakPreview" topLeftCell="A16" zoomScaleNormal="100" zoomScaleSheetLayoutView="100" workbookViewId="0">
      <selection activeCell="E6" sqref="E6:E43"/>
    </sheetView>
  </sheetViews>
  <sheetFormatPr defaultRowHeight="15"/>
  <cols>
    <col min="1" max="1" width="15.42578125" customWidth="1"/>
    <col min="3" max="3" width="11.85546875" style="477" bestFit="1" customWidth="1"/>
    <col min="4" max="4" width="88.42578125" customWidth="1"/>
    <col min="5" max="5" width="14.85546875" customWidth="1"/>
    <col min="6" max="6" width="13.140625" style="478" bestFit="1" customWidth="1"/>
    <col min="7" max="7" width="9.140625" style="478"/>
    <col min="8" max="9" width="16.42578125" bestFit="1" customWidth="1"/>
    <col min="10" max="10" width="17.7109375" customWidth="1"/>
  </cols>
  <sheetData>
    <row r="1" spans="1:10" ht="29.25" customHeight="1">
      <c r="A1" s="656" t="s">
        <v>1322</v>
      </c>
      <c r="B1" s="656"/>
      <c r="C1" s="656"/>
      <c r="D1" s="656"/>
      <c r="E1" s="656"/>
      <c r="F1" s="656"/>
      <c r="G1" s="656"/>
      <c r="H1" s="656"/>
      <c r="I1" s="656"/>
      <c r="J1" s="656"/>
    </row>
    <row r="2" spans="1:10" ht="29.25" customHeight="1">
      <c r="A2" s="656"/>
      <c r="B2" s="656"/>
      <c r="C2" s="656"/>
      <c r="D2" s="656"/>
      <c r="E2" s="656"/>
      <c r="F2" s="656"/>
      <c r="G2" s="656"/>
      <c r="H2" s="656"/>
      <c r="I2" s="656"/>
      <c r="J2" s="656"/>
    </row>
    <row r="3" spans="1:10" ht="29.25" customHeight="1">
      <c r="A3" s="656"/>
      <c r="B3" s="656"/>
      <c r="C3" s="656"/>
      <c r="D3" s="656"/>
      <c r="E3" s="656"/>
      <c r="F3" s="656"/>
      <c r="G3" s="656"/>
      <c r="H3" s="656"/>
      <c r="I3" s="656"/>
      <c r="J3" s="656"/>
    </row>
    <row r="4" spans="1:10" ht="29.25" customHeight="1">
      <c r="A4" s="656"/>
      <c r="B4" s="656"/>
      <c r="C4" s="656"/>
      <c r="D4" s="656"/>
      <c r="E4" s="656"/>
      <c r="F4" s="656"/>
      <c r="G4" s="656"/>
      <c r="H4" s="656"/>
      <c r="I4" s="656"/>
      <c r="J4" s="656"/>
    </row>
    <row r="5" spans="1:10" ht="45.75" thickBot="1">
      <c r="A5" s="434" t="s">
        <v>1323</v>
      </c>
      <c r="B5" s="435" t="s">
        <v>1324</v>
      </c>
      <c r="C5" s="436" t="s">
        <v>1325</v>
      </c>
      <c r="D5" s="437" t="s">
        <v>1326</v>
      </c>
      <c r="E5" s="438" t="s">
        <v>1327</v>
      </c>
      <c r="F5" s="438" t="s">
        <v>1328</v>
      </c>
      <c r="G5" s="438" t="s">
        <v>1329</v>
      </c>
      <c r="H5" s="439" t="s">
        <v>3</v>
      </c>
      <c r="I5" s="439" t="s">
        <v>716</v>
      </c>
      <c r="J5" s="440" t="s">
        <v>1330</v>
      </c>
    </row>
    <row r="6" spans="1:10" ht="16.5" thickTop="1">
      <c r="A6" s="441">
        <v>42736</v>
      </c>
      <c r="B6" s="442">
        <v>1</v>
      </c>
      <c r="C6" s="443" t="s">
        <v>740</v>
      </c>
      <c r="D6" s="444" t="s">
        <v>1331</v>
      </c>
      <c r="E6" s="445"/>
      <c r="F6" s="446"/>
      <c r="G6" s="447"/>
      <c r="H6" s="448">
        <v>419311</v>
      </c>
      <c r="I6" s="448"/>
      <c r="J6" s="449">
        <f>H6</f>
        <v>419311</v>
      </c>
    </row>
    <row r="7" spans="1:10" ht="15.75">
      <c r="A7" s="441">
        <v>42737</v>
      </c>
      <c r="B7" s="442">
        <v>1</v>
      </c>
      <c r="C7" s="450" t="s">
        <v>576</v>
      </c>
      <c r="D7" s="444" t="s">
        <v>1332</v>
      </c>
      <c r="E7" s="451">
        <v>10340</v>
      </c>
      <c r="F7" s="450" t="s">
        <v>894</v>
      </c>
      <c r="G7" s="452"/>
      <c r="H7" s="448">
        <v>97200</v>
      </c>
      <c r="I7" s="448"/>
      <c r="J7" s="449">
        <f t="shared" ref="J7:J42" si="0">J6+H7-I7</f>
        <v>516511</v>
      </c>
    </row>
    <row r="8" spans="1:10" ht="15.75">
      <c r="A8" s="441">
        <v>42751</v>
      </c>
      <c r="B8" s="442">
        <v>1</v>
      </c>
      <c r="C8" s="450" t="s">
        <v>606</v>
      </c>
      <c r="D8" s="444" t="s">
        <v>1333</v>
      </c>
      <c r="E8" s="451">
        <v>10320</v>
      </c>
      <c r="F8" s="450" t="s">
        <v>1334</v>
      </c>
      <c r="G8" s="452" t="s">
        <v>52</v>
      </c>
      <c r="H8" s="448">
        <v>2000</v>
      </c>
      <c r="I8" s="448"/>
      <c r="J8" s="449">
        <f t="shared" si="0"/>
        <v>518511</v>
      </c>
    </row>
    <row r="9" spans="1:10" ht="15.75">
      <c r="A9" s="441">
        <v>42754</v>
      </c>
      <c r="B9" s="442">
        <v>1</v>
      </c>
      <c r="C9" s="450" t="s">
        <v>1335</v>
      </c>
      <c r="D9" s="444" t="s">
        <v>1336</v>
      </c>
      <c r="E9" s="451">
        <v>76</v>
      </c>
      <c r="F9" s="450" t="s">
        <v>1337</v>
      </c>
      <c r="G9" s="452"/>
      <c r="H9" s="448">
        <v>60000</v>
      </c>
      <c r="I9" s="448"/>
      <c r="J9" s="449">
        <f t="shared" si="0"/>
        <v>578511</v>
      </c>
    </row>
    <row r="10" spans="1:10" ht="15.75">
      <c r="A10" s="441">
        <v>42771</v>
      </c>
      <c r="B10" s="442">
        <v>2</v>
      </c>
      <c r="C10" s="450" t="s">
        <v>576</v>
      </c>
      <c r="D10" s="444" t="s">
        <v>1338</v>
      </c>
      <c r="E10" s="451">
        <v>10313</v>
      </c>
      <c r="F10" s="450" t="s">
        <v>894</v>
      </c>
      <c r="G10" s="452"/>
      <c r="H10" s="448">
        <v>8000</v>
      </c>
      <c r="I10" s="448"/>
      <c r="J10" s="449">
        <f t="shared" si="0"/>
        <v>586511</v>
      </c>
    </row>
    <row r="11" spans="1:10" ht="15.75">
      <c r="A11" s="441">
        <v>42779</v>
      </c>
      <c r="B11" s="442">
        <v>2</v>
      </c>
      <c r="C11" s="450" t="s">
        <v>1339</v>
      </c>
      <c r="D11" s="444" t="s">
        <v>1340</v>
      </c>
      <c r="E11" s="451">
        <v>69</v>
      </c>
      <c r="F11" s="450" t="s">
        <v>1341</v>
      </c>
      <c r="G11" s="452" t="s">
        <v>52</v>
      </c>
      <c r="H11" s="448">
        <v>3050</v>
      </c>
      <c r="I11" s="448"/>
      <c r="J11" s="449">
        <f t="shared" si="0"/>
        <v>589561</v>
      </c>
    </row>
    <row r="12" spans="1:10" ht="15.75">
      <c r="A12" s="441">
        <v>42779</v>
      </c>
      <c r="B12" s="442">
        <v>2</v>
      </c>
      <c r="C12" s="450" t="s">
        <v>881</v>
      </c>
      <c r="D12" s="444" t="s">
        <v>1342</v>
      </c>
      <c r="E12" s="451">
        <v>271</v>
      </c>
      <c r="F12" s="450" t="s">
        <v>1343</v>
      </c>
      <c r="G12" s="452"/>
      <c r="H12" s="448"/>
      <c r="I12" s="448">
        <v>190000</v>
      </c>
      <c r="J12" s="449">
        <f t="shared" si="0"/>
        <v>399561</v>
      </c>
    </row>
    <row r="13" spans="1:10" ht="15.75">
      <c r="A13" s="441">
        <v>42789</v>
      </c>
      <c r="B13" s="442">
        <v>2</v>
      </c>
      <c r="C13" s="450" t="s">
        <v>889</v>
      </c>
      <c r="D13" s="444" t="s">
        <v>1344</v>
      </c>
      <c r="E13" s="451">
        <v>272</v>
      </c>
      <c r="F13" s="450" t="s">
        <v>1343</v>
      </c>
      <c r="G13" s="452"/>
      <c r="H13" s="448"/>
      <c r="I13" s="448">
        <v>200000</v>
      </c>
      <c r="J13" s="449">
        <f t="shared" si="0"/>
        <v>199561</v>
      </c>
    </row>
    <row r="14" spans="1:10" ht="15.75">
      <c r="A14" s="441">
        <v>42825</v>
      </c>
      <c r="B14" s="442">
        <v>3</v>
      </c>
      <c r="C14" s="450" t="s">
        <v>1339</v>
      </c>
      <c r="D14" s="444" t="s">
        <v>1345</v>
      </c>
      <c r="E14" s="451">
        <v>67</v>
      </c>
      <c r="F14" s="450" t="s">
        <v>1341</v>
      </c>
      <c r="G14" s="452" t="s">
        <v>52</v>
      </c>
      <c r="H14" s="448">
        <v>2600</v>
      </c>
      <c r="I14" s="448"/>
      <c r="J14" s="449">
        <f t="shared" si="0"/>
        <v>202161</v>
      </c>
    </row>
    <row r="15" spans="1:10" ht="15.75">
      <c r="A15" s="441">
        <v>42831</v>
      </c>
      <c r="B15" s="442">
        <v>4</v>
      </c>
      <c r="C15" s="450" t="s">
        <v>576</v>
      </c>
      <c r="D15" s="444" t="s">
        <v>1346</v>
      </c>
      <c r="E15" s="451">
        <v>94</v>
      </c>
      <c r="F15" s="450" t="s">
        <v>894</v>
      </c>
      <c r="G15" s="452"/>
      <c r="H15" s="448">
        <v>522000</v>
      </c>
      <c r="I15" s="448"/>
      <c r="J15" s="449">
        <f t="shared" si="0"/>
        <v>724161</v>
      </c>
    </row>
    <row r="16" spans="1:10" ht="15.75">
      <c r="A16" s="441">
        <v>42843</v>
      </c>
      <c r="B16" s="442">
        <v>4</v>
      </c>
      <c r="C16" s="450" t="s">
        <v>577</v>
      </c>
      <c r="D16" s="444" t="s">
        <v>1347</v>
      </c>
      <c r="E16" s="451">
        <v>288</v>
      </c>
      <c r="F16" s="450" t="s">
        <v>1343</v>
      </c>
      <c r="G16" s="452"/>
      <c r="H16" s="448">
        <v>287500</v>
      </c>
      <c r="I16" s="448"/>
      <c r="J16" s="449">
        <f t="shared" si="0"/>
        <v>1011661</v>
      </c>
    </row>
    <row r="17" spans="1:10" ht="15.75">
      <c r="A17" s="441">
        <v>42843</v>
      </c>
      <c r="B17" s="442">
        <v>4</v>
      </c>
      <c r="C17" s="450" t="s">
        <v>845</v>
      </c>
      <c r="D17" s="444" t="s">
        <v>1348</v>
      </c>
      <c r="E17" s="451">
        <v>280</v>
      </c>
      <c r="F17" s="450" t="s">
        <v>1343</v>
      </c>
      <c r="G17" s="452"/>
      <c r="H17" s="448"/>
      <c r="I17" s="448">
        <v>100000</v>
      </c>
      <c r="J17" s="449">
        <f t="shared" si="0"/>
        <v>911661</v>
      </c>
    </row>
    <row r="18" spans="1:10" ht="15.75">
      <c r="A18" s="441">
        <v>42843</v>
      </c>
      <c r="B18" s="442">
        <v>4</v>
      </c>
      <c r="C18" s="450" t="s">
        <v>845</v>
      </c>
      <c r="D18" s="444" t="s">
        <v>1349</v>
      </c>
      <c r="E18" s="451">
        <v>281</v>
      </c>
      <c r="F18" s="450" t="s">
        <v>1343</v>
      </c>
      <c r="G18" s="452"/>
      <c r="H18" s="448"/>
      <c r="I18" s="448">
        <v>78830</v>
      </c>
      <c r="J18" s="449">
        <f t="shared" si="0"/>
        <v>832831</v>
      </c>
    </row>
    <row r="19" spans="1:10" ht="15.75">
      <c r="A19" s="441">
        <v>42843</v>
      </c>
      <c r="B19" s="442">
        <v>4</v>
      </c>
      <c r="C19" s="450" t="s">
        <v>845</v>
      </c>
      <c r="D19" s="444" t="s">
        <v>1350</v>
      </c>
      <c r="E19" s="451">
        <v>279</v>
      </c>
      <c r="F19" s="450" t="s">
        <v>1343</v>
      </c>
      <c r="G19" s="452"/>
      <c r="H19" s="448"/>
      <c r="I19" s="448">
        <v>50000</v>
      </c>
      <c r="J19" s="449">
        <f t="shared" si="0"/>
        <v>782831</v>
      </c>
    </row>
    <row r="20" spans="1:10" ht="15.75">
      <c r="A20" s="441">
        <v>42855</v>
      </c>
      <c r="B20" s="442">
        <v>4</v>
      </c>
      <c r="C20" s="450" t="s">
        <v>1339</v>
      </c>
      <c r="D20" s="444" t="s">
        <v>1351</v>
      </c>
      <c r="E20" s="451" t="s">
        <v>1352</v>
      </c>
      <c r="F20" s="450" t="s">
        <v>1341</v>
      </c>
      <c r="G20" s="452" t="s">
        <v>52</v>
      </c>
      <c r="H20" s="448">
        <v>12250</v>
      </c>
      <c r="I20" s="448"/>
      <c r="J20" s="449">
        <f t="shared" si="0"/>
        <v>795081</v>
      </c>
    </row>
    <row r="21" spans="1:10" ht="15.75">
      <c r="A21" s="441">
        <v>42870</v>
      </c>
      <c r="B21" s="442">
        <v>5</v>
      </c>
      <c r="C21" s="450" t="s">
        <v>606</v>
      </c>
      <c r="D21" s="444" t="s">
        <v>1353</v>
      </c>
      <c r="E21" s="451">
        <v>2705</v>
      </c>
      <c r="F21" s="450" t="s">
        <v>1354</v>
      </c>
      <c r="G21" s="452" t="s">
        <v>52</v>
      </c>
      <c r="H21" s="448">
        <v>311</v>
      </c>
      <c r="I21" s="448"/>
      <c r="J21" s="449">
        <f t="shared" si="0"/>
        <v>795392</v>
      </c>
    </row>
    <row r="22" spans="1:10" ht="15.75">
      <c r="A22" s="441">
        <v>42880</v>
      </c>
      <c r="B22" s="442">
        <v>5</v>
      </c>
      <c r="C22" s="450" t="s">
        <v>576</v>
      </c>
      <c r="D22" s="444" t="s">
        <v>1355</v>
      </c>
      <c r="E22" s="451">
        <v>10400</v>
      </c>
      <c r="F22" s="450" t="s">
        <v>894</v>
      </c>
      <c r="G22" s="452"/>
      <c r="H22" s="448">
        <v>85000</v>
      </c>
      <c r="I22" s="448"/>
      <c r="J22" s="449">
        <f t="shared" si="0"/>
        <v>880392</v>
      </c>
    </row>
    <row r="23" spans="1:10" ht="15.75">
      <c r="A23" s="441">
        <v>42891</v>
      </c>
      <c r="B23" s="442">
        <v>6</v>
      </c>
      <c r="C23" s="450" t="s">
        <v>576</v>
      </c>
      <c r="D23" s="444" t="s">
        <v>1356</v>
      </c>
      <c r="E23" s="451">
        <v>10337</v>
      </c>
      <c r="F23" s="450" t="s">
        <v>894</v>
      </c>
      <c r="G23" s="452"/>
      <c r="H23" s="448">
        <v>65000</v>
      </c>
      <c r="I23" s="448"/>
      <c r="J23" s="449">
        <f t="shared" si="0"/>
        <v>945392</v>
      </c>
    </row>
    <row r="24" spans="1:10" ht="15.75">
      <c r="A24" s="441">
        <v>42901</v>
      </c>
      <c r="B24" s="442">
        <v>6</v>
      </c>
      <c r="C24" s="450" t="s">
        <v>606</v>
      </c>
      <c r="D24" s="444" t="s">
        <v>1357</v>
      </c>
      <c r="E24" s="451" t="s">
        <v>1358</v>
      </c>
      <c r="F24" s="450" t="s">
        <v>1359</v>
      </c>
      <c r="G24" s="452" t="s">
        <v>52</v>
      </c>
      <c r="H24" s="448">
        <v>1003</v>
      </c>
      <c r="I24" s="448"/>
      <c r="J24" s="449">
        <f t="shared" si="0"/>
        <v>946395</v>
      </c>
    </row>
    <row r="25" spans="1:10" ht="15.75">
      <c r="A25" s="441">
        <v>42916</v>
      </c>
      <c r="B25" s="442">
        <v>6</v>
      </c>
      <c r="C25" s="450" t="s">
        <v>1339</v>
      </c>
      <c r="D25" s="444" t="s">
        <v>1360</v>
      </c>
      <c r="E25" s="451">
        <v>209</v>
      </c>
      <c r="F25" s="450" t="s">
        <v>1341</v>
      </c>
      <c r="G25" s="452" t="s">
        <v>52</v>
      </c>
      <c r="H25" s="448">
        <v>7300</v>
      </c>
      <c r="I25" s="448"/>
      <c r="J25" s="449">
        <f t="shared" si="0"/>
        <v>953695</v>
      </c>
    </row>
    <row r="26" spans="1:10" ht="15.75">
      <c r="A26" s="453">
        <v>42934</v>
      </c>
      <c r="B26" s="454">
        <v>7</v>
      </c>
      <c r="C26" s="450" t="s">
        <v>1361</v>
      </c>
      <c r="D26" s="455" t="s">
        <v>1362</v>
      </c>
      <c r="E26" s="451">
        <v>209</v>
      </c>
      <c r="F26" s="450" t="s">
        <v>1343</v>
      </c>
      <c r="G26" s="452"/>
      <c r="H26" s="448"/>
      <c r="I26" s="448">
        <v>20000</v>
      </c>
      <c r="J26" s="456">
        <f t="shared" si="0"/>
        <v>933695</v>
      </c>
    </row>
    <row r="27" spans="1:10" ht="15.75">
      <c r="A27" s="441">
        <v>42939</v>
      </c>
      <c r="B27" s="442">
        <v>7</v>
      </c>
      <c r="C27" s="450" t="s">
        <v>577</v>
      </c>
      <c r="D27" s="444" t="s">
        <v>1363</v>
      </c>
      <c r="E27" s="451" t="s">
        <v>1364</v>
      </c>
      <c r="F27" s="450" t="s">
        <v>1343</v>
      </c>
      <c r="G27" s="452"/>
      <c r="H27" s="448"/>
      <c r="I27" s="448">
        <v>340000</v>
      </c>
      <c r="J27" s="449">
        <f t="shared" si="0"/>
        <v>593695</v>
      </c>
    </row>
    <row r="28" spans="1:10" ht="15.75">
      <c r="A28" s="441">
        <v>42946</v>
      </c>
      <c r="B28" s="442">
        <v>7</v>
      </c>
      <c r="C28" s="450" t="s">
        <v>606</v>
      </c>
      <c r="D28" s="444" t="s">
        <v>1365</v>
      </c>
      <c r="E28" s="451">
        <v>2919</v>
      </c>
      <c r="F28" s="450" t="s">
        <v>1359</v>
      </c>
      <c r="G28" s="452" t="s">
        <v>52</v>
      </c>
      <c r="H28" s="448">
        <v>222</v>
      </c>
      <c r="I28" s="448"/>
      <c r="J28" s="456">
        <f t="shared" si="0"/>
        <v>593917</v>
      </c>
    </row>
    <row r="29" spans="1:10" ht="15.75">
      <c r="A29" s="441">
        <v>42947</v>
      </c>
      <c r="B29" s="442">
        <v>7</v>
      </c>
      <c r="C29" s="450" t="s">
        <v>1339</v>
      </c>
      <c r="D29" s="444" t="s">
        <v>1366</v>
      </c>
      <c r="E29" s="451">
        <v>258</v>
      </c>
      <c r="F29" s="450" t="s">
        <v>1341</v>
      </c>
      <c r="G29" s="452" t="s">
        <v>52</v>
      </c>
      <c r="H29" s="448">
        <v>2600</v>
      </c>
      <c r="I29" s="448"/>
      <c r="J29" s="449">
        <f t="shared" si="0"/>
        <v>596517</v>
      </c>
    </row>
    <row r="30" spans="1:10" ht="15.75">
      <c r="A30" s="441"/>
      <c r="B30" s="442">
        <v>10</v>
      </c>
      <c r="C30" s="450" t="s">
        <v>1367</v>
      </c>
      <c r="D30" s="457" t="s">
        <v>1368</v>
      </c>
      <c r="E30" s="451" t="s">
        <v>1369</v>
      </c>
      <c r="F30" s="450" t="s">
        <v>1343</v>
      </c>
      <c r="G30" s="452"/>
      <c r="H30" s="448"/>
      <c r="I30" s="448">
        <v>7833</v>
      </c>
      <c r="J30" s="449">
        <f>J29+H30-I30</f>
        <v>588684</v>
      </c>
    </row>
    <row r="31" spans="1:10" ht="15.75">
      <c r="A31" s="441">
        <v>42978</v>
      </c>
      <c r="B31" s="442">
        <v>8</v>
      </c>
      <c r="C31" s="450" t="s">
        <v>1339</v>
      </c>
      <c r="D31" s="444" t="s">
        <v>1370</v>
      </c>
      <c r="E31" s="451">
        <v>279</v>
      </c>
      <c r="F31" s="450" t="s">
        <v>1341</v>
      </c>
      <c r="G31" s="452" t="s">
        <v>52</v>
      </c>
      <c r="H31" s="448">
        <v>7400</v>
      </c>
      <c r="I31" s="448"/>
      <c r="J31" s="449">
        <f>J30+H31-I31</f>
        <v>596084</v>
      </c>
    </row>
    <row r="32" spans="1:10" ht="15.75">
      <c r="A32" s="441">
        <v>42996</v>
      </c>
      <c r="B32" s="442">
        <v>9</v>
      </c>
      <c r="C32" s="450" t="s">
        <v>1203</v>
      </c>
      <c r="D32" s="444" t="s">
        <v>1371</v>
      </c>
      <c r="E32" s="451">
        <v>352</v>
      </c>
      <c r="F32" s="450" t="s">
        <v>1343</v>
      </c>
      <c r="G32" s="452"/>
      <c r="H32" s="448"/>
      <c r="I32" s="448">
        <v>195000</v>
      </c>
      <c r="J32" s="449">
        <f t="shared" si="0"/>
        <v>401084</v>
      </c>
    </row>
    <row r="33" spans="1:10" ht="15.75">
      <c r="A33" s="441">
        <v>43012</v>
      </c>
      <c r="B33" s="442">
        <v>10</v>
      </c>
      <c r="C33" s="450" t="s">
        <v>1219</v>
      </c>
      <c r="D33" s="444" t="s">
        <v>1372</v>
      </c>
      <c r="E33" s="451">
        <v>301</v>
      </c>
      <c r="F33" s="450" t="s">
        <v>1343</v>
      </c>
      <c r="G33" s="452"/>
      <c r="H33" s="448"/>
      <c r="I33" s="448">
        <v>200000</v>
      </c>
      <c r="J33" s="449">
        <f t="shared" si="0"/>
        <v>201084</v>
      </c>
    </row>
    <row r="34" spans="1:10" ht="15.75">
      <c r="A34" s="441"/>
      <c r="B34" s="442">
        <v>10</v>
      </c>
      <c r="C34" s="450" t="s">
        <v>1373</v>
      </c>
      <c r="D34" s="457" t="s">
        <v>1374</v>
      </c>
      <c r="E34" s="451">
        <v>1783</v>
      </c>
      <c r="F34" s="450" t="s">
        <v>1343</v>
      </c>
      <c r="G34" s="452"/>
      <c r="H34" s="448"/>
      <c r="I34" s="448">
        <v>3000</v>
      </c>
      <c r="J34" s="449">
        <f t="shared" si="0"/>
        <v>198084</v>
      </c>
    </row>
    <row r="35" spans="1:10" ht="15.75">
      <c r="A35" s="441">
        <v>43019</v>
      </c>
      <c r="B35" s="442">
        <v>10</v>
      </c>
      <c r="C35" s="450" t="s">
        <v>1339</v>
      </c>
      <c r="D35" s="444" t="s">
        <v>1375</v>
      </c>
      <c r="E35" s="451">
        <v>727</v>
      </c>
      <c r="F35" s="450" t="s">
        <v>1341</v>
      </c>
      <c r="G35" s="452" t="s">
        <v>52</v>
      </c>
      <c r="H35" s="448">
        <v>8500</v>
      </c>
      <c r="I35" s="448"/>
      <c r="J35" s="449">
        <f t="shared" si="0"/>
        <v>206584</v>
      </c>
    </row>
    <row r="36" spans="1:10" ht="15.75">
      <c r="A36" s="441">
        <v>43026</v>
      </c>
      <c r="B36" s="442">
        <v>10</v>
      </c>
      <c r="C36" s="450" t="s">
        <v>606</v>
      </c>
      <c r="D36" s="444" t="s">
        <v>1376</v>
      </c>
      <c r="E36" s="451"/>
      <c r="F36" s="450" t="s">
        <v>1377</v>
      </c>
      <c r="G36" s="452" t="s">
        <v>52</v>
      </c>
      <c r="H36" s="448">
        <v>9180</v>
      </c>
      <c r="I36" s="448"/>
      <c r="J36" s="449">
        <f t="shared" si="0"/>
        <v>215764</v>
      </c>
    </row>
    <row r="37" spans="1:10" ht="15.75">
      <c r="A37" s="441">
        <v>43027</v>
      </c>
      <c r="B37" s="442">
        <v>10</v>
      </c>
      <c r="C37" s="450" t="s">
        <v>606</v>
      </c>
      <c r="D37" s="444" t="s">
        <v>1378</v>
      </c>
      <c r="E37" s="451"/>
      <c r="F37" s="450" t="s">
        <v>1377</v>
      </c>
      <c r="G37" s="452" t="s">
        <v>52</v>
      </c>
      <c r="H37" s="448">
        <v>9180</v>
      </c>
      <c r="I37" s="448"/>
      <c r="J37" s="449">
        <f t="shared" si="0"/>
        <v>224944</v>
      </c>
    </row>
    <row r="38" spans="1:10" ht="15.75">
      <c r="A38" s="441">
        <v>43039</v>
      </c>
      <c r="B38" s="442">
        <v>10</v>
      </c>
      <c r="C38" s="450" t="s">
        <v>606</v>
      </c>
      <c r="D38" s="444" t="s">
        <v>1379</v>
      </c>
      <c r="E38" s="451" t="s">
        <v>1380</v>
      </c>
      <c r="F38" s="450" t="s">
        <v>1359</v>
      </c>
      <c r="G38" s="452" t="s">
        <v>52</v>
      </c>
      <c r="H38" s="448">
        <v>133</v>
      </c>
      <c r="I38" s="448"/>
      <c r="J38" s="449">
        <f t="shared" si="0"/>
        <v>225077</v>
      </c>
    </row>
    <row r="39" spans="1:10" ht="15.75">
      <c r="A39" s="441">
        <v>43069</v>
      </c>
      <c r="B39" s="442">
        <v>11</v>
      </c>
      <c r="C39" s="450" t="s">
        <v>606</v>
      </c>
      <c r="D39" s="444" t="s">
        <v>1381</v>
      </c>
      <c r="E39" s="451" t="s">
        <v>1382</v>
      </c>
      <c r="F39" s="450" t="s">
        <v>1359</v>
      </c>
      <c r="G39" s="452" t="s">
        <v>52</v>
      </c>
      <c r="H39" s="448">
        <v>945</v>
      </c>
      <c r="I39" s="448"/>
      <c r="J39" s="449">
        <f t="shared" si="0"/>
        <v>226022</v>
      </c>
    </row>
    <row r="40" spans="1:10" ht="15.75">
      <c r="A40" s="441">
        <v>43090</v>
      </c>
      <c r="B40" s="442">
        <v>2</v>
      </c>
      <c r="C40" s="450" t="s">
        <v>606</v>
      </c>
      <c r="D40" s="444" t="s">
        <v>1383</v>
      </c>
      <c r="E40" s="458">
        <v>4970</v>
      </c>
      <c r="F40" s="450" t="s">
        <v>1359</v>
      </c>
      <c r="G40" s="452" t="s">
        <v>52</v>
      </c>
      <c r="H40" s="448">
        <v>2847</v>
      </c>
      <c r="I40" s="448"/>
      <c r="J40" s="449">
        <f t="shared" si="0"/>
        <v>228869</v>
      </c>
    </row>
    <row r="41" spans="1:10" ht="15.75">
      <c r="A41" s="441">
        <v>43097</v>
      </c>
      <c r="B41" s="442">
        <v>12</v>
      </c>
      <c r="C41" s="450" t="s">
        <v>606</v>
      </c>
      <c r="D41" s="444" t="s">
        <v>1384</v>
      </c>
      <c r="E41" s="459">
        <v>10406</v>
      </c>
      <c r="F41" s="460" t="s">
        <v>894</v>
      </c>
      <c r="G41" s="461"/>
      <c r="H41" s="448">
        <v>1380000</v>
      </c>
      <c r="I41" s="448"/>
      <c r="J41" s="449">
        <f t="shared" si="0"/>
        <v>1608869</v>
      </c>
    </row>
    <row r="42" spans="1:10" ht="15.75">
      <c r="A42" s="441">
        <v>43100</v>
      </c>
      <c r="B42" s="442">
        <v>12</v>
      </c>
      <c r="C42" s="450" t="s">
        <v>1339</v>
      </c>
      <c r="D42" s="462" t="s">
        <v>1385</v>
      </c>
      <c r="E42" s="463">
        <v>838</v>
      </c>
      <c r="F42" s="464" t="s">
        <v>1341</v>
      </c>
      <c r="G42" s="461" t="s">
        <v>123</v>
      </c>
      <c r="H42" s="465">
        <v>5660</v>
      </c>
      <c r="I42" s="465"/>
      <c r="J42" s="466">
        <f t="shared" si="0"/>
        <v>1614529</v>
      </c>
    </row>
    <row r="43" spans="1:10" ht="15.75">
      <c r="A43" s="467"/>
      <c r="B43" s="454"/>
      <c r="C43" s="450"/>
      <c r="D43" s="468"/>
      <c r="E43" s="451"/>
      <c r="F43" s="469"/>
      <c r="G43" s="452"/>
      <c r="H43" s="465"/>
      <c r="I43" s="465">
        <v>28565</v>
      </c>
      <c r="J43" s="470">
        <f>J42+H43-I43</f>
        <v>1585964</v>
      </c>
    </row>
    <row r="44" spans="1:10" ht="24" thickBot="1">
      <c r="A44" s="657" t="s">
        <v>1386</v>
      </c>
      <c r="B44" s="658"/>
      <c r="C44" s="658"/>
      <c r="D44" s="658"/>
      <c r="E44" s="658"/>
      <c r="F44" s="659"/>
      <c r="G44" s="471"/>
      <c r="H44" s="472">
        <f>SUBTOTAL(9,H6:H43)</f>
        <v>2999192</v>
      </c>
      <c r="I44" s="472">
        <f>SUBTOTAL(9,I6:I43)</f>
        <v>1413228</v>
      </c>
      <c r="J44" s="472"/>
    </row>
    <row r="45" spans="1:10" ht="22.5" thickTop="1" thickBot="1">
      <c r="A45" s="660" t="s">
        <v>1387</v>
      </c>
      <c r="B45" s="660"/>
      <c r="C45" s="660"/>
      <c r="D45" s="660"/>
      <c r="E45" s="660"/>
      <c r="F45" s="660"/>
      <c r="G45" s="473"/>
      <c r="H45" s="474">
        <f>IF(H44&gt;I44,H44-I44,0)</f>
        <v>1585964</v>
      </c>
      <c r="I45" s="475">
        <f>IF(I44&gt;H44,I44-H44,0)</f>
        <v>0</v>
      </c>
      <c r="J45" s="475"/>
    </row>
    <row r="46" spans="1:10" ht="24" thickTop="1">
      <c r="A46" s="476"/>
      <c r="I46" s="479"/>
      <c r="J46" s="479"/>
    </row>
    <row r="47" spans="1:10" ht="23.25">
      <c r="A47" s="661" t="s">
        <v>1388</v>
      </c>
      <c r="B47" s="661"/>
      <c r="C47" s="661"/>
      <c r="D47" s="480" t="s">
        <v>10</v>
      </c>
      <c r="E47" s="662" t="s">
        <v>11</v>
      </c>
      <c r="F47" s="662"/>
      <c r="G47" s="662"/>
      <c r="H47" s="662"/>
      <c r="I47" s="662"/>
      <c r="J47" s="662"/>
    </row>
    <row r="48" spans="1:10" ht="15.75">
      <c r="C48" s="481"/>
      <c r="F48" s="482"/>
      <c r="G48" s="482"/>
    </row>
  </sheetData>
  <mergeCells count="5">
    <mergeCell ref="A1:J4"/>
    <mergeCell ref="A44:F44"/>
    <mergeCell ref="A45:F45"/>
    <mergeCell ref="A47:C47"/>
    <mergeCell ref="E47:J47"/>
  </mergeCells>
  <printOptions horizontalCentered="1"/>
  <pageMargins left="0" right="0" top="0.35433070866141736" bottom="0.55118110236220474" header="0.31496062992125984" footer="0.31496062992125984"/>
  <pageSetup paperSize="9" scale="64" orientation="landscape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>
    <pageSetUpPr fitToPage="1"/>
  </sheetPr>
  <dimension ref="A1:L589"/>
  <sheetViews>
    <sheetView rightToLeft="1" view="pageBreakPreview" zoomScale="70" zoomScaleNormal="80" zoomScaleSheetLayoutView="70" workbookViewId="0">
      <pane ySplit="7" topLeftCell="A8" activePane="bottomLeft" state="frozen"/>
      <selection pane="bottomLeft" activeCell="D597" sqref="D597"/>
    </sheetView>
  </sheetViews>
  <sheetFormatPr defaultRowHeight="15"/>
  <cols>
    <col min="1" max="1" width="9" customWidth="1"/>
    <col min="2" max="2" width="35.85546875" bestFit="1" customWidth="1"/>
    <col min="3" max="3" width="20.5703125" customWidth="1"/>
    <col min="4" max="4" width="26.5703125" customWidth="1"/>
    <col min="5" max="5" width="56.5703125" customWidth="1"/>
    <col min="6" max="6" width="22.140625" bestFit="1" customWidth="1"/>
    <col min="7" max="7" width="38.85546875" customWidth="1"/>
    <col min="8" max="8" width="54.5703125" customWidth="1"/>
    <col min="9" max="9" width="48" customWidth="1"/>
    <col min="10" max="10" width="20.5703125" customWidth="1"/>
    <col min="11" max="11" width="22.28515625" customWidth="1"/>
    <col min="12" max="12" width="21.42578125" bestFit="1" customWidth="1"/>
    <col min="13" max="13" width="17.42578125" bestFit="1" customWidth="1"/>
  </cols>
  <sheetData>
    <row r="1" spans="1:12" ht="26.25">
      <c r="A1" s="394"/>
      <c r="B1" s="395" t="s">
        <v>727</v>
      </c>
      <c r="C1" s="396" t="s">
        <v>716</v>
      </c>
      <c r="D1" s="397" t="s">
        <v>3</v>
      </c>
      <c r="E1" s="396" t="s">
        <v>218</v>
      </c>
      <c r="F1" s="398"/>
      <c r="G1" s="394"/>
      <c r="H1" s="395" t="s">
        <v>727</v>
      </c>
      <c r="I1" s="396" t="s">
        <v>716</v>
      </c>
      <c r="J1" s="397" t="s">
        <v>3</v>
      </c>
      <c r="K1" s="396" t="s">
        <v>218</v>
      </c>
      <c r="L1" s="399"/>
    </row>
    <row r="2" spans="1:12" ht="24" thickBot="1">
      <c r="A2" s="394"/>
      <c r="B2" s="400" t="s">
        <v>728</v>
      </c>
      <c r="C2" s="401">
        <v>407254.17</v>
      </c>
      <c r="D2" s="402"/>
      <c r="E2" s="403">
        <f>Table21011[[#This Row],[مدين]]</f>
        <v>407254.17</v>
      </c>
      <c r="F2" s="404"/>
      <c r="G2" s="394"/>
      <c r="H2" s="400" t="s">
        <v>728</v>
      </c>
      <c r="I2" s="401">
        <v>407254.17</v>
      </c>
      <c r="J2" s="402"/>
      <c r="K2" s="403">
        <f>Table210[[#This Row],[مدين]]</f>
        <v>407254.17</v>
      </c>
      <c r="L2" s="399"/>
    </row>
    <row r="3" spans="1:12" ht="24" thickBot="1">
      <c r="A3" s="394"/>
      <c r="B3" s="405" t="s">
        <v>729</v>
      </c>
      <c r="C3" s="405">
        <f>SUMIF(Table16[المطابقة],"ok",Table16[المدين (إيداع)])</f>
        <v>4784936</v>
      </c>
      <c r="D3" s="406">
        <f>SUMIF(Table16[المطابقة],"ok",Table16[الدائن (السحب)])</f>
        <v>5192190.17</v>
      </c>
      <c r="E3" s="405">
        <f>E2+Table21011[[#This Row],[مدين]]-Table21011[[#This Row],[دائن]]</f>
        <v>0</v>
      </c>
      <c r="F3" s="404">
        <f>Table21011[[#This Row],[الرصيد]]-E5</f>
        <v>0</v>
      </c>
      <c r="G3" s="394"/>
      <c r="H3" s="405" t="s">
        <v>729</v>
      </c>
      <c r="I3" s="405">
        <f>SUBTOTAL(9,Table16[المدين (إيداع)])</f>
        <v>9900</v>
      </c>
      <c r="J3" s="406">
        <f>SUBTOTAL(9,Table16[الدائن (السحب)])</f>
        <v>0</v>
      </c>
      <c r="K3" s="405">
        <f>K2+Table210[[#This Row],[مدين]]-Table210[[#This Row],[دائن]]</f>
        <v>417154.17</v>
      </c>
      <c r="L3" s="399"/>
    </row>
    <row r="4" spans="1:12" ht="23.25">
      <c r="A4" s="394"/>
      <c r="B4" s="407"/>
      <c r="C4" s="408"/>
      <c r="D4" s="409"/>
      <c r="E4" s="408"/>
      <c r="F4" s="404"/>
      <c r="G4" s="394"/>
      <c r="H4" s="407"/>
      <c r="I4" s="408"/>
      <c r="J4" s="409"/>
      <c r="K4" s="408"/>
      <c r="L4" s="399"/>
    </row>
    <row r="5" spans="1:12" ht="23.25">
      <c r="A5" s="394"/>
      <c r="B5" s="410" t="s">
        <v>730</v>
      </c>
      <c r="C5" s="411">
        <f>SUM(C2:C3)</f>
        <v>5192190.17</v>
      </c>
      <c r="D5" s="411">
        <f>SUM(D2:D3)</f>
        <v>5192190.17</v>
      </c>
      <c r="E5" s="411">
        <f>Table21011[[#This Row],[مدين]]-Table21011[[#This Row],[دائن]]</f>
        <v>0</v>
      </c>
      <c r="F5" s="404"/>
      <c r="G5" s="394"/>
      <c r="H5" s="410" t="s">
        <v>730</v>
      </c>
      <c r="I5" s="411">
        <f>SUM(I2:I3)</f>
        <v>417154.17</v>
      </c>
      <c r="J5" s="411">
        <f>SUM(J2:J3)</f>
        <v>0</v>
      </c>
      <c r="K5" s="411">
        <f>Table210[[#This Row],[مدين]]-Table210[[#This Row],[دائن]]</f>
        <v>417154.17</v>
      </c>
      <c r="L5" s="399"/>
    </row>
    <row r="7" spans="1:12" s="416" customFormat="1" ht="27" customHeight="1">
      <c r="A7" s="412" t="s">
        <v>22</v>
      </c>
      <c r="B7" s="413" t="s">
        <v>428</v>
      </c>
      <c r="C7" s="414" t="s">
        <v>731</v>
      </c>
      <c r="D7" s="414" t="s">
        <v>732</v>
      </c>
      <c r="E7" s="414" t="s">
        <v>733</v>
      </c>
      <c r="F7" s="414" t="s">
        <v>734</v>
      </c>
      <c r="G7" s="413" t="s">
        <v>735</v>
      </c>
      <c r="H7" s="414" t="s">
        <v>736</v>
      </c>
      <c r="I7" s="414" t="s">
        <v>737</v>
      </c>
      <c r="J7" s="415" t="s">
        <v>738</v>
      </c>
      <c r="K7" s="415" t="s">
        <v>739</v>
      </c>
      <c r="L7" s="416" t="s">
        <v>218</v>
      </c>
    </row>
    <row r="8" spans="1:12" s="416" customFormat="1" ht="27" hidden="1" customHeight="1">
      <c r="A8" s="412">
        <f>SUBTOTAL(3,$E$8:E8)</f>
        <v>0</v>
      </c>
      <c r="B8" s="413"/>
      <c r="C8" s="414"/>
      <c r="D8" s="417" t="s">
        <v>740</v>
      </c>
      <c r="E8" s="414" t="s">
        <v>741</v>
      </c>
      <c r="F8" s="414" t="s">
        <v>742</v>
      </c>
      <c r="G8" s="418"/>
      <c r="H8" s="419"/>
      <c r="I8" s="419" t="s">
        <v>743</v>
      </c>
      <c r="J8" s="420"/>
      <c r="K8" s="421"/>
      <c r="L8" s="422">
        <v>407254.17</v>
      </c>
    </row>
    <row r="9" spans="1:12" ht="27" hidden="1" customHeight="1">
      <c r="A9" s="412">
        <f>SUBTOTAL(3,$E$8:E9)</f>
        <v>0</v>
      </c>
      <c r="B9" s="394">
        <v>42736</v>
      </c>
      <c r="C9" s="419" t="s">
        <v>744</v>
      </c>
      <c r="D9" s="417" t="s">
        <v>745</v>
      </c>
      <c r="E9" s="419" t="s">
        <v>746</v>
      </c>
      <c r="F9" s="419" t="s">
        <v>746</v>
      </c>
      <c r="G9" s="423"/>
      <c r="H9" s="419" t="s">
        <v>747</v>
      </c>
      <c r="I9" s="419" t="s">
        <v>748</v>
      </c>
      <c r="J9" s="420">
        <v>50001</v>
      </c>
      <c r="K9" s="421"/>
      <c r="L9" s="424">
        <f>L8+Table16[[#This Row],[المدين (إيداع)]]-Table16[[#This Row],[الدائن (السحب)]]</f>
        <v>457255.17</v>
      </c>
    </row>
    <row r="10" spans="1:12" ht="27" hidden="1" customHeight="1">
      <c r="A10" s="412">
        <f>SUBTOTAL(3,$E$8:E10)</f>
        <v>0</v>
      </c>
      <c r="B10" s="394">
        <v>42737</v>
      </c>
      <c r="C10" s="419" t="s">
        <v>744</v>
      </c>
      <c r="D10" s="417" t="s">
        <v>749</v>
      </c>
      <c r="E10" s="419" t="s">
        <v>746</v>
      </c>
      <c r="F10" s="419" t="s">
        <v>746</v>
      </c>
      <c r="G10" s="423"/>
      <c r="H10" s="419" t="s">
        <v>750</v>
      </c>
      <c r="I10" s="419" t="s">
        <v>751</v>
      </c>
      <c r="J10" s="420">
        <v>30000</v>
      </c>
      <c r="K10" s="421"/>
      <c r="L10" s="424">
        <f>L9+Table16[[#This Row],[المدين (إيداع)]]-Table16[[#This Row],[الدائن (السحب)]]</f>
        <v>487255.17</v>
      </c>
    </row>
    <row r="11" spans="1:12" ht="27" hidden="1" customHeight="1">
      <c r="A11" s="412">
        <f>SUBTOTAL(3,$E$8:E11)</f>
        <v>0</v>
      </c>
      <c r="B11" s="394">
        <v>42737</v>
      </c>
      <c r="C11" s="419" t="s">
        <v>744</v>
      </c>
      <c r="D11" s="417" t="s">
        <v>752</v>
      </c>
      <c r="E11" s="419" t="s">
        <v>753</v>
      </c>
      <c r="F11" s="419" t="s">
        <v>754</v>
      </c>
      <c r="G11" s="423"/>
      <c r="H11" s="419" t="s">
        <v>755</v>
      </c>
      <c r="I11" s="419" t="s">
        <v>754</v>
      </c>
      <c r="J11" s="420"/>
      <c r="K11" s="421">
        <v>25</v>
      </c>
      <c r="L11" s="424">
        <f>L10+Table16[[#This Row],[المدين (إيداع)]]-Table16[[#This Row],[الدائن (السحب)]]</f>
        <v>487230.17</v>
      </c>
    </row>
    <row r="12" spans="1:12" ht="27" hidden="1" customHeight="1">
      <c r="A12" s="412">
        <f>SUBTOTAL(3,$E$8:E12)</f>
        <v>0</v>
      </c>
      <c r="B12" s="394">
        <v>42739</v>
      </c>
      <c r="C12" s="419" t="s">
        <v>744</v>
      </c>
      <c r="D12" s="417" t="s">
        <v>756</v>
      </c>
      <c r="E12" s="419" t="s">
        <v>757</v>
      </c>
      <c r="F12" s="419" t="s">
        <v>758</v>
      </c>
      <c r="G12" s="423" t="s">
        <v>759</v>
      </c>
      <c r="H12" s="419" t="s">
        <v>760</v>
      </c>
      <c r="I12" s="419" t="s">
        <v>761</v>
      </c>
      <c r="J12" s="425">
        <v>900</v>
      </c>
      <c r="K12" s="421"/>
      <c r="L12" s="424">
        <f>L11+Table16[[#This Row],[المدين (إيداع)]]-Table16[[#This Row],[الدائن (السحب)]]</f>
        <v>488130.17</v>
      </c>
    </row>
    <row r="13" spans="1:12" ht="27" hidden="1" customHeight="1">
      <c r="A13" s="412">
        <f>SUBTOTAL(3,$E$8:E13)</f>
        <v>0</v>
      </c>
      <c r="B13" s="394">
        <v>42740</v>
      </c>
      <c r="C13" s="419" t="s">
        <v>744</v>
      </c>
      <c r="D13" s="417" t="s">
        <v>745</v>
      </c>
      <c r="E13" s="419" t="s">
        <v>762</v>
      </c>
      <c r="F13" s="419" t="s">
        <v>763</v>
      </c>
      <c r="G13" s="423">
        <v>5810</v>
      </c>
      <c r="H13" s="419" t="s">
        <v>764</v>
      </c>
      <c r="I13" s="419" t="s">
        <v>748</v>
      </c>
      <c r="J13" s="420">
        <v>2400</v>
      </c>
      <c r="K13" s="421"/>
      <c r="L13" s="424">
        <f>L12+Table16[[#This Row],[المدين (إيداع)]]-Table16[[#This Row],[الدائن (السحب)]]</f>
        <v>490530.17</v>
      </c>
    </row>
    <row r="14" spans="1:12" ht="27" hidden="1" customHeight="1">
      <c r="A14" s="412">
        <f>SUBTOTAL(3,$E$8:E14)</f>
        <v>0</v>
      </c>
      <c r="B14" s="394">
        <v>42740</v>
      </c>
      <c r="C14" s="419" t="s">
        <v>744</v>
      </c>
      <c r="D14" s="417" t="s">
        <v>745</v>
      </c>
      <c r="E14" s="419" t="s">
        <v>762</v>
      </c>
      <c r="F14" s="419" t="s">
        <v>763</v>
      </c>
      <c r="G14" s="423">
        <v>1790</v>
      </c>
      <c r="H14" s="419" t="s">
        <v>747</v>
      </c>
      <c r="I14" s="419" t="s">
        <v>748</v>
      </c>
      <c r="J14" s="420">
        <v>1800</v>
      </c>
      <c r="K14" s="421"/>
      <c r="L14" s="424">
        <f>L13+Table16[[#This Row],[المدين (إيداع)]]-Table16[[#This Row],[الدائن (السحب)]]</f>
        <v>492330.17</v>
      </c>
    </row>
    <row r="15" spans="1:12" ht="27" hidden="1" customHeight="1">
      <c r="A15" s="412">
        <f>SUBTOTAL(3,$E$8:E15)</f>
        <v>0</v>
      </c>
      <c r="B15" s="394">
        <v>42740</v>
      </c>
      <c r="C15" s="419" t="s">
        <v>744</v>
      </c>
      <c r="D15" s="417" t="s">
        <v>745</v>
      </c>
      <c r="E15" s="419" t="s">
        <v>762</v>
      </c>
      <c r="F15" s="419" t="s">
        <v>763</v>
      </c>
      <c r="G15" s="423">
        <v>106</v>
      </c>
      <c r="H15" s="419" t="s">
        <v>747</v>
      </c>
      <c r="I15" s="419" t="s">
        <v>748</v>
      </c>
      <c r="J15" s="420">
        <v>1000</v>
      </c>
      <c r="K15" s="421"/>
      <c r="L15" s="424">
        <f>L14+Table16[[#This Row],[المدين (إيداع)]]-Table16[[#This Row],[الدائن (السحب)]]</f>
        <v>493330.17</v>
      </c>
    </row>
    <row r="16" spans="1:12" ht="27" hidden="1" customHeight="1">
      <c r="A16" s="412">
        <f>SUBTOTAL(3,$E$8:E16)</f>
        <v>0</v>
      </c>
      <c r="B16" s="394">
        <v>42740</v>
      </c>
      <c r="C16" s="419" t="s">
        <v>744</v>
      </c>
      <c r="D16" s="417" t="s">
        <v>745</v>
      </c>
      <c r="E16" s="419" t="s">
        <v>762</v>
      </c>
      <c r="F16" s="419" t="s">
        <v>763</v>
      </c>
      <c r="G16" s="423">
        <v>76216</v>
      </c>
      <c r="H16" s="419" t="s">
        <v>765</v>
      </c>
      <c r="I16" s="419" t="s">
        <v>748</v>
      </c>
      <c r="J16" s="420">
        <v>1500</v>
      </c>
      <c r="K16" s="421"/>
      <c r="L16" s="424">
        <f>L15+Table16[[#This Row],[المدين (إيداع)]]-Table16[[#This Row],[الدائن (السحب)]]</f>
        <v>494830.17</v>
      </c>
    </row>
    <row r="17" spans="1:12" ht="27" hidden="1" customHeight="1">
      <c r="A17" s="412">
        <f>SUBTOTAL(3,$E$8:E17)</f>
        <v>0</v>
      </c>
      <c r="B17" s="394">
        <v>42740</v>
      </c>
      <c r="C17" s="419" t="s">
        <v>744</v>
      </c>
      <c r="D17" s="417" t="s">
        <v>745</v>
      </c>
      <c r="E17" s="419" t="s">
        <v>762</v>
      </c>
      <c r="F17" s="419" t="s">
        <v>763</v>
      </c>
      <c r="G17" s="423">
        <v>66518101</v>
      </c>
      <c r="H17" s="419" t="s">
        <v>766</v>
      </c>
      <c r="I17" s="419" t="s">
        <v>748</v>
      </c>
      <c r="J17" s="420">
        <v>25600</v>
      </c>
      <c r="K17" s="421"/>
      <c r="L17" s="424">
        <f>L16+Table16[[#This Row],[المدين (إيداع)]]-Table16[[#This Row],[الدائن (السحب)]]</f>
        <v>520430.17</v>
      </c>
    </row>
    <row r="18" spans="1:12" ht="27" hidden="1" customHeight="1">
      <c r="A18" s="412">
        <f>SUBTOTAL(3,$E$8:E18)</f>
        <v>0</v>
      </c>
      <c r="B18" s="394">
        <v>42740</v>
      </c>
      <c r="C18" s="419" t="s">
        <v>744</v>
      </c>
      <c r="D18" s="417" t="s">
        <v>745</v>
      </c>
      <c r="E18" s="419" t="s">
        <v>762</v>
      </c>
      <c r="F18" s="419" t="s">
        <v>763</v>
      </c>
      <c r="G18" s="423">
        <v>550</v>
      </c>
      <c r="H18" s="419" t="s">
        <v>767</v>
      </c>
      <c r="I18" s="419" t="s">
        <v>748</v>
      </c>
      <c r="J18" s="420">
        <v>3600</v>
      </c>
      <c r="K18" s="421"/>
      <c r="L18" s="424">
        <f>L17+Table16[[#This Row],[المدين (إيداع)]]-Table16[[#This Row],[الدائن (السحب)]]</f>
        <v>524030.17</v>
      </c>
    </row>
    <row r="19" spans="1:12" ht="27" hidden="1" customHeight="1">
      <c r="A19" s="412">
        <f>SUBTOTAL(3,$E$8:E19)</f>
        <v>0</v>
      </c>
      <c r="B19" s="394">
        <v>42740</v>
      </c>
      <c r="C19" s="419" t="s">
        <v>744</v>
      </c>
      <c r="D19" s="417" t="s">
        <v>768</v>
      </c>
      <c r="E19" s="419" t="s">
        <v>769</v>
      </c>
      <c r="F19" s="419" t="s">
        <v>758</v>
      </c>
      <c r="G19" s="423"/>
      <c r="H19" s="419" t="s">
        <v>770</v>
      </c>
      <c r="I19" s="419" t="s">
        <v>771</v>
      </c>
      <c r="J19" s="420">
        <v>570</v>
      </c>
      <c r="K19" s="421"/>
      <c r="L19" s="424">
        <f>L18+Table16[[#This Row],[المدين (إيداع)]]-Table16[[#This Row],[الدائن (السحب)]]</f>
        <v>524600.16999999993</v>
      </c>
    </row>
    <row r="20" spans="1:12" ht="27" hidden="1" customHeight="1">
      <c r="A20" s="412">
        <f>SUBTOTAL(3,$E$8:E20)</f>
        <v>0</v>
      </c>
      <c r="B20" s="394">
        <v>42744</v>
      </c>
      <c r="C20" s="419" t="s">
        <v>744</v>
      </c>
      <c r="D20" s="417" t="s">
        <v>768</v>
      </c>
      <c r="E20" s="419" t="s">
        <v>769</v>
      </c>
      <c r="F20" s="419" t="s">
        <v>758</v>
      </c>
      <c r="G20" s="423"/>
      <c r="H20" s="419" t="s">
        <v>772</v>
      </c>
      <c r="I20" s="419" t="s">
        <v>771</v>
      </c>
      <c r="J20" s="420">
        <v>400</v>
      </c>
      <c r="K20" s="421"/>
      <c r="L20" s="424">
        <f>L19+Table16[[#This Row],[المدين (إيداع)]]-Table16[[#This Row],[الدائن (السحب)]]</f>
        <v>525000.16999999993</v>
      </c>
    </row>
    <row r="21" spans="1:12" ht="27" hidden="1" customHeight="1">
      <c r="A21" s="412">
        <f>SUBTOTAL(3,$E$8:E21)</f>
        <v>0</v>
      </c>
      <c r="B21" s="394">
        <v>42745</v>
      </c>
      <c r="C21" s="419" t="s">
        <v>744</v>
      </c>
      <c r="D21" s="417" t="s">
        <v>577</v>
      </c>
      <c r="E21" s="419" t="s">
        <v>773</v>
      </c>
      <c r="F21" s="419" t="s">
        <v>773</v>
      </c>
      <c r="G21" s="423">
        <v>269</v>
      </c>
      <c r="H21" s="419" t="s">
        <v>774</v>
      </c>
      <c r="I21" s="419"/>
      <c r="J21" s="420"/>
      <c r="K21" s="421">
        <v>100000</v>
      </c>
      <c r="L21" s="424">
        <f>L20+Table16[[#This Row],[المدين (إيداع)]]-Table16[[#This Row],[الدائن (السحب)]]</f>
        <v>425000.16999999993</v>
      </c>
    </row>
    <row r="22" spans="1:12" ht="27" hidden="1" customHeight="1">
      <c r="A22" s="412">
        <f>SUBTOTAL(3,$E$8:E22)</f>
        <v>0</v>
      </c>
      <c r="B22" s="394">
        <v>42746</v>
      </c>
      <c r="C22" s="419" t="s">
        <v>744</v>
      </c>
      <c r="D22" s="417" t="s">
        <v>768</v>
      </c>
      <c r="E22" s="419" t="s">
        <v>769</v>
      </c>
      <c r="F22" s="419" t="s">
        <v>758</v>
      </c>
      <c r="G22" s="423"/>
      <c r="H22" s="419" t="s">
        <v>775</v>
      </c>
      <c r="I22" s="419" t="s">
        <v>771</v>
      </c>
      <c r="J22" s="420">
        <v>600</v>
      </c>
      <c r="K22" s="421"/>
      <c r="L22" s="424">
        <f>L21+Table16[[#This Row],[المدين (إيداع)]]-Table16[[#This Row],[الدائن (السحب)]]</f>
        <v>425600.16999999993</v>
      </c>
    </row>
    <row r="23" spans="1:12" ht="27" hidden="1" customHeight="1">
      <c r="A23" s="412">
        <f>SUBTOTAL(3,$E$8:E23)</f>
        <v>0</v>
      </c>
      <c r="B23" s="394">
        <v>42746</v>
      </c>
      <c r="C23" s="419" t="s">
        <v>744</v>
      </c>
      <c r="D23" s="417" t="s">
        <v>776</v>
      </c>
      <c r="E23" s="419" t="s">
        <v>777</v>
      </c>
      <c r="F23" s="419" t="s">
        <v>758</v>
      </c>
      <c r="G23" s="423"/>
      <c r="H23" s="419" t="s">
        <v>778</v>
      </c>
      <c r="I23" s="419" t="s">
        <v>779</v>
      </c>
      <c r="J23" s="420">
        <v>3200</v>
      </c>
      <c r="K23" s="421"/>
      <c r="L23" s="424">
        <f>L22+Table16[[#This Row],[المدين (إيداع)]]-Table16[[#This Row],[الدائن (السحب)]]</f>
        <v>428800.16999999993</v>
      </c>
    </row>
    <row r="24" spans="1:12" ht="27" hidden="1" customHeight="1">
      <c r="A24" s="412">
        <f>SUBTOTAL(3,$E$8:E24)</f>
        <v>0</v>
      </c>
      <c r="B24" s="394">
        <v>42746</v>
      </c>
      <c r="C24" s="419" t="s">
        <v>744</v>
      </c>
      <c r="D24" s="417" t="s">
        <v>780</v>
      </c>
      <c r="E24" s="419" t="s">
        <v>769</v>
      </c>
      <c r="F24" s="419" t="s">
        <v>758</v>
      </c>
      <c r="G24" s="423"/>
      <c r="H24" s="419" t="s">
        <v>781</v>
      </c>
      <c r="I24" s="419" t="s">
        <v>782</v>
      </c>
      <c r="J24" s="420">
        <v>6000</v>
      </c>
      <c r="K24" s="421"/>
      <c r="L24" s="424">
        <f>L23+Table16[[#This Row],[المدين (إيداع)]]-Table16[[#This Row],[الدائن (السحب)]]</f>
        <v>434800.16999999993</v>
      </c>
    </row>
    <row r="25" spans="1:12" ht="27" hidden="1" customHeight="1">
      <c r="A25" s="412">
        <f>SUBTOTAL(3,$E$8:E25)</f>
        <v>0</v>
      </c>
      <c r="B25" s="394">
        <v>42747</v>
      </c>
      <c r="C25" s="419" t="s">
        <v>744</v>
      </c>
      <c r="D25" s="417" t="s">
        <v>756</v>
      </c>
      <c r="E25" s="419" t="s">
        <v>783</v>
      </c>
      <c r="F25" s="419" t="s">
        <v>758</v>
      </c>
      <c r="G25" s="423" t="s">
        <v>784</v>
      </c>
      <c r="H25" s="426" t="s">
        <v>785</v>
      </c>
      <c r="I25" s="426" t="s">
        <v>761</v>
      </c>
      <c r="J25" s="425">
        <v>1500</v>
      </c>
      <c r="K25" s="421"/>
      <c r="L25" s="424">
        <f>L24+Table16[[#This Row],[المدين (إيداع)]]-Table16[[#This Row],[الدائن (السحب)]]</f>
        <v>436300.16999999993</v>
      </c>
    </row>
    <row r="26" spans="1:12" ht="27" hidden="1" customHeight="1">
      <c r="A26" s="412">
        <f>SUBTOTAL(3,$E$8:E26)</f>
        <v>0</v>
      </c>
      <c r="B26" s="394">
        <v>42747</v>
      </c>
      <c r="C26" s="419" t="s">
        <v>744</v>
      </c>
      <c r="D26" s="417" t="s">
        <v>756</v>
      </c>
      <c r="E26" s="419" t="s">
        <v>783</v>
      </c>
      <c r="F26" s="419" t="s">
        <v>758</v>
      </c>
      <c r="G26" s="423" t="s">
        <v>786</v>
      </c>
      <c r="H26" s="419" t="s">
        <v>785</v>
      </c>
      <c r="I26" s="419" t="s">
        <v>761</v>
      </c>
      <c r="J26" s="425">
        <v>3500</v>
      </c>
      <c r="K26" s="421"/>
      <c r="L26" s="424">
        <f>L25+Table16[[#This Row],[المدين (إيداع)]]-Table16[[#This Row],[الدائن (السحب)]]</f>
        <v>439800.16999999993</v>
      </c>
    </row>
    <row r="27" spans="1:12" ht="27" hidden="1" customHeight="1">
      <c r="A27" s="412">
        <f>SUBTOTAL(3,$E$8:E27)</f>
        <v>0</v>
      </c>
      <c r="B27" s="394">
        <v>42747</v>
      </c>
      <c r="C27" s="419" t="s">
        <v>744</v>
      </c>
      <c r="D27" s="417" t="s">
        <v>756</v>
      </c>
      <c r="E27" s="419" t="s">
        <v>787</v>
      </c>
      <c r="F27" s="419" t="s">
        <v>758</v>
      </c>
      <c r="G27" s="423" t="s">
        <v>788</v>
      </c>
      <c r="H27" s="419" t="s">
        <v>789</v>
      </c>
      <c r="I27" s="419" t="s">
        <v>761</v>
      </c>
      <c r="J27" s="425">
        <v>900</v>
      </c>
      <c r="K27" s="421"/>
      <c r="L27" s="424">
        <f>L26+Table16[[#This Row],[المدين (إيداع)]]-Table16[[#This Row],[الدائن (السحب)]]</f>
        <v>440700.16999999993</v>
      </c>
    </row>
    <row r="28" spans="1:12" ht="27" hidden="1" customHeight="1">
      <c r="A28" s="412">
        <f>SUBTOTAL(3,$E$8:E28)</f>
        <v>0</v>
      </c>
      <c r="B28" s="394">
        <v>42750</v>
      </c>
      <c r="C28" s="419" t="s">
        <v>744</v>
      </c>
      <c r="D28" s="417" t="s">
        <v>756</v>
      </c>
      <c r="E28" s="419" t="s">
        <v>787</v>
      </c>
      <c r="F28" s="419" t="s">
        <v>758</v>
      </c>
      <c r="G28" s="423" t="s">
        <v>790</v>
      </c>
      <c r="H28" s="419" t="s">
        <v>789</v>
      </c>
      <c r="I28" s="419" t="s">
        <v>761</v>
      </c>
      <c r="J28" s="425">
        <v>10200</v>
      </c>
      <c r="K28" s="421"/>
      <c r="L28" s="424">
        <f>L27+Table16[[#This Row],[المدين (إيداع)]]-Table16[[#This Row],[الدائن (السحب)]]</f>
        <v>450900.16999999993</v>
      </c>
    </row>
    <row r="29" spans="1:12" ht="27" hidden="1" customHeight="1">
      <c r="A29" s="412">
        <f>SUBTOTAL(3,$E$8:E29)</f>
        <v>0</v>
      </c>
      <c r="B29" s="394">
        <v>42750</v>
      </c>
      <c r="C29" s="419" t="s">
        <v>744</v>
      </c>
      <c r="D29" s="417" t="s">
        <v>752</v>
      </c>
      <c r="E29" s="419" t="s">
        <v>769</v>
      </c>
      <c r="F29" s="419" t="s">
        <v>791</v>
      </c>
      <c r="G29" s="423"/>
      <c r="H29" s="419" t="s">
        <v>792</v>
      </c>
      <c r="I29" s="419" t="s">
        <v>793</v>
      </c>
      <c r="J29" s="420"/>
      <c r="K29" s="421">
        <v>16200</v>
      </c>
      <c r="L29" s="424">
        <f>L28+Table16[[#This Row],[المدين (إيداع)]]-Table16[[#This Row],[الدائن (السحب)]]</f>
        <v>434700.16999999993</v>
      </c>
    </row>
    <row r="30" spans="1:12" ht="27" hidden="1" customHeight="1">
      <c r="A30" s="412">
        <f>SUBTOTAL(3,$E$8:E30)</f>
        <v>0</v>
      </c>
      <c r="B30" s="394">
        <v>42750</v>
      </c>
      <c r="C30" s="419" t="s">
        <v>744</v>
      </c>
      <c r="D30" s="417" t="s">
        <v>752</v>
      </c>
      <c r="E30" s="419" t="s">
        <v>769</v>
      </c>
      <c r="F30" s="419" t="s">
        <v>791</v>
      </c>
      <c r="G30" s="423"/>
      <c r="H30" s="419" t="s">
        <v>792</v>
      </c>
      <c r="I30" s="419" t="s">
        <v>793</v>
      </c>
      <c r="J30" s="420"/>
      <c r="K30" s="421">
        <v>18725</v>
      </c>
      <c r="L30" s="424">
        <f>L29+Table16[[#This Row],[المدين (إيداع)]]-Table16[[#This Row],[الدائن (السحب)]]</f>
        <v>415975.16999999993</v>
      </c>
    </row>
    <row r="31" spans="1:12" ht="27" hidden="1" customHeight="1">
      <c r="A31" s="412">
        <f>SUBTOTAL(3,$E$8:E31)</f>
        <v>0</v>
      </c>
      <c r="B31" s="394">
        <v>42750</v>
      </c>
      <c r="C31" s="419" t="s">
        <v>744</v>
      </c>
      <c r="D31" s="417" t="s">
        <v>794</v>
      </c>
      <c r="E31" s="419" t="s">
        <v>795</v>
      </c>
      <c r="F31" s="419" t="s">
        <v>758</v>
      </c>
      <c r="G31" s="423"/>
      <c r="H31" s="419" t="s">
        <v>796</v>
      </c>
      <c r="I31" s="419" t="s">
        <v>797</v>
      </c>
      <c r="J31" s="420">
        <v>55250</v>
      </c>
      <c r="K31" s="421"/>
      <c r="L31" s="424">
        <f>L30+Table16[[#This Row],[المدين (إيداع)]]-Table16[[#This Row],[الدائن (السحب)]]</f>
        <v>471225.16999999993</v>
      </c>
    </row>
    <row r="32" spans="1:12" ht="27" hidden="1" customHeight="1">
      <c r="A32" s="412">
        <f>SUBTOTAL(3,$E$8:E32)</f>
        <v>0</v>
      </c>
      <c r="B32" s="394">
        <v>42750</v>
      </c>
      <c r="C32" s="419" t="s">
        <v>744</v>
      </c>
      <c r="D32" s="417" t="s">
        <v>794</v>
      </c>
      <c r="E32" s="419" t="s">
        <v>795</v>
      </c>
      <c r="F32" s="419" t="s">
        <v>758</v>
      </c>
      <c r="G32" s="423"/>
      <c r="H32" s="419" t="s">
        <v>796</v>
      </c>
      <c r="I32" s="419" t="s">
        <v>797</v>
      </c>
      <c r="J32" s="420">
        <v>48000</v>
      </c>
      <c r="K32" s="421"/>
      <c r="L32" s="424">
        <f>L31+Table16[[#This Row],[المدين (إيداع)]]-Table16[[#This Row],[الدائن (السحب)]]</f>
        <v>519225.16999999993</v>
      </c>
    </row>
    <row r="33" spans="1:12" ht="27" hidden="1" customHeight="1">
      <c r="A33" s="412">
        <f>SUBTOTAL(3,$E$8:E33)</f>
        <v>0</v>
      </c>
      <c r="B33" s="394">
        <v>42752</v>
      </c>
      <c r="C33" s="419" t="s">
        <v>744</v>
      </c>
      <c r="D33" s="417" t="s">
        <v>756</v>
      </c>
      <c r="E33" s="419" t="s">
        <v>798</v>
      </c>
      <c r="F33" s="419" t="s">
        <v>758</v>
      </c>
      <c r="G33" s="423" t="s">
        <v>799</v>
      </c>
      <c r="H33" s="419" t="s">
        <v>800</v>
      </c>
      <c r="I33" s="419" t="s">
        <v>761</v>
      </c>
      <c r="J33" s="425">
        <v>900</v>
      </c>
      <c r="K33" s="421"/>
      <c r="L33" s="424">
        <f>L32+Table16[[#This Row],[المدين (إيداع)]]-Table16[[#This Row],[الدائن (السحب)]]</f>
        <v>520125.16999999993</v>
      </c>
    </row>
    <row r="34" spans="1:12" ht="27" hidden="1" customHeight="1">
      <c r="A34" s="412">
        <f>SUBTOTAL(3,$E$8:E34)</f>
        <v>0</v>
      </c>
      <c r="B34" s="394">
        <v>42753</v>
      </c>
      <c r="C34" s="419" t="s">
        <v>744</v>
      </c>
      <c r="D34" s="417" t="s">
        <v>801</v>
      </c>
      <c r="E34" s="419" t="s">
        <v>769</v>
      </c>
      <c r="F34" s="419" t="s">
        <v>758</v>
      </c>
      <c r="G34" s="423"/>
      <c r="H34" s="419" t="s">
        <v>802</v>
      </c>
      <c r="I34" s="419" t="s">
        <v>771</v>
      </c>
      <c r="J34" s="420">
        <v>350</v>
      </c>
      <c r="K34" s="421"/>
      <c r="L34" s="424">
        <f>L33+Table16[[#This Row],[المدين (إيداع)]]-Table16[[#This Row],[الدائن (السحب)]]</f>
        <v>520475.16999999993</v>
      </c>
    </row>
    <row r="35" spans="1:12" ht="27" hidden="1" customHeight="1">
      <c r="A35" s="412">
        <f>SUBTOTAL(3,$E$8:E35)</f>
        <v>0</v>
      </c>
      <c r="B35" s="394">
        <v>42754</v>
      </c>
      <c r="C35" s="419" t="s">
        <v>744</v>
      </c>
      <c r="D35" s="417" t="s">
        <v>745</v>
      </c>
      <c r="E35" s="419" t="s">
        <v>762</v>
      </c>
      <c r="F35" s="419" t="s">
        <v>763</v>
      </c>
      <c r="G35" s="423">
        <v>274</v>
      </c>
      <c r="H35" s="419" t="s">
        <v>803</v>
      </c>
      <c r="I35" s="419" t="s">
        <v>748</v>
      </c>
      <c r="J35" s="420">
        <v>4760</v>
      </c>
      <c r="K35" s="421"/>
      <c r="L35" s="424">
        <f>L34+Table16[[#This Row],[المدين (إيداع)]]-Table16[[#This Row],[الدائن (السحب)]]</f>
        <v>525235.16999999993</v>
      </c>
    </row>
    <row r="36" spans="1:12" ht="27" hidden="1" customHeight="1">
      <c r="A36" s="412">
        <f>SUBTOTAL(3,$E$8:E36)</f>
        <v>0</v>
      </c>
      <c r="B36" s="394">
        <v>42754</v>
      </c>
      <c r="C36" s="419" t="s">
        <v>744</v>
      </c>
      <c r="D36" s="417" t="s">
        <v>745</v>
      </c>
      <c r="E36" s="419" t="s">
        <v>762</v>
      </c>
      <c r="F36" s="419" t="s">
        <v>763</v>
      </c>
      <c r="G36" s="423">
        <v>2699</v>
      </c>
      <c r="H36" s="419" t="s">
        <v>804</v>
      </c>
      <c r="I36" s="419" t="s">
        <v>748</v>
      </c>
      <c r="J36" s="420">
        <v>4800</v>
      </c>
      <c r="K36" s="421"/>
      <c r="L36" s="424">
        <f>L35+Table16[[#This Row],[المدين (إيداع)]]-Table16[[#This Row],[الدائن (السحب)]]</f>
        <v>530035.16999999993</v>
      </c>
    </row>
    <row r="37" spans="1:12" ht="27" hidden="1" customHeight="1">
      <c r="A37" s="412">
        <f>SUBTOTAL(3,$E$8:E37)</f>
        <v>0</v>
      </c>
      <c r="B37" s="394">
        <v>42754</v>
      </c>
      <c r="C37" s="419" t="s">
        <v>744</v>
      </c>
      <c r="D37" s="417" t="s">
        <v>756</v>
      </c>
      <c r="E37" s="419" t="s">
        <v>805</v>
      </c>
      <c r="F37" s="419" t="s">
        <v>763</v>
      </c>
      <c r="G37" s="423">
        <v>5362</v>
      </c>
      <c r="H37" s="419" t="s">
        <v>806</v>
      </c>
      <c r="I37" s="419" t="s">
        <v>761</v>
      </c>
      <c r="J37" s="425">
        <v>1500</v>
      </c>
      <c r="K37" s="421"/>
      <c r="L37" s="424">
        <f>L36+Table16[[#This Row],[المدين (إيداع)]]-Table16[[#This Row],[الدائن (السحب)]]</f>
        <v>531535.16999999993</v>
      </c>
    </row>
    <row r="38" spans="1:12" ht="27" hidden="1" customHeight="1">
      <c r="A38" s="412">
        <f>SUBTOTAL(3,$E$8:E38)</f>
        <v>0</v>
      </c>
      <c r="B38" s="394">
        <v>42754</v>
      </c>
      <c r="C38" s="419" t="s">
        <v>744</v>
      </c>
      <c r="D38" s="417" t="s">
        <v>745</v>
      </c>
      <c r="E38" s="419" t="s">
        <v>762</v>
      </c>
      <c r="F38" s="419" t="s">
        <v>763</v>
      </c>
      <c r="G38" s="423">
        <v>7673</v>
      </c>
      <c r="H38" s="419" t="s">
        <v>807</v>
      </c>
      <c r="I38" s="419" t="s">
        <v>748</v>
      </c>
      <c r="J38" s="420">
        <v>2100</v>
      </c>
      <c r="K38" s="421"/>
      <c r="L38" s="424">
        <f>L37+Table16[[#This Row],[المدين (إيداع)]]-Table16[[#This Row],[الدائن (السحب)]]</f>
        <v>533635.16999999993</v>
      </c>
    </row>
    <row r="39" spans="1:12" ht="27" hidden="1" customHeight="1">
      <c r="A39" s="412">
        <f>SUBTOTAL(3,$E$8:E39)</f>
        <v>0</v>
      </c>
      <c r="B39" s="394">
        <v>42754</v>
      </c>
      <c r="C39" s="419" t="s">
        <v>744</v>
      </c>
      <c r="D39" s="417" t="s">
        <v>756</v>
      </c>
      <c r="E39" s="419" t="s">
        <v>762</v>
      </c>
      <c r="F39" s="419" t="s">
        <v>763</v>
      </c>
      <c r="G39" s="423">
        <v>76409</v>
      </c>
      <c r="H39" s="419" t="s">
        <v>803</v>
      </c>
      <c r="I39" s="419" t="s">
        <v>761</v>
      </c>
      <c r="J39" s="425">
        <v>1200</v>
      </c>
      <c r="K39" s="421"/>
      <c r="L39" s="424">
        <f>L38+Table16[[#This Row],[المدين (إيداع)]]-Table16[[#This Row],[الدائن (السحب)]]</f>
        <v>534835.16999999993</v>
      </c>
    </row>
    <row r="40" spans="1:12" ht="27" hidden="1" customHeight="1">
      <c r="A40" s="412">
        <f>SUBTOTAL(3,$E$8:E40)</f>
        <v>0</v>
      </c>
      <c r="B40" s="394">
        <v>42754</v>
      </c>
      <c r="C40" s="419" t="s">
        <v>744</v>
      </c>
      <c r="D40" s="417" t="s">
        <v>756</v>
      </c>
      <c r="E40" s="419" t="s">
        <v>808</v>
      </c>
      <c r="F40" s="419" t="s">
        <v>763</v>
      </c>
      <c r="G40" s="423">
        <v>76410</v>
      </c>
      <c r="H40" s="419" t="s">
        <v>809</v>
      </c>
      <c r="I40" s="419" t="s">
        <v>761</v>
      </c>
      <c r="J40" s="425">
        <v>1200</v>
      </c>
      <c r="K40" s="421"/>
      <c r="L40" s="424">
        <f>L39+Table16[[#This Row],[المدين (إيداع)]]-Table16[[#This Row],[الدائن (السحب)]]</f>
        <v>536035.16999999993</v>
      </c>
    </row>
    <row r="41" spans="1:12" ht="27" hidden="1" customHeight="1">
      <c r="A41" s="412">
        <f>SUBTOTAL(3,$E$8:E41)</f>
        <v>0</v>
      </c>
      <c r="B41" s="394">
        <v>42754</v>
      </c>
      <c r="C41" s="419" t="s">
        <v>744</v>
      </c>
      <c r="D41" s="417" t="s">
        <v>810</v>
      </c>
      <c r="E41" s="419" t="s">
        <v>762</v>
      </c>
      <c r="F41" s="419" t="s">
        <v>763</v>
      </c>
      <c r="G41" s="423">
        <v>340</v>
      </c>
      <c r="H41" s="419" t="s">
        <v>803</v>
      </c>
      <c r="I41" s="419" t="s">
        <v>811</v>
      </c>
      <c r="J41" s="420">
        <v>6000</v>
      </c>
      <c r="K41" s="421"/>
      <c r="L41" s="424">
        <f>L40+Table16[[#This Row],[المدين (إيداع)]]-Table16[[#This Row],[الدائن (السحب)]]</f>
        <v>542035.16999999993</v>
      </c>
    </row>
    <row r="42" spans="1:12" ht="27" hidden="1" customHeight="1">
      <c r="A42" s="412">
        <f>SUBTOTAL(3,$E$8:E42)</f>
        <v>0</v>
      </c>
      <c r="B42" s="394">
        <v>42754</v>
      </c>
      <c r="C42" s="419" t="s">
        <v>744</v>
      </c>
      <c r="D42" s="417" t="s">
        <v>812</v>
      </c>
      <c r="E42" s="419" t="s">
        <v>762</v>
      </c>
      <c r="F42" s="419" t="s">
        <v>763</v>
      </c>
      <c r="G42" s="423">
        <v>4342</v>
      </c>
      <c r="H42" s="419" t="s">
        <v>813</v>
      </c>
      <c r="I42" s="419" t="s">
        <v>814</v>
      </c>
      <c r="J42" s="420">
        <v>900</v>
      </c>
      <c r="K42" s="421"/>
      <c r="L42" s="424">
        <f>L41+Table16[[#This Row],[المدين (إيداع)]]-Table16[[#This Row],[الدائن (السحب)]]</f>
        <v>542935.16999999993</v>
      </c>
    </row>
    <row r="43" spans="1:12" ht="27" hidden="1" customHeight="1">
      <c r="A43" s="412">
        <f>SUBTOTAL(3,$E$8:E43)</f>
        <v>0</v>
      </c>
      <c r="B43" s="394">
        <v>42755</v>
      </c>
      <c r="C43" s="419" t="s">
        <v>744</v>
      </c>
      <c r="D43" s="417" t="s">
        <v>815</v>
      </c>
      <c r="E43" s="419" t="s">
        <v>769</v>
      </c>
      <c r="F43" s="419" t="s">
        <v>758</v>
      </c>
      <c r="G43" s="423"/>
      <c r="H43" s="419" t="s">
        <v>816</v>
      </c>
      <c r="I43" s="419" t="s">
        <v>771</v>
      </c>
      <c r="J43" s="420">
        <v>855</v>
      </c>
      <c r="K43" s="421"/>
      <c r="L43" s="424">
        <f>L42+Table16[[#This Row],[المدين (إيداع)]]-Table16[[#This Row],[الدائن (السحب)]]</f>
        <v>543790.16999999993</v>
      </c>
    </row>
    <row r="44" spans="1:12" ht="27" hidden="1" customHeight="1">
      <c r="A44" s="412">
        <f>SUBTOTAL(3,$E$8:E44)</f>
        <v>0</v>
      </c>
      <c r="B44" s="394">
        <v>42759</v>
      </c>
      <c r="C44" s="419" t="s">
        <v>744</v>
      </c>
      <c r="D44" s="417" t="s">
        <v>810</v>
      </c>
      <c r="E44" s="419" t="s">
        <v>777</v>
      </c>
      <c r="F44" s="419" t="s">
        <v>758</v>
      </c>
      <c r="G44" s="423"/>
      <c r="H44" s="419" t="s">
        <v>778</v>
      </c>
      <c r="I44" s="419" t="s">
        <v>811</v>
      </c>
      <c r="J44" s="420">
        <v>1000</v>
      </c>
      <c r="K44" s="421"/>
      <c r="L44" s="424">
        <f>L43+Table16[[#This Row],[المدين (إيداع)]]-Table16[[#This Row],[الدائن (السحب)]]</f>
        <v>544790.16999999993</v>
      </c>
    </row>
    <row r="45" spans="1:12" ht="27" hidden="1" customHeight="1">
      <c r="A45" s="412">
        <f>SUBTOTAL(3,$E$8:E45)</f>
        <v>0</v>
      </c>
      <c r="B45" s="394">
        <v>42759</v>
      </c>
      <c r="C45" s="419" t="s">
        <v>744</v>
      </c>
      <c r="D45" s="417" t="s">
        <v>780</v>
      </c>
      <c r="E45" s="419" t="s">
        <v>769</v>
      </c>
      <c r="F45" s="419" t="s">
        <v>758</v>
      </c>
      <c r="G45" s="423"/>
      <c r="H45" s="419" t="s">
        <v>817</v>
      </c>
      <c r="I45" s="419" t="s">
        <v>782</v>
      </c>
      <c r="J45" s="420">
        <v>5400</v>
      </c>
      <c r="K45" s="421"/>
      <c r="L45" s="424">
        <f>L44+Table16[[#This Row],[المدين (إيداع)]]-Table16[[#This Row],[الدائن (السحب)]]</f>
        <v>550190.16999999993</v>
      </c>
    </row>
    <row r="46" spans="1:12" ht="27" hidden="1" customHeight="1">
      <c r="A46" s="412">
        <f>SUBTOTAL(3,$E$8:E46)</f>
        <v>0</v>
      </c>
      <c r="B46" s="394">
        <v>42760</v>
      </c>
      <c r="C46" s="419" t="s">
        <v>744</v>
      </c>
      <c r="D46" s="417" t="s">
        <v>818</v>
      </c>
      <c r="E46" s="419" t="s">
        <v>746</v>
      </c>
      <c r="F46" s="419" t="s">
        <v>746</v>
      </c>
      <c r="G46" s="423"/>
      <c r="H46" s="419" t="s">
        <v>819</v>
      </c>
      <c r="I46" s="419" t="s">
        <v>820</v>
      </c>
      <c r="J46" s="420">
        <v>97000</v>
      </c>
      <c r="K46" s="421"/>
      <c r="L46" s="424">
        <f>L45+Table16[[#This Row],[المدين (إيداع)]]-Table16[[#This Row],[الدائن (السحب)]]</f>
        <v>647190.16999999993</v>
      </c>
    </row>
    <row r="47" spans="1:12" ht="27" hidden="1" customHeight="1">
      <c r="A47" s="412">
        <f>SUBTOTAL(3,$E$8:E47)</f>
        <v>0</v>
      </c>
      <c r="B47" s="394">
        <v>42760</v>
      </c>
      <c r="C47" s="419" t="s">
        <v>744</v>
      </c>
      <c r="D47" s="417" t="s">
        <v>780</v>
      </c>
      <c r="E47" s="419" t="s">
        <v>769</v>
      </c>
      <c r="F47" s="419" t="s">
        <v>758</v>
      </c>
      <c r="G47" s="423">
        <v>91523</v>
      </c>
      <c r="H47" s="419" t="s">
        <v>821</v>
      </c>
      <c r="I47" s="419" t="s">
        <v>782</v>
      </c>
      <c r="J47" s="420">
        <v>2400</v>
      </c>
      <c r="K47" s="421"/>
      <c r="L47" s="424">
        <f>L46+Table16[[#This Row],[المدين (إيداع)]]-Table16[[#This Row],[الدائن (السحب)]]</f>
        <v>649590.16999999993</v>
      </c>
    </row>
    <row r="48" spans="1:12" ht="27" hidden="1" customHeight="1">
      <c r="A48" s="412">
        <f>SUBTOTAL(3,$E$8:E48)</f>
        <v>0</v>
      </c>
      <c r="B48" s="394">
        <v>42760</v>
      </c>
      <c r="C48" s="419" t="s">
        <v>744</v>
      </c>
      <c r="D48" s="417" t="s">
        <v>822</v>
      </c>
      <c r="E48" s="419" t="s">
        <v>795</v>
      </c>
      <c r="F48" s="419" t="s">
        <v>758</v>
      </c>
      <c r="G48" s="423"/>
      <c r="H48" s="419" t="s">
        <v>796</v>
      </c>
      <c r="I48" s="419" t="s">
        <v>797</v>
      </c>
      <c r="J48" s="420">
        <v>5300</v>
      </c>
      <c r="K48" s="421"/>
      <c r="L48" s="424">
        <f>L47+Table16[[#This Row],[المدين (إيداع)]]-Table16[[#This Row],[الدائن (السحب)]]</f>
        <v>654890.16999999993</v>
      </c>
    </row>
    <row r="49" spans="1:12" ht="27" hidden="1" customHeight="1">
      <c r="A49" s="412">
        <f>SUBTOTAL(3,$E$8:E49)</f>
        <v>0</v>
      </c>
      <c r="B49" s="394">
        <v>42760</v>
      </c>
      <c r="C49" s="419" t="s">
        <v>744</v>
      </c>
      <c r="D49" s="417" t="s">
        <v>756</v>
      </c>
      <c r="E49" s="419" t="s">
        <v>823</v>
      </c>
      <c r="F49" s="419" t="s">
        <v>758</v>
      </c>
      <c r="G49" s="423" t="s">
        <v>824</v>
      </c>
      <c r="H49" s="419" t="s">
        <v>825</v>
      </c>
      <c r="I49" s="419" t="s">
        <v>761</v>
      </c>
      <c r="J49" s="425">
        <v>980</v>
      </c>
      <c r="K49" s="421"/>
      <c r="L49" s="424">
        <f>L48+Table16[[#This Row],[المدين (إيداع)]]-Table16[[#This Row],[الدائن (السحب)]]</f>
        <v>655870.16999999993</v>
      </c>
    </row>
    <row r="50" spans="1:12" ht="27" hidden="1" customHeight="1">
      <c r="A50" s="412">
        <f>SUBTOTAL(3,$E$8:E50)</f>
        <v>0</v>
      </c>
      <c r="B50" s="394">
        <v>42761</v>
      </c>
      <c r="C50" s="419" t="s">
        <v>744</v>
      </c>
      <c r="D50" s="417" t="s">
        <v>826</v>
      </c>
      <c r="E50" s="419" t="s">
        <v>773</v>
      </c>
      <c r="F50" s="419" t="s">
        <v>773</v>
      </c>
      <c r="G50" s="423">
        <v>401</v>
      </c>
      <c r="H50" s="419" t="s">
        <v>827</v>
      </c>
      <c r="I50" s="419" t="s">
        <v>827</v>
      </c>
      <c r="J50" s="420"/>
      <c r="K50" s="421">
        <v>30000</v>
      </c>
      <c r="L50" s="424">
        <f>L49+Table16[[#This Row],[المدين (إيداع)]]-Table16[[#This Row],[الدائن (السحب)]]</f>
        <v>625870.16999999993</v>
      </c>
    </row>
    <row r="51" spans="1:12" ht="27" hidden="1" customHeight="1">
      <c r="A51" s="412">
        <f>SUBTOTAL(3,$E$8:E51)</f>
        <v>0</v>
      </c>
      <c r="B51" s="394">
        <v>42761</v>
      </c>
      <c r="C51" s="419" t="s">
        <v>744</v>
      </c>
      <c r="D51" s="417" t="s">
        <v>752</v>
      </c>
      <c r="E51" s="419" t="s">
        <v>753</v>
      </c>
      <c r="F51" s="419" t="s">
        <v>754</v>
      </c>
      <c r="G51" s="423"/>
      <c r="H51" s="419" t="s">
        <v>755</v>
      </c>
      <c r="I51" s="419" t="s">
        <v>754</v>
      </c>
      <c r="J51" s="420"/>
      <c r="K51" s="421">
        <v>25</v>
      </c>
      <c r="L51" s="424">
        <f>L50+Table16[[#This Row],[المدين (إيداع)]]-Table16[[#This Row],[الدائن (السحب)]]</f>
        <v>625845.16999999993</v>
      </c>
    </row>
    <row r="52" spans="1:12" ht="27" hidden="1" customHeight="1">
      <c r="A52" s="412">
        <f>SUBTOTAL(3,$E$8:E52)</f>
        <v>0</v>
      </c>
      <c r="B52" s="394">
        <v>42761</v>
      </c>
      <c r="C52" s="419" t="s">
        <v>744</v>
      </c>
      <c r="D52" s="417" t="s">
        <v>768</v>
      </c>
      <c r="E52" s="419" t="s">
        <v>769</v>
      </c>
      <c r="F52" s="419" t="s">
        <v>758</v>
      </c>
      <c r="G52" s="423"/>
      <c r="H52" s="419" t="s">
        <v>828</v>
      </c>
      <c r="I52" s="419" t="s">
        <v>771</v>
      </c>
      <c r="J52" s="420">
        <v>250</v>
      </c>
      <c r="K52" s="421"/>
      <c r="L52" s="424">
        <f>L51+Table16[[#This Row],[المدين (إيداع)]]-Table16[[#This Row],[الدائن (السحب)]]</f>
        <v>626095.16999999993</v>
      </c>
    </row>
    <row r="53" spans="1:12" ht="27" hidden="1" customHeight="1">
      <c r="A53" s="412">
        <f>SUBTOTAL(3,$E$8:E53)</f>
        <v>0</v>
      </c>
      <c r="B53" s="394">
        <v>42763</v>
      </c>
      <c r="C53" s="419" t="s">
        <v>744</v>
      </c>
      <c r="D53" s="417" t="s">
        <v>801</v>
      </c>
      <c r="E53" s="419" t="s">
        <v>769</v>
      </c>
      <c r="F53" s="419" t="s">
        <v>758</v>
      </c>
      <c r="G53" s="423"/>
      <c r="H53" s="419" t="s">
        <v>829</v>
      </c>
      <c r="I53" s="419" t="s">
        <v>771</v>
      </c>
      <c r="J53" s="420">
        <v>350</v>
      </c>
      <c r="K53" s="421"/>
      <c r="L53" s="424">
        <f>L52+Table16[[#This Row],[المدين (إيداع)]]-Table16[[#This Row],[الدائن (السحب)]]</f>
        <v>626445.16999999993</v>
      </c>
    </row>
    <row r="54" spans="1:12" ht="27" hidden="1" customHeight="1">
      <c r="A54" s="412">
        <f>SUBTOTAL(3,$E$8:E54)</f>
        <v>0</v>
      </c>
      <c r="B54" s="394">
        <v>42764</v>
      </c>
      <c r="C54" s="419" t="s">
        <v>744</v>
      </c>
      <c r="D54" s="417" t="s">
        <v>776</v>
      </c>
      <c r="E54" s="419" t="s">
        <v>830</v>
      </c>
      <c r="F54" s="419" t="s">
        <v>758</v>
      </c>
      <c r="G54" s="423"/>
      <c r="H54" s="419" t="s">
        <v>831</v>
      </c>
      <c r="I54" s="419" t="s">
        <v>779</v>
      </c>
      <c r="J54" s="420">
        <v>3200</v>
      </c>
      <c r="K54" s="421"/>
      <c r="L54" s="424">
        <f>L53+Table16[[#This Row],[المدين (إيداع)]]-Table16[[#This Row],[الدائن (السحب)]]</f>
        <v>629645.16999999993</v>
      </c>
    </row>
    <row r="55" spans="1:12" ht="27" hidden="1" customHeight="1">
      <c r="A55" s="412">
        <f>SUBTOTAL(3,$E$8:E55)</f>
        <v>0</v>
      </c>
      <c r="B55" s="394">
        <v>42764</v>
      </c>
      <c r="C55" s="419" t="s">
        <v>744</v>
      </c>
      <c r="D55" s="417" t="s">
        <v>780</v>
      </c>
      <c r="E55" s="419" t="s">
        <v>769</v>
      </c>
      <c r="F55" s="419" t="s">
        <v>758</v>
      </c>
      <c r="G55" s="423"/>
      <c r="H55" s="419" t="s">
        <v>832</v>
      </c>
      <c r="I55" s="419" t="s">
        <v>782</v>
      </c>
      <c r="J55" s="420">
        <v>2400</v>
      </c>
      <c r="K55" s="421"/>
      <c r="L55" s="424">
        <f>L54+Table16[[#This Row],[المدين (إيداع)]]-Table16[[#This Row],[الدائن (السحب)]]</f>
        <v>632045.16999999993</v>
      </c>
    </row>
    <row r="56" spans="1:12" ht="27" hidden="1" customHeight="1">
      <c r="A56" s="412">
        <f>SUBTOTAL(3,$E$8:E56)</f>
        <v>0</v>
      </c>
      <c r="B56" s="394">
        <v>42765</v>
      </c>
      <c r="C56" s="419" t="s">
        <v>744</v>
      </c>
      <c r="D56" s="417" t="s">
        <v>833</v>
      </c>
      <c r="E56" s="419" t="s">
        <v>834</v>
      </c>
      <c r="F56" s="419" t="s">
        <v>758</v>
      </c>
      <c r="G56" s="423" t="s">
        <v>835</v>
      </c>
      <c r="H56" s="419" t="s">
        <v>836</v>
      </c>
      <c r="I56" s="419" t="s">
        <v>761</v>
      </c>
      <c r="J56" s="420">
        <v>1800</v>
      </c>
      <c r="K56" s="421"/>
      <c r="L56" s="424">
        <f>L55+Table16[[#This Row],[المدين (إيداع)]]-Table16[[#This Row],[الدائن (السحب)]]</f>
        <v>633845.16999999993</v>
      </c>
    </row>
    <row r="57" spans="1:12" ht="27" hidden="1" customHeight="1">
      <c r="A57" s="412">
        <f>SUBTOTAL(3,$E$8:E57)</f>
        <v>0</v>
      </c>
      <c r="B57" s="394">
        <v>42765</v>
      </c>
      <c r="C57" s="419" t="s">
        <v>744</v>
      </c>
      <c r="D57" s="417" t="s">
        <v>837</v>
      </c>
      <c r="E57" s="419" t="s">
        <v>769</v>
      </c>
      <c r="F57" s="419" t="s">
        <v>758</v>
      </c>
      <c r="G57" s="423"/>
      <c r="H57" s="419" t="s">
        <v>838</v>
      </c>
      <c r="I57" s="419" t="s">
        <v>771</v>
      </c>
      <c r="J57" s="420">
        <v>3200</v>
      </c>
      <c r="K57" s="421"/>
      <c r="L57" s="424">
        <f>L56+Table16[[#This Row],[المدين (إيداع)]]-Table16[[#This Row],[الدائن (السحب)]]</f>
        <v>637045.16999999993</v>
      </c>
    </row>
    <row r="58" spans="1:12" ht="27" hidden="1" customHeight="1">
      <c r="A58" s="412">
        <f>SUBTOTAL(3,$E$8:E58)</f>
        <v>0</v>
      </c>
      <c r="B58" s="394">
        <v>42765</v>
      </c>
      <c r="C58" s="419" t="s">
        <v>744</v>
      </c>
      <c r="D58" s="417" t="s">
        <v>801</v>
      </c>
      <c r="E58" s="419" t="s">
        <v>769</v>
      </c>
      <c r="F58" s="419" t="s">
        <v>758</v>
      </c>
      <c r="G58" s="423"/>
      <c r="H58" s="419" t="s">
        <v>839</v>
      </c>
      <c r="I58" s="419" t="s">
        <v>771</v>
      </c>
      <c r="J58" s="420">
        <v>700</v>
      </c>
      <c r="K58" s="421"/>
      <c r="L58" s="424">
        <f>L57+Table16[[#This Row],[المدين (إيداع)]]-Table16[[#This Row],[الدائن (السحب)]]</f>
        <v>637745.16999999993</v>
      </c>
    </row>
    <row r="59" spans="1:12" ht="27" hidden="1" customHeight="1">
      <c r="A59" s="412">
        <f>SUBTOTAL(3,$E$8:E59)</f>
        <v>0</v>
      </c>
      <c r="B59" s="394">
        <v>42766</v>
      </c>
      <c r="C59" s="419" t="s">
        <v>744</v>
      </c>
      <c r="D59" s="417" t="s">
        <v>840</v>
      </c>
      <c r="E59" s="419" t="s">
        <v>762</v>
      </c>
      <c r="F59" s="419" t="s">
        <v>763</v>
      </c>
      <c r="G59" s="423">
        <v>277</v>
      </c>
      <c r="H59" s="419" t="s">
        <v>841</v>
      </c>
      <c r="I59" s="419" t="s">
        <v>842</v>
      </c>
      <c r="J59" s="420">
        <v>7280</v>
      </c>
      <c r="K59" s="421"/>
      <c r="L59" s="424">
        <f>L58+Table16[[#This Row],[المدين (إيداع)]]-Table16[[#This Row],[الدائن (السحب)]]</f>
        <v>645025.16999999993</v>
      </c>
    </row>
    <row r="60" spans="1:12" ht="27" hidden="1" customHeight="1">
      <c r="A60" s="412">
        <f>SUBTOTAL(3,$E$8:E60)</f>
        <v>0</v>
      </c>
      <c r="B60" s="394">
        <v>42766</v>
      </c>
      <c r="C60" s="419" t="s">
        <v>744</v>
      </c>
      <c r="D60" s="417" t="s">
        <v>756</v>
      </c>
      <c r="E60" s="419" t="s">
        <v>843</v>
      </c>
      <c r="F60" s="419" t="s">
        <v>763</v>
      </c>
      <c r="G60" s="423">
        <v>7</v>
      </c>
      <c r="H60" s="419" t="s">
        <v>844</v>
      </c>
      <c r="I60" s="419" t="s">
        <v>761</v>
      </c>
      <c r="J60" s="425">
        <v>7000</v>
      </c>
      <c r="K60" s="421"/>
      <c r="L60" s="424">
        <f>L59+Table16[[#This Row],[المدين (إيداع)]]-Table16[[#This Row],[الدائن (السحب)]]</f>
        <v>652025.16999999993</v>
      </c>
    </row>
    <row r="61" spans="1:12" ht="27" hidden="1" customHeight="1">
      <c r="A61" s="412">
        <f>SUBTOTAL(3,$E$8:E61)</f>
        <v>0</v>
      </c>
      <c r="B61" s="394">
        <v>42766</v>
      </c>
      <c r="C61" s="419" t="s">
        <v>744</v>
      </c>
      <c r="D61" s="417" t="s">
        <v>745</v>
      </c>
      <c r="E61" s="419" t="s">
        <v>762</v>
      </c>
      <c r="F61" s="419" t="s">
        <v>763</v>
      </c>
      <c r="G61" s="423">
        <v>13</v>
      </c>
      <c r="H61" s="419" t="s">
        <v>803</v>
      </c>
      <c r="I61" s="419" t="s">
        <v>748</v>
      </c>
      <c r="J61" s="420">
        <v>6000</v>
      </c>
      <c r="K61" s="421"/>
      <c r="L61" s="424">
        <f>L60+Table16[[#This Row],[المدين (إيداع)]]-Table16[[#This Row],[الدائن (السحب)]]</f>
        <v>658025.16999999993</v>
      </c>
    </row>
    <row r="62" spans="1:12" ht="27" hidden="1" customHeight="1">
      <c r="A62" s="412">
        <f>SUBTOTAL(3,$E$8:E62)</f>
        <v>0</v>
      </c>
      <c r="B62" s="394">
        <v>42766</v>
      </c>
      <c r="C62" s="419" t="s">
        <v>744</v>
      </c>
      <c r="D62" s="417" t="s">
        <v>845</v>
      </c>
      <c r="E62" s="419" t="s">
        <v>762</v>
      </c>
      <c r="F62" s="419" t="s">
        <v>763</v>
      </c>
      <c r="G62" s="423">
        <v>91</v>
      </c>
      <c r="H62" s="419" t="s">
        <v>846</v>
      </c>
      <c r="I62" s="419"/>
      <c r="J62" s="420">
        <v>41610</v>
      </c>
      <c r="K62" s="421"/>
      <c r="L62" s="424">
        <f>L61+Table16[[#This Row],[المدين (إيداع)]]-Table16[[#This Row],[الدائن (السحب)]]</f>
        <v>699635.16999999993</v>
      </c>
    </row>
    <row r="63" spans="1:12" ht="27" hidden="1" customHeight="1">
      <c r="A63" s="412">
        <f>SUBTOTAL(3,$E$8:E63)</f>
        <v>0</v>
      </c>
      <c r="B63" s="394">
        <v>42766</v>
      </c>
      <c r="C63" s="419" t="s">
        <v>744</v>
      </c>
      <c r="D63" s="417" t="s">
        <v>752</v>
      </c>
      <c r="E63" s="419" t="s">
        <v>753</v>
      </c>
      <c r="F63" s="419" t="s">
        <v>754</v>
      </c>
      <c r="G63" s="423"/>
      <c r="H63" s="419" t="s">
        <v>755</v>
      </c>
      <c r="I63" s="419" t="s">
        <v>754</v>
      </c>
      <c r="J63" s="420"/>
      <c r="K63" s="421">
        <v>30</v>
      </c>
      <c r="L63" s="424">
        <f>L62+Table16[[#This Row],[المدين (إيداع)]]-Table16[[#This Row],[الدائن (السحب)]]</f>
        <v>699605.16999999993</v>
      </c>
    </row>
    <row r="64" spans="1:12" ht="27" hidden="1" customHeight="1">
      <c r="A64" s="412">
        <f>SUBTOTAL(3,$E$8:E64)</f>
        <v>0</v>
      </c>
      <c r="B64" s="394">
        <v>42768</v>
      </c>
      <c r="C64" s="419" t="s">
        <v>744</v>
      </c>
      <c r="D64" s="417" t="s">
        <v>810</v>
      </c>
      <c r="E64" s="419" t="s">
        <v>746</v>
      </c>
      <c r="F64" s="419" t="s">
        <v>746</v>
      </c>
      <c r="G64" s="423"/>
      <c r="H64" s="419" t="s">
        <v>747</v>
      </c>
      <c r="I64" s="419" t="s">
        <v>811</v>
      </c>
      <c r="J64" s="420">
        <v>49246</v>
      </c>
      <c r="K64" s="421"/>
      <c r="L64" s="424">
        <f>L63+Table16[[#This Row],[المدين (إيداع)]]-Table16[[#This Row],[الدائن (السحب)]]</f>
        <v>748851.16999999993</v>
      </c>
    </row>
    <row r="65" spans="1:12" ht="23.25" hidden="1">
      <c r="A65" s="412">
        <f>SUBTOTAL(3,$E$8:E65)</f>
        <v>0</v>
      </c>
      <c r="B65" s="394">
        <v>42768</v>
      </c>
      <c r="C65" s="419" t="s">
        <v>744</v>
      </c>
      <c r="D65" s="417" t="s">
        <v>837</v>
      </c>
      <c r="E65" s="419" t="s">
        <v>769</v>
      </c>
      <c r="F65" s="419" t="s">
        <v>758</v>
      </c>
      <c r="G65" s="423"/>
      <c r="H65" s="419" t="s">
        <v>847</v>
      </c>
      <c r="I65" s="419" t="s">
        <v>847</v>
      </c>
      <c r="J65" s="420">
        <v>350</v>
      </c>
      <c r="K65" s="421"/>
      <c r="L65" s="424">
        <f>L64+Table16[[#This Row],[المدين (إيداع)]]-Table16[[#This Row],[الدائن (السحب)]]</f>
        <v>749201.16999999993</v>
      </c>
    </row>
    <row r="66" spans="1:12" ht="23.25" hidden="1">
      <c r="A66" s="412">
        <f>SUBTOTAL(3,$E$8:E66)</f>
        <v>0</v>
      </c>
      <c r="B66" s="394">
        <v>42768</v>
      </c>
      <c r="C66" s="419" t="s">
        <v>744</v>
      </c>
      <c r="D66" s="417" t="s">
        <v>848</v>
      </c>
      <c r="E66" s="419" t="s">
        <v>849</v>
      </c>
      <c r="F66" s="419" t="s">
        <v>746</v>
      </c>
      <c r="G66" s="423"/>
      <c r="H66" s="419" t="s">
        <v>850</v>
      </c>
      <c r="I66" s="419" t="s">
        <v>851</v>
      </c>
      <c r="J66" s="420">
        <v>19000</v>
      </c>
      <c r="K66" s="421"/>
      <c r="L66" s="424">
        <f>L65+Table16[[#This Row],[المدين (إيداع)]]-Table16[[#This Row],[الدائن (السحب)]]</f>
        <v>768201.16999999993</v>
      </c>
    </row>
    <row r="67" spans="1:12" ht="23.25" hidden="1">
      <c r="A67" s="412">
        <f>SUBTOTAL(3,$E$8:E67)</f>
        <v>0</v>
      </c>
      <c r="B67" s="394">
        <v>42771</v>
      </c>
      <c r="C67" s="419" t="s">
        <v>744</v>
      </c>
      <c r="D67" s="417" t="s">
        <v>577</v>
      </c>
      <c r="E67" s="419" t="s">
        <v>773</v>
      </c>
      <c r="F67" s="419" t="s">
        <v>773</v>
      </c>
      <c r="G67" s="423">
        <v>402</v>
      </c>
      <c r="H67" s="419" t="s">
        <v>852</v>
      </c>
      <c r="I67" s="419" t="s">
        <v>853</v>
      </c>
      <c r="J67" s="420"/>
      <c r="K67" s="421">
        <v>100000</v>
      </c>
      <c r="L67" s="424">
        <f>L66+Table16[[#This Row],[المدين (إيداع)]]-Table16[[#This Row],[الدائن (السحب)]]</f>
        <v>668201.16999999993</v>
      </c>
    </row>
    <row r="68" spans="1:12" ht="23.25" hidden="1">
      <c r="A68" s="412">
        <f>SUBTOTAL(3,$E$8:E68)</f>
        <v>0</v>
      </c>
      <c r="B68" s="394">
        <v>42771</v>
      </c>
      <c r="C68" s="419" t="s">
        <v>744</v>
      </c>
      <c r="D68" s="417" t="s">
        <v>854</v>
      </c>
      <c r="E68" s="419" t="s">
        <v>855</v>
      </c>
      <c r="F68" s="419" t="s">
        <v>758</v>
      </c>
      <c r="G68" s="423"/>
      <c r="H68" s="419" t="s">
        <v>856</v>
      </c>
      <c r="I68" s="419" t="s">
        <v>857</v>
      </c>
      <c r="J68" s="420">
        <v>8000</v>
      </c>
      <c r="K68" s="421"/>
      <c r="L68" s="424">
        <f>L67+Table16[[#This Row],[المدين (إيداع)]]-Table16[[#This Row],[الدائن (السحب)]]</f>
        <v>676201.16999999993</v>
      </c>
    </row>
    <row r="69" spans="1:12" ht="23.25" hidden="1">
      <c r="A69" s="412">
        <f>SUBTOTAL(3,$E$8:E69)</f>
        <v>0</v>
      </c>
      <c r="B69" s="394">
        <v>42771</v>
      </c>
      <c r="C69" s="419" t="s">
        <v>744</v>
      </c>
      <c r="D69" s="417" t="s">
        <v>858</v>
      </c>
      <c r="E69" s="419" t="s">
        <v>777</v>
      </c>
      <c r="F69" s="419" t="s">
        <v>758</v>
      </c>
      <c r="G69" s="423"/>
      <c r="H69" s="419" t="s">
        <v>778</v>
      </c>
      <c r="I69" s="419" t="s">
        <v>859</v>
      </c>
      <c r="J69" s="420">
        <v>2800</v>
      </c>
      <c r="K69" s="421"/>
      <c r="L69" s="424">
        <f>L68+Table16[[#This Row],[المدين (إيداع)]]-Table16[[#This Row],[الدائن (السحب)]]</f>
        <v>679001.16999999993</v>
      </c>
    </row>
    <row r="70" spans="1:12" ht="23.25" hidden="1">
      <c r="A70" s="412">
        <f>SUBTOTAL(3,$E$8:E70)</f>
        <v>0</v>
      </c>
      <c r="B70" s="394">
        <v>42772</v>
      </c>
      <c r="C70" s="419" t="s">
        <v>744</v>
      </c>
      <c r="D70" s="417" t="s">
        <v>780</v>
      </c>
      <c r="E70" s="419" t="s">
        <v>762</v>
      </c>
      <c r="F70" s="419" t="s">
        <v>763</v>
      </c>
      <c r="G70" s="423">
        <v>3827</v>
      </c>
      <c r="H70" s="419" t="s">
        <v>860</v>
      </c>
      <c r="I70" s="419" t="s">
        <v>782</v>
      </c>
      <c r="J70" s="420">
        <v>10000</v>
      </c>
      <c r="K70" s="421"/>
      <c r="L70" s="424">
        <f>L69+Table16[[#This Row],[المدين (إيداع)]]-Table16[[#This Row],[الدائن (السحب)]]</f>
        <v>689001.16999999993</v>
      </c>
    </row>
    <row r="71" spans="1:12" ht="23.25" hidden="1">
      <c r="A71" s="412">
        <f>SUBTOTAL(3,$E$8:E71)</f>
        <v>0</v>
      </c>
      <c r="B71" s="394">
        <v>42773</v>
      </c>
      <c r="C71" s="419" t="s">
        <v>744</v>
      </c>
      <c r="D71" s="417" t="s">
        <v>848</v>
      </c>
      <c r="E71" s="419" t="s">
        <v>849</v>
      </c>
      <c r="F71" s="419" t="s">
        <v>746</v>
      </c>
      <c r="G71" s="423"/>
      <c r="H71" s="419" t="s">
        <v>850</v>
      </c>
      <c r="I71" s="419" t="s">
        <v>851</v>
      </c>
      <c r="J71" s="420">
        <v>20000</v>
      </c>
      <c r="K71" s="421"/>
      <c r="L71" s="424">
        <f>L70+Table16[[#This Row],[المدين (إيداع)]]-Table16[[#This Row],[الدائن (السحب)]]</f>
        <v>709001.16999999993</v>
      </c>
    </row>
    <row r="72" spans="1:12" ht="23.25" hidden="1">
      <c r="A72" s="412">
        <f>SUBTOTAL(3,$E$8:E72)</f>
        <v>0</v>
      </c>
      <c r="B72" s="394">
        <v>42775</v>
      </c>
      <c r="C72" s="419" t="s">
        <v>744</v>
      </c>
      <c r="D72" s="417" t="s">
        <v>861</v>
      </c>
      <c r="E72" s="419" t="s">
        <v>773</v>
      </c>
      <c r="F72" s="419" t="s">
        <v>773</v>
      </c>
      <c r="G72" s="423">
        <v>270</v>
      </c>
      <c r="H72" s="419" t="s">
        <v>774</v>
      </c>
      <c r="I72" s="419" t="s">
        <v>862</v>
      </c>
      <c r="J72" s="420"/>
      <c r="K72" s="421">
        <v>281500</v>
      </c>
      <c r="L72" s="424">
        <f>L71+Table16[[#This Row],[المدين (إيداع)]]-Table16[[#This Row],[الدائن (السحب)]]</f>
        <v>427501.16999999993</v>
      </c>
    </row>
    <row r="73" spans="1:12" ht="23.25" hidden="1">
      <c r="A73" s="412">
        <f>SUBTOTAL(3,$E$8:E73)</f>
        <v>0</v>
      </c>
      <c r="B73" s="394">
        <v>42775</v>
      </c>
      <c r="C73" s="419" t="s">
        <v>744</v>
      </c>
      <c r="D73" s="417" t="s">
        <v>810</v>
      </c>
      <c r="E73" s="419" t="s">
        <v>773</v>
      </c>
      <c r="F73" s="419" t="s">
        <v>773</v>
      </c>
      <c r="G73" s="423">
        <v>2213</v>
      </c>
      <c r="H73" s="419"/>
      <c r="I73" s="419" t="s">
        <v>811</v>
      </c>
      <c r="J73" s="420">
        <v>1000</v>
      </c>
      <c r="K73" s="421"/>
      <c r="L73" s="424">
        <f>L72+Table16[[#This Row],[المدين (إيداع)]]-Table16[[#This Row],[الدائن (السحب)]]</f>
        <v>428501.16999999993</v>
      </c>
    </row>
    <row r="74" spans="1:12" ht="23.25" hidden="1">
      <c r="A74" s="412">
        <f>SUBTOTAL(3,$E$8:E74)</f>
        <v>0</v>
      </c>
      <c r="B74" s="394">
        <v>42775</v>
      </c>
      <c r="C74" s="419" t="s">
        <v>744</v>
      </c>
      <c r="D74" s="417" t="s">
        <v>863</v>
      </c>
      <c r="E74" s="419" t="s">
        <v>769</v>
      </c>
      <c r="F74" s="419" t="s">
        <v>758</v>
      </c>
      <c r="G74" s="423"/>
      <c r="H74" s="419"/>
      <c r="I74" s="419" t="s">
        <v>771</v>
      </c>
      <c r="J74" s="420">
        <v>600</v>
      </c>
      <c r="K74" s="421"/>
      <c r="L74" s="424">
        <f>L73+Table16[[#This Row],[المدين (إيداع)]]-Table16[[#This Row],[الدائن (السحب)]]</f>
        <v>429101.16999999993</v>
      </c>
    </row>
    <row r="75" spans="1:12" ht="23.25" hidden="1">
      <c r="A75" s="412">
        <f>SUBTOTAL(3,$E$8:E75)</f>
        <v>0</v>
      </c>
      <c r="B75" s="394">
        <v>42779</v>
      </c>
      <c r="C75" s="419" t="s">
        <v>744</v>
      </c>
      <c r="D75" s="417" t="s">
        <v>752</v>
      </c>
      <c r="E75" s="419" t="s">
        <v>753</v>
      </c>
      <c r="F75" s="419" t="s">
        <v>754</v>
      </c>
      <c r="G75" s="423"/>
      <c r="H75" s="419" t="s">
        <v>755</v>
      </c>
      <c r="I75" s="419" t="s">
        <v>754</v>
      </c>
      <c r="J75" s="420"/>
      <c r="K75" s="421">
        <v>25</v>
      </c>
      <c r="L75" s="424">
        <f>L74+Table16[[#This Row],[المدين (إيداع)]]-Table16[[#This Row],[الدائن (السحب)]]</f>
        <v>429076.16999999993</v>
      </c>
    </row>
    <row r="76" spans="1:12" ht="23.25" hidden="1">
      <c r="A76" s="412">
        <f>SUBTOTAL(3,$E$8:E76)</f>
        <v>0</v>
      </c>
      <c r="B76" s="394">
        <v>42781</v>
      </c>
      <c r="C76" s="419" t="s">
        <v>744</v>
      </c>
      <c r="D76" s="417" t="s">
        <v>864</v>
      </c>
      <c r="E76" s="419" t="s">
        <v>787</v>
      </c>
      <c r="F76" s="419" t="s">
        <v>758</v>
      </c>
      <c r="G76" s="423" t="s">
        <v>865</v>
      </c>
      <c r="H76" s="419" t="s">
        <v>789</v>
      </c>
      <c r="I76" s="419" t="s">
        <v>761</v>
      </c>
      <c r="J76" s="420">
        <v>6600</v>
      </c>
      <c r="K76" s="421"/>
      <c r="L76" s="424">
        <f>L75+Table16[[#This Row],[المدين (إيداع)]]-Table16[[#This Row],[الدائن (السحب)]]</f>
        <v>435676.16999999993</v>
      </c>
    </row>
    <row r="77" spans="1:12" ht="23.25" hidden="1">
      <c r="A77" s="412">
        <f>SUBTOTAL(3,$E$8:E77)</f>
        <v>0</v>
      </c>
      <c r="B77" s="394">
        <v>42782</v>
      </c>
      <c r="C77" s="419" t="s">
        <v>744</v>
      </c>
      <c r="D77" s="417" t="s">
        <v>866</v>
      </c>
      <c r="E77" s="419" t="s">
        <v>769</v>
      </c>
      <c r="F77" s="419" t="s">
        <v>758</v>
      </c>
      <c r="G77" s="423"/>
      <c r="H77" s="419" t="s">
        <v>839</v>
      </c>
      <c r="I77" s="419" t="s">
        <v>771</v>
      </c>
      <c r="J77" s="420">
        <v>350</v>
      </c>
      <c r="K77" s="421"/>
      <c r="L77" s="424">
        <f>L76+Table16[[#This Row],[المدين (إيداع)]]-Table16[[#This Row],[الدائن (السحب)]]</f>
        <v>436026.16999999993</v>
      </c>
    </row>
    <row r="78" spans="1:12" ht="23.25" hidden="1">
      <c r="A78" s="412">
        <f>SUBTOTAL(3,$E$8:E78)</f>
        <v>0</v>
      </c>
      <c r="B78" s="394">
        <v>42782</v>
      </c>
      <c r="C78" s="419" t="s">
        <v>744</v>
      </c>
      <c r="D78" s="417" t="s">
        <v>863</v>
      </c>
      <c r="E78" s="419" t="s">
        <v>769</v>
      </c>
      <c r="F78" s="419" t="s">
        <v>758</v>
      </c>
      <c r="G78" s="423"/>
      <c r="H78" s="419" t="s">
        <v>775</v>
      </c>
      <c r="I78" s="419" t="s">
        <v>771</v>
      </c>
      <c r="J78" s="420">
        <v>300</v>
      </c>
      <c r="K78" s="421"/>
      <c r="L78" s="424">
        <f>L77+Table16[[#This Row],[المدين (إيداع)]]-Table16[[#This Row],[الدائن (السحب)]]</f>
        <v>436326.16999999993</v>
      </c>
    </row>
    <row r="79" spans="1:12" ht="42" hidden="1" customHeight="1">
      <c r="A79" s="412">
        <f>SUBTOTAL(3,$E$8:E79)</f>
        <v>0</v>
      </c>
      <c r="B79" s="394">
        <v>42782</v>
      </c>
      <c r="C79" s="419" t="s">
        <v>744</v>
      </c>
      <c r="D79" s="417" t="s">
        <v>867</v>
      </c>
      <c r="E79" s="419" t="s">
        <v>868</v>
      </c>
      <c r="F79" s="419" t="s">
        <v>869</v>
      </c>
      <c r="G79" s="427" t="s">
        <v>870</v>
      </c>
      <c r="H79" s="419" t="s">
        <v>755</v>
      </c>
      <c r="I79" s="419"/>
      <c r="J79" s="420"/>
      <c r="K79" s="421">
        <v>750</v>
      </c>
      <c r="L79" s="424">
        <f>L78+Table16[[#This Row],[المدين (إيداع)]]-Table16[[#This Row],[الدائن (السحب)]]</f>
        <v>435576.16999999993</v>
      </c>
    </row>
    <row r="80" spans="1:12" ht="42" hidden="1" customHeight="1">
      <c r="A80" s="412">
        <f>SUBTOTAL(3,$E$8:E80)</f>
        <v>0</v>
      </c>
      <c r="B80" s="394">
        <v>42782</v>
      </c>
      <c r="C80" s="419" t="s">
        <v>744</v>
      </c>
      <c r="D80" s="417" t="s">
        <v>867</v>
      </c>
      <c r="E80" s="419" t="s">
        <v>869</v>
      </c>
      <c r="F80" s="419" t="s">
        <v>869</v>
      </c>
      <c r="G80" s="427" t="s">
        <v>870</v>
      </c>
      <c r="H80" s="419" t="s">
        <v>755</v>
      </c>
      <c r="I80" s="419"/>
      <c r="J80" s="420"/>
      <c r="K80" s="421">
        <v>10000</v>
      </c>
      <c r="L80" s="424">
        <f>L79+Table16[[#This Row],[المدين (إيداع)]]-Table16[[#This Row],[الدائن (السحب)]]</f>
        <v>425576.16999999993</v>
      </c>
    </row>
    <row r="81" spans="1:12" ht="23.25" hidden="1">
      <c r="A81" s="412">
        <f>SUBTOTAL(3,$E$8:E81)</f>
        <v>0</v>
      </c>
      <c r="B81" s="394">
        <v>42783</v>
      </c>
      <c r="C81" s="419" t="s">
        <v>744</v>
      </c>
      <c r="D81" s="417" t="s">
        <v>756</v>
      </c>
      <c r="E81" s="419" t="s">
        <v>871</v>
      </c>
      <c r="F81" s="419" t="s">
        <v>763</v>
      </c>
      <c r="G81" s="423">
        <v>1335</v>
      </c>
      <c r="H81" s="419" t="s">
        <v>215</v>
      </c>
      <c r="I81" s="419" t="s">
        <v>761</v>
      </c>
      <c r="J81" s="425">
        <v>22050</v>
      </c>
      <c r="K81" s="421"/>
      <c r="L81" s="424">
        <f>L80+Table16[[#This Row],[المدين (إيداع)]]-Table16[[#This Row],[الدائن (السحب)]]</f>
        <v>447626.16999999993</v>
      </c>
    </row>
    <row r="82" spans="1:12" ht="23.25" hidden="1">
      <c r="A82" s="412">
        <f>SUBTOTAL(3,$E$8:E82)</f>
        <v>0</v>
      </c>
      <c r="B82" s="394">
        <v>42783</v>
      </c>
      <c r="C82" s="419" t="s">
        <v>744</v>
      </c>
      <c r="D82" s="417" t="s">
        <v>864</v>
      </c>
      <c r="E82" s="419" t="s">
        <v>872</v>
      </c>
      <c r="F82" s="419" t="s">
        <v>763</v>
      </c>
      <c r="G82" s="423">
        <v>5394</v>
      </c>
      <c r="H82" s="419" t="s">
        <v>806</v>
      </c>
      <c r="I82" s="419" t="s">
        <v>761</v>
      </c>
      <c r="J82" s="420">
        <v>1500</v>
      </c>
      <c r="K82" s="421"/>
      <c r="L82" s="424">
        <f>L81+Table16[[#This Row],[المدين (إيداع)]]-Table16[[#This Row],[الدائن (السحب)]]</f>
        <v>449126.16999999993</v>
      </c>
    </row>
    <row r="83" spans="1:12" ht="23.25" hidden="1">
      <c r="A83" s="412">
        <f>SUBTOTAL(3,$E$8:E83)</f>
        <v>0</v>
      </c>
      <c r="B83" s="394">
        <v>42783</v>
      </c>
      <c r="C83" s="419" t="s">
        <v>744</v>
      </c>
      <c r="D83" s="417" t="s">
        <v>864</v>
      </c>
      <c r="E83" s="419" t="s">
        <v>873</v>
      </c>
      <c r="F83" s="419" t="s">
        <v>763</v>
      </c>
      <c r="G83" s="423">
        <v>38045</v>
      </c>
      <c r="H83" s="419" t="s">
        <v>874</v>
      </c>
      <c r="I83" s="419" t="s">
        <v>761</v>
      </c>
      <c r="J83" s="420">
        <v>35000</v>
      </c>
      <c r="K83" s="421"/>
      <c r="L83" s="424">
        <f>L82+Table16[[#This Row],[المدين (إيداع)]]-Table16[[#This Row],[الدائن (السحب)]]</f>
        <v>484126.16999999993</v>
      </c>
    </row>
    <row r="84" spans="1:12" ht="23.25" hidden="1">
      <c r="A84" s="412">
        <f>SUBTOTAL(3,$E$8:E84)</f>
        <v>0</v>
      </c>
      <c r="B84" s="394">
        <v>42783</v>
      </c>
      <c r="C84" s="419" t="s">
        <v>744</v>
      </c>
      <c r="D84" s="417" t="s">
        <v>756</v>
      </c>
      <c r="E84" s="419" t="s">
        <v>762</v>
      </c>
      <c r="F84" s="419" t="s">
        <v>763</v>
      </c>
      <c r="G84" s="423">
        <v>76449</v>
      </c>
      <c r="H84" s="419" t="s">
        <v>875</v>
      </c>
      <c r="I84" s="419" t="s">
        <v>761</v>
      </c>
      <c r="J84" s="425">
        <v>1200</v>
      </c>
      <c r="K84" s="421"/>
      <c r="L84" s="424">
        <f>L83+Table16[[#This Row],[المدين (إيداع)]]-Table16[[#This Row],[الدائن (السحب)]]</f>
        <v>485326.16999999993</v>
      </c>
    </row>
    <row r="85" spans="1:12" ht="23.25" hidden="1">
      <c r="A85" s="412">
        <f>SUBTOTAL(3,$E$8:E85)</f>
        <v>0</v>
      </c>
      <c r="B85" s="394">
        <v>42783</v>
      </c>
      <c r="C85" s="419" t="s">
        <v>744</v>
      </c>
      <c r="D85" s="417" t="s">
        <v>864</v>
      </c>
      <c r="E85" s="419" t="s">
        <v>876</v>
      </c>
      <c r="F85" s="419" t="s">
        <v>763</v>
      </c>
      <c r="G85" s="423">
        <v>76655</v>
      </c>
      <c r="H85" s="419" t="s">
        <v>809</v>
      </c>
      <c r="I85" s="419" t="s">
        <v>761</v>
      </c>
      <c r="J85" s="420">
        <v>4800</v>
      </c>
      <c r="K85" s="421"/>
      <c r="L85" s="424">
        <f>L84+Table16[[#This Row],[المدين (إيداع)]]-Table16[[#This Row],[الدائن (السحب)]]</f>
        <v>490126.16999999993</v>
      </c>
    </row>
    <row r="86" spans="1:12" ht="23.25" hidden="1">
      <c r="A86" s="412">
        <f>SUBTOTAL(3,$E$8:E86)</f>
        <v>0</v>
      </c>
      <c r="B86" s="394">
        <v>42783</v>
      </c>
      <c r="C86" s="419" t="s">
        <v>744</v>
      </c>
      <c r="D86" s="417" t="s">
        <v>745</v>
      </c>
      <c r="E86" s="419" t="s">
        <v>762</v>
      </c>
      <c r="F86" s="419" t="s">
        <v>763</v>
      </c>
      <c r="G86" s="423">
        <v>232</v>
      </c>
      <c r="H86" s="419" t="s">
        <v>877</v>
      </c>
      <c r="I86" s="419" t="s">
        <v>748</v>
      </c>
      <c r="J86" s="420">
        <v>2700</v>
      </c>
      <c r="K86" s="421"/>
      <c r="L86" s="424">
        <f>L85+Table16[[#This Row],[المدين (إيداع)]]-Table16[[#This Row],[الدائن (السحب)]]</f>
        <v>492826.16999999993</v>
      </c>
    </row>
    <row r="87" spans="1:12" ht="23.25" hidden="1">
      <c r="A87" s="412">
        <f>SUBTOTAL(3,$E$8:E87)</f>
        <v>0</v>
      </c>
      <c r="B87" s="394">
        <v>42783</v>
      </c>
      <c r="C87" s="419" t="s">
        <v>744</v>
      </c>
      <c r="D87" s="417" t="s">
        <v>864</v>
      </c>
      <c r="E87" s="419" t="s">
        <v>878</v>
      </c>
      <c r="F87" s="419" t="s">
        <v>763</v>
      </c>
      <c r="G87" s="423">
        <v>66518181</v>
      </c>
      <c r="H87" s="419" t="s">
        <v>766</v>
      </c>
      <c r="I87" s="419" t="s">
        <v>761</v>
      </c>
      <c r="J87" s="420">
        <v>12800</v>
      </c>
      <c r="K87" s="421"/>
      <c r="L87" s="424">
        <f>L86+Table16[[#This Row],[المدين (إيداع)]]-Table16[[#This Row],[الدائن (السحب)]]</f>
        <v>505626.16999999993</v>
      </c>
    </row>
    <row r="88" spans="1:12" ht="23.25" hidden="1">
      <c r="A88" s="412">
        <f>SUBTOTAL(3,$E$8:E88)</f>
        <v>0</v>
      </c>
      <c r="B88" s="394">
        <v>42785</v>
      </c>
      <c r="C88" s="419" t="s">
        <v>744</v>
      </c>
      <c r="D88" s="417" t="s">
        <v>848</v>
      </c>
      <c r="E88" s="419" t="s">
        <v>879</v>
      </c>
      <c r="F88" s="419" t="s">
        <v>758</v>
      </c>
      <c r="G88" s="423"/>
      <c r="H88" s="419" t="s">
        <v>850</v>
      </c>
      <c r="I88" s="419" t="s">
        <v>851</v>
      </c>
      <c r="J88" s="420">
        <v>1036</v>
      </c>
      <c r="K88" s="421"/>
      <c r="L88" s="424">
        <f>L87+Table16[[#This Row],[المدين (إيداع)]]-Table16[[#This Row],[الدائن (السحب)]]</f>
        <v>506662.16999999993</v>
      </c>
    </row>
    <row r="89" spans="1:12" ht="23.25" hidden="1">
      <c r="A89" s="412">
        <f>SUBTOTAL(3,$E$8:E89)</f>
        <v>0</v>
      </c>
      <c r="B89" s="394">
        <v>42785</v>
      </c>
      <c r="C89" s="419" t="s">
        <v>744</v>
      </c>
      <c r="D89" s="417" t="s">
        <v>848</v>
      </c>
      <c r="E89" s="419" t="s">
        <v>879</v>
      </c>
      <c r="F89" s="419" t="s">
        <v>758</v>
      </c>
      <c r="G89" s="423"/>
      <c r="H89" s="419" t="s">
        <v>880</v>
      </c>
      <c r="I89" s="419" t="s">
        <v>851</v>
      </c>
      <c r="J89" s="420">
        <v>18964</v>
      </c>
      <c r="K89" s="421"/>
      <c r="L89" s="424">
        <f>L88+Table16[[#This Row],[المدين (إيداع)]]-Table16[[#This Row],[الدائن (السحب)]]</f>
        <v>525626.16999999993</v>
      </c>
    </row>
    <row r="90" spans="1:12" ht="23.25" hidden="1">
      <c r="A90" s="412">
        <f>SUBTOTAL(3,$E$8:E90)</f>
        <v>0</v>
      </c>
      <c r="B90" s="394">
        <v>42786</v>
      </c>
      <c r="C90" s="419" t="s">
        <v>744</v>
      </c>
      <c r="D90" s="417" t="s">
        <v>848</v>
      </c>
      <c r="E90" s="419" t="s">
        <v>879</v>
      </c>
      <c r="F90" s="419" t="s">
        <v>758</v>
      </c>
      <c r="G90" s="423"/>
      <c r="H90" s="419" t="s">
        <v>880</v>
      </c>
      <c r="I90" s="419" t="s">
        <v>851</v>
      </c>
      <c r="J90" s="420">
        <v>20000</v>
      </c>
      <c r="K90" s="421"/>
      <c r="L90" s="424">
        <f>L89+Table16[[#This Row],[المدين (إيداع)]]-Table16[[#This Row],[الدائن (السحب)]]</f>
        <v>545626.16999999993</v>
      </c>
    </row>
    <row r="91" spans="1:12" ht="23.25" hidden="1">
      <c r="A91" s="412">
        <f>SUBTOTAL(3,$E$8:E91)</f>
        <v>0</v>
      </c>
      <c r="B91" s="394">
        <v>42786</v>
      </c>
      <c r="C91" s="419" t="s">
        <v>744</v>
      </c>
      <c r="D91" s="417" t="s">
        <v>881</v>
      </c>
      <c r="E91" s="419" t="s">
        <v>882</v>
      </c>
      <c r="F91" s="419" t="s">
        <v>773</v>
      </c>
      <c r="G91" s="423">
        <v>271</v>
      </c>
      <c r="H91" s="419" t="s">
        <v>883</v>
      </c>
      <c r="I91" s="419" t="s">
        <v>883</v>
      </c>
      <c r="J91" s="420"/>
      <c r="K91" s="421">
        <v>190000</v>
      </c>
      <c r="L91" s="424">
        <f>L90+Table16[[#This Row],[المدين (إيداع)]]-Table16[[#This Row],[الدائن (السحب)]]</f>
        <v>355626.16999999993</v>
      </c>
    </row>
    <row r="92" spans="1:12" ht="23.25" hidden="1">
      <c r="A92" s="412">
        <f>SUBTOTAL(3,$E$8:E92)</f>
        <v>0</v>
      </c>
      <c r="B92" s="394">
        <v>42787</v>
      </c>
      <c r="C92" s="419" t="s">
        <v>744</v>
      </c>
      <c r="D92" s="417" t="s">
        <v>884</v>
      </c>
      <c r="E92" s="419" t="s">
        <v>795</v>
      </c>
      <c r="F92" s="419" t="s">
        <v>758</v>
      </c>
      <c r="G92" s="423"/>
      <c r="H92" s="419" t="s">
        <v>796</v>
      </c>
      <c r="I92" s="419" t="s">
        <v>797</v>
      </c>
      <c r="J92" s="420">
        <v>1960</v>
      </c>
      <c r="K92" s="421"/>
      <c r="L92" s="424">
        <f>L91+Table16[[#This Row],[المدين (إيداع)]]-Table16[[#This Row],[الدائن (السحب)]]</f>
        <v>357586.16999999993</v>
      </c>
    </row>
    <row r="93" spans="1:12" ht="23.25" hidden="1">
      <c r="A93" s="412">
        <f>SUBTOTAL(3,$E$8:E93)</f>
        <v>0</v>
      </c>
      <c r="B93" s="394">
        <v>42787</v>
      </c>
      <c r="C93" s="419" t="s">
        <v>744</v>
      </c>
      <c r="D93" s="419" t="s">
        <v>885</v>
      </c>
      <c r="E93" s="419" t="s">
        <v>769</v>
      </c>
      <c r="F93" s="419" t="s">
        <v>758</v>
      </c>
      <c r="G93" s="423"/>
      <c r="H93" s="419" t="s">
        <v>886</v>
      </c>
      <c r="I93" s="419" t="s">
        <v>887</v>
      </c>
      <c r="J93" s="420">
        <v>7200</v>
      </c>
      <c r="K93" s="421"/>
      <c r="L93" s="424">
        <f>L92+Table16[[#This Row],[المدين (إيداع)]]-Table16[[#This Row],[الدائن (السحب)]]</f>
        <v>364786.16999999993</v>
      </c>
    </row>
    <row r="94" spans="1:12" ht="23.25" hidden="1">
      <c r="A94" s="412">
        <f>SUBTOTAL(3,$E$8:E94)</f>
        <v>0</v>
      </c>
      <c r="B94" s="394">
        <v>42787</v>
      </c>
      <c r="C94" s="419" t="s">
        <v>744</v>
      </c>
      <c r="D94" s="417" t="s">
        <v>888</v>
      </c>
      <c r="E94" s="419" t="s">
        <v>769</v>
      </c>
      <c r="F94" s="419" t="s">
        <v>758</v>
      </c>
      <c r="G94" s="423"/>
      <c r="H94" s="419"/>
      <c r="I94" s="419" t="s">
        <v>827</v>
      </c>
      <c r="J94" s="420">
        <v>1200</v>
      </c>
      <c r="K94" s="421"/>
      <c r="L94" s="424">
        <f>L93+Table16[[#This Row],[المدين (إيداع)]]-Table16[[#This Row],[الدائن (السحب)]]</f>
        <v>365986.16999999993</v>
      </c>
    </row>
    <row r="95" spans="1:12" ht="23.25" hidden="1">
      <c r="A95" s="412">
        <f>SUBTOTAL(3,$E$8:E95)</f>
        <v>0</v>
      </c>
      <c r="B95" s="394">
        <v>42788</v>
      </c>
      <c r="C95" s="419" t="s">
        <v>744</v>
      </c>
      <c r="D95" s="417" t="s">
        <v>848</v>
      </c>
      <c r="E95" s="419" t="s">
        <v>879</v>
      </c>
      <c r="F95" s="419" t="s">
        <v>758</v>
      </c>
      <c r="G95" s="423"/>
      <c r="H95" s="419" t="s">
        <v>880</v>
      </c>
      <c r="I95" s="419" t="s">
        <v>851</v>
      </c>
      <c r="J95" s="420">
        <v>20000</v>
      </c>
      <c r="K95" s="421"/>
      <c r="L95" s="424">
        <f>L94+Table16[[#This Row],[المدين (إيداع)]]-Table16[[#This Row],[الدائن (السحب)]]</f>
        <v>385986.16999999993</v>
      </c>
    </row>
    <row r="96" spans="1:12" ht="23.25" hidden="1">
      <c r="A96" s="412">
        <f>SUBTOTAL(3,$E$8:E96)</f>
        <v>0</v>
      </c>
      <c r="B96" s="394">
        <v>42789</v>
      </c>
      <c r="C96" s="419" t="s">
        <v>744</v>
      </c>
      <c r="D96" s="417" t="s">
        <v>837</v>
      </c>
      <c r="E96" s="419" t="s">
        <v>769</v>
      </c>
      <c r="F96" s="419" t="s">
        <v>758</v>
      </c>
      <c r="G96" s="423"/>
      <c r="H96" s="419" t="s">
        <v>847</v>
      </c>
      <c r="I96" s="419" t="s">
        <v>771</v>
      </c>
      <c r="J96" s="420">
        <v>350</v>
      </c>
      <c r="K96" s="421"/>
      <c r="L96" s="424">
        <f>L95+Table16[[#This Row],[المدين (إيداع)]]-Table16[[#This Row],[الدائن (السحب)]]</f>
        <v>386336.16999999993</v>
      </c>
    </row>
    <row r="97" spans="1:12" ht="23.25" hidden="1">
      <c r="A97" s="412">
        <f>SUBTOTAL(3,$E$8:E97)</f>
        <v>0</v>
      </c>
      <c r="B97" s="394">
        <v>42789</v>
      </c>
      <c r="C97" s="419" t="s">
        <v>744</v>
      </c>
      <c r="D97" s="417" t="s">
        <v>854</v>
      </c>
      <c r="E97" s="419" t="s">
        <v>855</v>
      </c>
      <c r="F97" s="419" t="s">
        <v>758</v>
      </c>
      <c r="G97" s="423"/>
      <c r="H97" s="419" t="s">
        <v>856</v>
      </c>
      <c r="I97" s="419" t="s">
        <v>857</v>
      </c>
      <c r="J97" s="420">
        <v>8000</v>
      </c>
      <c r="K97" s="421"/>
      <c r="L97" s="424">
        <f>L96+Table16[[#This Row],[المدين (إيداع)]]-Table16[[#This Row],[الدائن (السحب)]]</f>
        <v>394336.16999999993</v>
      </c>
    </row>
    <row r="98" spans="1:12" ht="23.25" hidden="1">
      <c r="A98" s="412">
        <f>SUBTOTAL(3,$E$8:E98)</f>
        <v>0</v>
      </c>
      <c r="B98" s="394">
        <v>42789</v>
      </c>
      <c r="C98" s="419" t="s">
        <v>744</v>
      </c>
      <c r="D98" s="417" t="s">
        <v>848</v>
      </c>
      <c r="E98" s="419" t="s">
        <v>879</v>
      </c>
      <c r="F98" s="419" t="s">
        <v>758</v>
      </c>
      <c r="G98" s="423"/>
      <c r="H98" s="419" t="s">
        <v>880</v>
      </c>
      <c r="I98" s="419" t="s">
        <v>851</v>
      </c>
      <c r="J98" s="420">
        <v>7329</v>
      </c>
      <c r="K98" s="421"/>
      <c r="L98" s="424">
        <f>L97+Table16[[#This Row],[المدين (إيداع)]]-Table16[[#This Row],[الدائن (السحب)]]</f>
        <v>401665.16999999993</v>
      </c>
    </row>
    <row r="99" spans="1:12" ht="23.25" hidden="1">
      <c r="A99" s="412">
        <f>SUBTOTAL(3,$E$8:E99)</f>
        <v>0</v>
      </c>
      <c r="B99" s="394">
        <v>42792</v>
      </c>
      <c r="C99" s="419" t="s">
        <v>744</v>
      </c>
      <c r="D99" s="417" t="s">
        <v>889</v>
      </c>
      <c r="E99" s="419" t="s">
        <v>882</v>
      </c>
      <c r="F99" s="419" t="s">
        <v>773</v>
      </c>
      <c r="G99" s="423">
        <v>272</v>
      </c>
      <c r="H99" s="419" t="s">
        <v>883</v>
      </c>
      <c r="I99" s="419" t="s">
        <v>883</v>
      </c>
      <c r="J99" s="420"/>
      <c r="K99" s="421">
        <v>200000</v>
      </c>
      <c r="L99" s="424">
        <f>L98+Table16[[#This Row],[المدين (إيداع)]]-Table16[[#This Row],[الدائن (السحب)]]</f>
        <v>201665.16999999993</v>
      </c>
    </row>
    <row r="100" spans="1:12" ht="23.25" hidden="1">
      <c r="A100" s="412">
        <f>SUBTOTAL(3,$E$8:E100)</f>
        <v>0</v>
      </c>
      <c r="B100" s="394">
        <v>42793</v>
      </c>
      <c r="C100" s="419" t="s">
        <v>744</v>
      </c>
      <c r="D100" s="417" t="s">
        <v>866</v>
      </c>
      <c r="E100" s="419" t="s">
        <v>769</v>
      </c>
      <c r="F100" s="419" t="s">
        <v>758</v>
      </c>
      <c r="G100" s="423"/>
      <c r="H100" s="419"/>
      <c r="I100" s="419" t="s">
        <v>771</v>
      </c>
      <c r="J100" s="420">
        <v>350</v>
      </c>
      <c r="K100" s="421"/>
      <c r="L100" s="424">
        <f>L99+Table16[[#This Row],[المدين (إيداع)]]-Table16[[#This Row],[الدائن (السحب)]]</f>
        <v>202015.16999999993</v>
      </c>
    </row>
    <row r="101" spans="1:12" ht="23.25" hidden="1">
      <c r="A101" s="412">
        <f>SUBTOTAL(3,$E$8:E101)</f>
        <v>0</v>
      </c>
      <c r="B101" s="394">
        <v>42793</v>
      </c>
      <c r="C101" s="419" t="s">
        <v>744</v>
      </c>
      <c r="D101" s="417" t="s">
        <v>890</v>
      </c>
      <c r="E101" s="419" t="s">
        <v>769</v>
      </c>
      <c r="F101" s="419" t="s">
        <v>758</v>
      </c>
      <c r="G101" s="423"/>
      <c r="H101" s="419" t="s">
        <v>891</v>
      </c>
      <c r="I101" s="419" t="s">
        <v>782</v>
      </c>
      <c r="J101" s="420">
        <v>1050</v>
      </c>
      <c r="K101" s="421"/>
      <c r="L101" s="424">
        <f>L100+Table16[[#This Row],[المدين (إيداع)]]-Table16[[#This Row],[الدائن (السحب)]]</f>
        <v>203065.16999999993</v>
      </c>
    </row>
    <row r="102" spans="1:12" ht="23.25" hidden="1">
      <c r="A102" s="412">
        <f>SUBTOTAL(3,$E$8:E102)</f>
        <v>0</v>
      </c>
      <c r="B102" s="394">
        <v>42794</v>
      </c>
      <c r="C102" s="419" t="s">
        <v>744</v>
      </c>
      <c r="D102" s="417" t="s">
        <v>604</v>
      </c>
      <c r="E102" s="419" t="s">
        <v>892</v>
      </c>
      <c r="F102" s="419" t="s">
        <v>773</v>
      </c>
      <c r="G102" s="423">
        <v>274</v>
      </c>
      <c r="H102" s="419" t="s">
        <v>893</v>
      </c>
      <c r="I102" s="419" t="s">
        <v>894</v>
      </c>
      <c r="J102" s="420"/>
      <c r="K102" s="421">
        <v>142000</v>
      </c>
      <c r="L102" s="424">
        <f>L101+Table16[[#This Row],[المدين (إيداع)]]-Table16[[#This Row],[الدائن (السحب)]]</f>
        <v>61065.169999999925</v>
      </c>
    </row>
    <row r="103" spans="1:12" ht="23.25" hidden="1">
      <c r="A103" s="412">
        <f>SUBTOTAL(3,$E$8:E103)</f>
        <v>0</v>
      </c>
      <c r="B103" s="394">
        <v>42794</v>
      </c>
      <c r="C103" s="419" t="s">
        <v>744</v>
      </c>
      <c r="D103" s="417" t="s">
        <v>885</v>
      </c>
      <c r="E103" s="419" t="s">
        <v>777</v>
      </c>
      <c r="F103" s="419" t="s">
        <v>758</v>
      </c>
      <c r="G103" s="423"/>
      <c r="H103" s="419" t="s">
        <v>778</v>
      </c>
      <c r="I103" s="419" t="s">
        <v>887</v>
      </c>
      <c r="J103" s="420">
        <v>1493</v>
      </c>
      <c r="K103" s="421"/>
      <c r="L103" s="424">
        <f>L102+Table16[[#This Row],[المدين (إيداع)]]-Table16[[#This Row],[الدائن (السحب)]]</f>
        <v>62558.169999999925</v>
      </c>
    </row>
    <row r="104" spans="1:12" ht="23.25" hidden="1">
      <c r="A104" s="412">
        <f>SUBTOTAL(3,$E$8:E104)</f>
        <v>0</v>
      </c>
      <c r="B104" s="394">
        <v>42796</v>
      </c>
      <c r="C104" s="419" t="s">
        <v>744</v>
      </c>
      <c r="D104" s="417" t="s">
        <v>895</v>
      </c>
      <c r="E104" s="419" t="s">
        <v>746</v>
      </c>
      <c r="F104" s="419" t="s">
        <v>746</v>
      </c>
      <c r="G104" s="423"/>
      <c r="H104" s="419" t="s">
        <v>747</v>
      </c>
      <c r="I104" s="419" t="s">
        <v>811</v>
      </c>
      <c r="J104" s="420">
        <v>45912</v>
      </c>
      <c r="K104" s="421"/>
      <c r="L104" s="424">
        <f>L103+Table16[[#This Row],[المدين (إيداع)]]-Table16[[#This Row],[الدائن (السحب)]]</f>
        <v>108470.16999999993</v>
      </c>
    </row>
    <row r="105" spans="1:12" ht="23.25" hidden="1">
      <c r="A105" s="412">
        <f>SUBTOTAL(3,$E$8:E105)</f>
        <v>0</v>
      </c>
      <c r="B105" s="394">
        <v>42797</v>
      </c>
      <c r="C105" s="419" t="s">
        <v>744</v>
      </c>
      <c r="D105" s="417" t="s">
        <v>895</v>
      </c>
      <c r="E105" s="419" t="s">
        <v>762</v>
      </c>
      <c r="F105" s="419" t="s">
        <v>763</v>
      </c>
      <c r="G105" s="423">
        <v>2260</v>
      </c>
      <c r="H105" s="419" t="s">
        <v>747</v>
      </c>
      <c r="I105" s="419" t="s">
        <v>811</v>
      </c>
      <c r="J105" s="420">
        <v>1000</v>
      </c>
      <c r="K105" s="421"/>
      <c r="L105" s="424">
        <f>L104+Table16[[#This Row],[المدين (إيداع)]]-Table16[[#This Row],[الدائن (السحب)]]</f>
        <v>109470.16999999993</v>
      </c>
    </row>
    <row r="106" spans="1:12" ht="23.25" hidden="1">
      <c r="A106" s="412">
        <f>SUBTOTAL(3,$E$8:E106)</f>
        <v>0</v>
      </c>
      <c r="B106" s="394">
        <v>42797</v>
      </c>
      <c r="C106" s="419" t="s">
        <v>744</v>
      </c>
      <c r="D106" s="417" t="s">
        <v>895</v>
      </c>
      <c r="E106" s="419" t="s">
        <v>762</v>
      </c>
      <c r="F106" s="419" t="s">
        <v>763</v>
      </c>
      <c r="G106" s="423">
        <v>1098</v>
      </c>
      <c r="H106" s="419" t="s">
        <v>747</v>
      </c>
      <c r="I106" s="419" t="s">
        <v>811</v>
      </c>
      <c r="J106" s="420">
        <v>1500</v>
      </c>
      <c r="K106" s="421"/>
      <c r="L106" s="424">
        <f>L105+Table16[[#This Row],[المدين (إيداع)]]-Table16[[#This Row],[الدائن (السحب)]]</f>
        <v>110970.16999999993</v>
      </c>
    </row>
    <row r="107" spans="1:12" ht="23.25" hidden="1">
      <c r="A107" s="412">
        <f>SUBTOTAL(3,$E$8:E107)</f>
        <v>0</v>
      </c>
      <c r="B107" s="394">
        <v>42797</v>
      </c>
      <c r="C107" s="419" t="s">
        <v>744</v>
      </c>
      <c r="D107" s="417" t="s">
        <v>895</v>
      </c>
      <c r="E107" s="419" t="s">
        <v>762</v>
      </c>
      <c r="F107" s="419" t="s">
        <v>763</v>
      </c>
      <c r="G107" s="423">
        <v>1286</v>
      </c>
      <c r="H107" s="419" t="s">
        <v>747</v>
      </c>
      <c r="I107" s="419" t="s">
        <v>811</v>
      </c>
      <c r="J107" s="420">
        <v>3300</v>
      </c>
      <c r="K107" s="421"/>
      <c r="L107" s="424">
        <f>L106+Table16[[#This Row],[المدين (إيداع)]]-Table16[[#This Row],[الدائن (السحب)]]</f>
        <v>114270.16999999993</v>
      </c>
    </row>
    <row r="108" spans="1:12" ht="23.25" hidden="1">
      <c r="A108" s="412">
        <f>SUBTOTAL(3,$E$8:E108)</f>
        <v>0</v>
      </c>
      <c r="B108" s="394">
        <v>42797</v>
      </c>
      <c r="C108" s="419" t="s">
        <v>744</v>
      </c>
      <c r="D108" s="417" t="s">
        <v>895</v>
      </c>
      <c r="E108" s="419" t="s">
        <v>762</v>
      </c>
      <c r="F108" s="419" t="s">
        <v>763</v>
      </c>
      <c r="G108" s="423">
        <v>2217</v>
      </c>
      <c r="H108" s="419" t="s">
        <v>747</v>
      </c>
      <c r="I108" s="419" t="s">
        <v>811</v>
      </c>
      <c r="J108" s="420">
        <v>3000</v>
      </c>
      <c r="K108" s="421"/>
      <c r="L108" s="424">
        <f>L107+Table16[[#This Row],[المدين (إيداع)]]-Table16[[#This Row],[الدائن (السحب)]]</f>
        <v>117270.16999999993</v>
      </c>
    </row>
    <row r="109" spans="1:12" ht="23.25" hidden="1">
      <c r="A109" s="412">
        <f>SUBTOTAL(3,$E$8:E109)</f>
        <v>0</v>
      </c>
      <c r="B109" s="394">
        <v>42797</v>
      </c>
      <c r="C109" s="419" t="s">
        <v>744</v>
      </c>
      <c r="D109" s="417" t="s">
        <v>895</v>
      </c>
      <c r="E109" s="419" t="s">
        <v>762</v>
      </c>
      <c r="F109" s="419" t="s">
        <v>763</v>
      </c>
      <c r="G109" s="423">
        <v>6274</v>
      </c>
      <c r="H109" s="419" t="s">
        <v>747</v>
      </c>
      <c r="I109" s="419" t="s">
        <v>811</v>
      </c>
      <c r="J109" s="420">
        <v>2100</v>
      </c>
      <c r="K109" s="421"/>
      <c r="L109" s="424">
        <f>L108+Table16[[#This Row],[المدين (إيداع)]]-Table16[[#This Row],[الدائن (السحب)]]</f>
        <v>119370.16999999993</v>
      </c>
    </row>
    <row r="110" spans="1:12" ht="23.25" hidden="1">
      <c r="A110" s="412">
        <f>SUBTOTAL(3,$E$8:E110)</f>
        <v>0</v>
      </c>
      <c r="B110" s="394">
        <v>42797</v>
      </c>
      <c r="C110" s="419" t="s">
        <v>744</v>
      </c>
      <c r="D110" s="417" t="s">
        <v>895</v>
      </c>
      <c r="E110" s="419" t="s">
        <v>762</v>
      </c>
      <c r="F110" s="419" t="s">
        <v>763</v>
      </c>
      <c r="G110" s="423">
        <v>27081</v>
      </c>
      <c r="H110" s="419" t="s">
        <v>747</v>
      </c>
      <c r="I110" s="419" t="s">
        <v>811</v>
      </c>
      <c r="J110" s="420">
        <v>750</v>
      </c>
      <c r="K110" s="421"/>
      <c r="L110" s="424">
        <f>L109+Table16[[#This Row],[المدين (إيداع)]]-Table16[[#This Row],[الدائن (السحب)]]</f>
        <v>120120.16999999993</v>
      </c>
    </row>
    <row r="111" spans="1:12" ht="23.25" hidden="1">
      <c r="A111" s="412">
        <f>SUBTOTAL(3,$E$8:E111)</f>
        <v>0</v>
      </c>
      <c r="B111" s="394">
        <v>42800</v>
      </c>
      <c r="C111" s="419" t="s">
        <v>744</v>
      </c>
      <c r="D111" s="417" t="s">
        <v>858</v>
      </c>
      <c r="E111" s="419" t="s">
        <v>769</v>
      </c>
      <c r="F111" s="419" t="s">
        <v>758</v>
      </c>
      <c r="G111" s="423"/>
      <c r="H111" s="419" t="s">
        <v>896</v>
      </c>
      <c r="I111" s="419" t="s">
        <v>859</v>
      </c>
      <c r="J111" s="420">
        <v>3200</v>
      </c>
      <c r="K111" s="421"/>
      <c r="L111" s="424">
        <f>L110+Table16[[#This Row],[المدين (إيداع)]]-Table16[[#This Row],[الدائن (السحب)]]</f>
        <v>123320.16999999993</v>
      </c>
    </row>
    <row r="112" spans="1:12" ht="23.25" hidden="1">
      <c r="A112" s="412">
        <f>SUBTOTAL(3,$E$8:E112)</f>
        <v>0</v>
      </c>
      <c r="B112" s="394">
        <v>42800</v>
      </c>
      <c r="C112" s="419" t="s">
        <v>744</v>
      </c>
      <c r="D112" s="417" t="s">
        <v>897</v>
      </c>
      <c r="E112" s="419" t="s">
        <v>769</v>
      </c>
      <c r="F112" s="419" t="s">
        <v>758</v>
      </c>
      <c r="G112" s="423"/>
      <c r="H112" s="419"/>
      <c r="I112" s="419" t="s">
        <v>771</v>
      </c>
      <c r="J112" s="420">
        <v>350</v>
      </c>
      <c r="K112" s="421"/>
      <c r="L112" s="424">
        <f>L111+Table16[[#This Row],[المدين (إيداع)]]-Table16[[#This Row],[الدائن (السحب)]]</f>
        <v>123670.16999999993</v>
      </c>
    </row>
    <row r="113" spans="1:12" ht="23.25" hidden="1">
      <c r="A113" s="412">
        <f>SUBTOTAL(3,$E$8:E113)</f>
        <v>0</v>
      </c>
      <c r="B113" s="394">
        <v>42801</v>
      </c>
      <c r="C113" s="419" t="s">
        <v>744</v>
      </c>
      <c r="D113" s="417" t="s">
        <v>833</v>
      </c>
      <c r="E113" s="419" t="s">
        <v>823</v>
      </c>
      <c r="F113" s="419" t="s">
        <v>758</v>
      </c>
      <c r="G113" s="423" t="s">
        <v>898</v>
      </c>
      <c r="H113" s="419" t="s">
        <v>825</v>
      </c>
      <c r="I113" s="419" t="s">
        <v>761</v>
      </c>
      <c r="J113" s="420">
        <v>800</v>
      </c>
      <c r="K113" s="421"/>
      <c r="L113" s="424">
        <f>L112+Table16[[#This Row],[المدين (إيداع)]]-Table16[[#This Row],[الدائن (السحب)]]</f>
        <v>124470.16999999993</v>
      </c>
    </row>
    <row r="114" spans="1:12" ht="23.25" hidden="1">
      <c r="A114" s="412">
        <f>SUBTOTAL(3,$E$8:E114)</f>
        <v>0</v>
      </c>
      <c r="B114" s="394">
        <v>42801</v>
      </c>
      <c r="C114" s="419" t="s">
        <v>744</v>
      </c>
      <c r="D114" s="417" t="s">
        <v>897</v>
      </c>
      <c r="E114" s="419" t="s">
        <v>769</v>
      </c>
      <c r="F114" s="419" t="s">
        <v>758</v>
      </c>
      <c r="G114" s="423"/>
      <c r="H114" s="419" t="s">
        <v>899</v>
      </c>
      <c r="I114" s="419" t="s">
        <v>771</v>
      </c>
      <c r="J114" s="420">
        <v>600</v>
      </c>
      <c r="K114" s="421"/>
      <c r="L114" s="424">
        <f>L113+Table16[[#This Row],[المدين (إيداع)]]-Table16[[#This Row],[الدائن (السحب)]]</f>
        <v>125070.16999999993</v>
      </c>
    </row>
    <row r="115" spans="1:12" ht="23.25" hidden="1">
      <c r="A115" s="412">
        <f>SUBTOTAL(3,$E$8:E115)</f>
        <v>0</v>
      </c>
      <c r="B115" s="394">
        <v>42803</v>
      </c>
      <c r="C115" s="419" t="s">
        <v>744</v>
      </c>
      <c r="D115" s="417" t="s">
        <v>900</v>
      </c>
      <c r="E115" s="419" t="s">
        <v>769</v>
      </c>
      <c r="F115" s="419" t="s">
        <v>758</v>
      </c>
      <c r="G115" s="423"/>
      <c r="H115" s="419" t="s">
        <v>747</v>
      </c>
      <c r="I115" s="419" t="s">
        <v>811</v>
      </c>
      <c r="J115" s="420">
        <v>3000</v>
      </c>
      <c r="K115" s="421"/>
      <c r="L115" s="424">
        <f>L114+Table16[[#This Row],[المدين (إيداع)]]-Table16[[#This Row],[الدائن (السحب)]]</f>
        <v>128070.16999999993</v>
      </c>
    </row>
    <row r="116" spans="1:12" ht="23.25" hidden="1">
      <c r="A116" s="412">
        <f>SUBTOTAL(3,$E$8:E116)</f>
        <v>0</v>
      </c>
      <c r="B116" s="394">
        <v>42803</v>
      </c>
      <c r="C116" s="419" t="s">
        <v>744</v>
      </c>
      <c r="D116" s="417" t="s">
        <v>833</v>
      </c>
      <c r="E116" s="419" t="s">
        <v>901</v>
      </c>
      <c r="F116" s="419" t="s">
        <v>758</v>
      </c>
      <c r="G116" s="423" t="s">
        <v>902</v>
      </c>
      <c r="H116" s="419" t="s">
        <v>903</v>
      </c>
      <c r="I116" s="419" t="s">
        <v>761</v>
      </c>
      <c r="J116" s="420">
        <v>900</v>
      </c>
      <c r="K116" s="421"/>
      <c r="L116" s="424">
        <f>L115+Table16[[#This Row],[المدين (إيداع)]]-Table16[[#This Row],[الدائن (السحب)]]</f>
        <v>128970.16999999993</v>
      </c>
    </row>
    <row r="117" spans="1:12" ht="23.25" hidden="1">
      <c r="A117" s="412">
        <f>SUBTOTAL(3,$E$8:E117)</f>
        <v>0</v>
      </c>
      <c r="B117" s="394">
        <v>42806</v>
      </c>
      <c r="C117" s="419" t="s">
        <v>744</v>
      </c>
      <c r="D117" s="417" t="s">
        <v>599</v>
      </c>
      <c r="E117" s="419" t="s">
        <v>904</v>
      </c>
      <c r="F117" s="419" t="s">
        <v>773</v>
      </c>
      <c r="G117" s="423">
        <v>276</v>
      </c>
      <c r="H117" s="419" t="s">
        <v>893</v>
      </c>
      <c r="I117" s="419" t="s">
        <v>894</v>
      </c>
      <c r="J117" s="420"/>
      <c r="K117" s="421">
        <v>122000</v>
      </c>
      <c r="L117" s="424">
        <f>L116+Table16[[#This Row],[المدين (إيداع)]]-Table16[[#This Row],[الدائن (السحب)]]</f>
        <v>6970.1699999999255</v>
      </c>
    </row>
    <row r="118" spans="1:12" ht="23.25" hidden="1">
      <c r="A118" s="412">
        <f>SUBTOTAL(3,$E$8:E118)</f>
        <v>0</v>
      </c>
      <c r="B118" s="394">
        <v>42806</v>
      </c>
      <c r="C118" s="419" t="s">
        <v>744</v>
      </c>
      <c r="D118" s="417" t="s">
        <v>833</v>
      </c>
      <c r="E118" s="419" t="s">
        <v>905</v>
      </c>
      <c r="F118" s="419" t="s">
        <v>758</v>
      </c>
      <c r="G118" s="423" t="s">
        <v>906</v>
      </c>
      <c r="H118" s="419" t="s">
        <v>907</v>
      </c>
      <c r="I118" s="419" t="s">
        <v>761</v>
      </c>
      <c r="J118" s="420">
        <v>1350</v>
      </c>
      <c r="K118" s="421"/>
      <c r="L118" s="424">
        <f>L117+Table16[[#This Row],[المدين (إيداع)]]-Table16[[#This Row],[الدائن (السحب)]]</f>
        <v>8320.1699999999255</v>
      </c>
    </row>
    <row r="119" spans="1:12" ht="23.25" hidden="1">
      <c r="A119" s="412">
        <f>SUBTOTAL(3,$E$8:E119)</f>
        <v>0</v>
      </c>
      <c r="B119" s="394">
        <v>42806</v>
      </c>
      <c r="C119" s="419" t="s">
        <v>744</v>
      </c>
      <c r="D119" s="417" t="s">
        <v>908</v>
      </c>
      <c r="E119" s="419" t="s">
        <v>909</v>
      </c>
      <c r="F119" s="419" t="s">
        <v>758</v>
      </c>
      <c r="G119" s="423"/>
      <c r="H119" s="419" t="s">
        <v>910</v>
      </c>
      <c r="I119" s="419" t="s">
        <v>771</v>
      </c>
      <c r="J119" s="420">
        <v>900</v>
      </c>
      <c r="K119" s="421"/>
      <c r="L119" s="424">
        <f>L118+Table16[[#This Row],[المدين (إيداع)]]-Table16[[#This Row],[الدائن (السحب)]]</f>
        <v>9220.1699999999255</v>
      </c>
    </row>
    <row r="120" spans="1:12" ht="23.25" hidden="1">
      <c r="A120" s="412">
        <f>SUBTOTAL(3,$E$8:E120)</f>
        <v>0</v>
      </c>
      <c r="B120" s="394">
        <v>42807</v>
      </c>
      <c r="C120" s="419" t="s">
        <v>744</v>
      </c>
      <c r="D120" s="417" t="s">
        <v>911</v>
      </c>
      <c r="E120" s="419" t="s">
        <v>912</v>
      </c>
      <c r="F120" s="419" t="s">
        <v>773</v>
      </c>
      <c r="G120" s="423">
        <v>277</v>
      </c>
      <c r="H120" s="419" t="s">
        <v>913</v>
      </c>
      <c r="I120" s="419" t="s">
        <v>914</v>
      </c>
      <c r="J120" s="420"/>
      <c r="K120" s="421">
        <v>72667</v>
      </c>
      <c r="L120" s="424">
        <f>L119+Table16[[#This Row],[المدين (إيداع)]]-Table16[[#This Row],[الدائن (السحب)]]</f>
        <v>-63446.830000000075</v>
      </c>
    </row>
    <row r="121" spans="1:12" ht="23.25" hidden="1">
      <c r="A121" s="412">
        <f>SUBTOTAL(3,$E$8:E121)</f>
        <v>0</v>
      </c>
      <c r="B121" s="394">
        <v>42807</v>
      </c>
      <c r="C121" s="419" t="s">
        <v>744</v>
      </c>
      <c r="D121" s="417" t="s">
        <v>915</v>
      </c>
      <c r="E121" s="419" t="s">
        <v>795</v>
      </c>
      <c r="F121" s="419" t="s">
        <v>758</v>
      </c>
      <c r="G121" s="423"/>
      <c r="H121" s="419" t="s">
        <v>796</v>
      </c>
      <c r="I121" s="419" t="s">
        <v>797</v>
      </c>
      <c r="J121" s="420">
        <v>100150</v>
      </c>
      <c r="K121" s="421"/>
      <c r="L121" s="424">
        <f>L120+Table16[[#This Row],[المدين (إيداع)]]-Table16[[#This Row],[الدائن (السحب)]]</f>
        <v>36703.169999999925</v>
      </c>
    </row>
    <row r="122" spans="1:12" ht="23.25" hidden="1">
      <c r="A122" s="412">
        <f>SUBTOTAL(3,$E$8:E122)</f>
        <v>0</v>
      </c>
      <c r="B122" s="394">
        <v>42807</v>
      </c>
      <c r="C122" s="419" t="s">
        <v>744</v>
      </c>
      <c r="D122" s="417" t="s">
        <v>885</v>
      </c>
      <c r="E122" s="419" t="s">
        <v>777</v>
      </c>
      <c r="F122" s="419" t="s">
        <v>758</v>
      </c>
      <c r="G122" s="423"/>
      <c r="H122" s="419" t="s">
        <v>778</v>
      </c>
      <c r="I122" s="419" t="s">
        <v>887</v>
      </c>
      <c r="J122" s="420">
        <v>2800</v>
      </c>
      <c r="K122" s="421"/>
      <c r="L122" s="424">
        <f>L121+Table16[[#This Row],[المدين (إيداع)]]-Table16[[#This Row],[الدائن (السحب)]]</f>
        <v>39503.169999999925</v>
      </c>
    </row>
    <row r="123" spans="1:12" ht="23.25" hidden="1">
      <c r="A123" s="412">
        <f>SUBTOTAL(3,$E$8:E123)</f>
        <v>0</v>
      </c>
      <c r="B123" s="394">
        <v>42808</v>
      </c>
      <c r="C123" s="419" t="s">
        <v>744</v>
      </c>
      <c r="D123" s="417" t="s">
        <v>502</v>
      </c>
      <c r="E123" s="419" t="s">
        <v>916</v>
      </c>
      <c r="F123" s="419" t="s">
        <v>746</v>
      </c>
      <c r="G123" s="423"/>
      <c r="H123" s="419" t="s">
        <v>917</v>
      </c>
      <c r="I123" s="419" t="s">
        <v>918</v>
      </c>
      <c r="J123" s="420">
        <v>45500</v>
      </c>
      <c r="K123" s="421"/>
      <c r="L123" s="424">
        <f>L122+Table16[[#This Row],[المدين (إيداع)]]-Table16[[#This Row],[الدائن (السحب)]]</f>
        <v>85003.169999999925</v>
      </c>
    </row>
    <row r="124" spans="1:12" ht="23.25" hidden="1">
      <c r="A124" s="412">
        <f>SUBTOTAL(3,$E$8:E124)</f>
        <v>0</v>
      </c>
      <c r="B124" s="394">
        <v>42808</v>
      </c>
      <c r="C124" s="419" t="s">
        <v>744</v>
      </c>
      <c r="D124" s="417" t="s">
        <v>919</v>
      </c>
      <c r="E124" s="419" t="s">
        <v>793</v>
      </c>
      <c r="F124" s="419" t="s">
        <v>791</v>
      </c>
      <c r="G124" s="423"/>
      <c r="H124" s="419" t="s">
        <v>920</v>
      </c>
      <c r="I124" s="419" t="s">
        <v>793</v>
      </c>
      <c r="J124" s="420"/>
      <c r="K124" s="421">
        <v>13298</v>
      </c>
      <c r="L124" s="424">
        <f>L123+Table16[[#This Row],[المدين (إيداع)]]-Table16[[#This Row],[الدائن (السحب)]]</f>
        <v>71705.169999999925</v>
      </c>
    </row>
    <row r="125" spans="1:12" ht="23.25" hidden="1">
      <c r="A125" s="412">
        <f>SUBTOTAL(3,$E$8:E125)</f>
        <v>0</v>
      </c>
      <c r="B125" s="394">
        <v>42808</v>
      </c>
      <c r="C125" s="419" t="s">
        <v>744</v>
      </c>
      <c r="D125" s="417" t="s">
        <v>752</v>
      </c>
      <c r="E125" s="419" t="s">
        <v>753</v>
      </c>
      <c r="F125" s="419" t="s">
        <v>754</v>
      </c>
      <c r="G125" s="423"/>
      <c r="H125" s="419" t="s">
        <v>755</v>
      </c>
      <c r="I125" s="419" t="s">
        <v>754</v>
      </c>
      <c r="J125" s="420"/>
      <c r="K125" s="421">
        <v>25</v>
      </c>
      <c r="L125" s="424">
        <f>L124+Table16[[#This Row],[المدين (إيداع)]]-Table16[[#This Row],[الدائن (السحب)]]</f>
        <v>71680.169999999925</v>
      </c>
    </row>
    <row r="126" spans="1:12" ht="23.25" hidden="1">
      <c r="A126" s="412">
        <f>SUBTOTAL(3,$E$8:E126)</f>
        <v>0</v>
      </c>
      <c r="B126" s="394">
        <v>42809</v>
      </c>
      <c r="C126" s="419" t="s">
        <v>744</v>
      </c>
      <c r="D126" s="417" t="s">
        <v>519</v>
      </c>
      <c r="E126" s="419" t="s">
        <v>921</v>
      </c>
      <c r="F126" s="419" t="s">
        <v>746</v>
      </c>
      <c r="G126" s="423"/>
      <c r="H126" s="419" t="s">
        <v>922</v>
      </c>
      <c r="I126" s="419" t="s">
        <v>820</v>
      </c>
      <c r="J126" s="420">
        <v>30000</v>
      </c>
      <c r="K126" s="421"/>
      <c r="L126" s="424">
        <f>L125+Table16[[#This Row],[المدين (إيداع)]]-Table16[[#This Row],[الدائن (السحب)]]</f>
        <v>101680.16999999993</v>
      </c>
    </row>
    <row r="127" spans="1:12" ht="23.25" hidden="1">
      <c r="A127" s="412">
        <f>SUBTOTAL(3,$E$8:E127)</f>
        <v>0</v>
      </c>
      <c r="B127" s="394">
        <v>42809</v>
      </c>
      <c r="C127" s="419" t="s">
        <v>744</v>
      </c>
      <c r="D127" s="417" t="s">
        <v>923</v>
      </c>
      <c r="E127" s="419" t="s">
        <v>924</v>
      </c>
      <c r="F127" s="419" t="s">
        <v>758</v>
      </c>
      <c r="G127" s="423"/>
      <c r="H127" s="419" t="s">
        <v>925</v>
      </c>
      <c r="I127" s="419" t="s">
        <v>771</v>
      </c>
      <c r="J127" s="420">
        <v>700</v>
      </c>
      <c r="K127" s="421"/>
      <c r="L127" s="424">
        <f>L126+Table16[[#This Row],[المدين (إيداع)]]-Table16[[#This Row],[الدائن (السحب)]]</f>
        <v>102380.16999999993</v>
      </c>
    </row>
    <row r="128" spans="1:12" ht="23.25" hidden="1">
      <c r="A128" s="412">
        <f>SUBTOTAL(3,$E$8:E128)</f>
        <v>0</v>
      </c>
      <c r="B128" s="394">
        <v>42810</v>
      </c>
      <c r="C128" s="419" t="s">
        <v>744</v>
      </c>
      <c r="D128" s="417" t="s">
        <v>900</v>
      </c>
      <c r="E128" s="419" t="s">
        <v>926</v>
      </c>
      <c r="F128" s="419" t="s">
        <v>758</v>
      </c>
      <c r="G128" s="423"/>
      <c r="H128" s="419" t="s">
        <v>747</v>
      </c>
      <c r="I128" s="419" t="s">
        <v>811</v>
      </c>
      <c r="J128" s="420">
        <v>20000</v>
      </c>
      <c r="K128" s="421"/>
      <c r="L128" s="424">
        <f>L127+Table16[[#This Row],[المدين (إيداع)]]-Table16[[#This Row],[الدائن (السحب)]]</f>
        <v>122380.16999999993</v>
      </c>
    </row>
    <row r="129" spans="1:12" ht="23.25" hidden="1">
      <c r="A129" s="412">
        <f>SUBTOTAL(3,$E$8:E129)</f>
        <v>0</v>
      </c>
      <c r="B129" s="394">
        <v>42810</v>
      </c>
      <c r="C129" s="419" t="s">
        <v>744</v>
      </c>
      <c r="D129" s="417" t="s">
        <v>900</v>
      </c>
      <c r="E129" s="419" t="s">
        <v>926</v>
      </c>
      <c r="F129" s="419" t="s">
        <v>758</v>
      </c>
      <c r="G129" s="423"/>
      <c r="H129" s="419" t="s">
        <v>747</v>
      </c>
      <c r="I129" s="419" t="s">
        <v>811</v>
      </c>
      <c r="J129" s="420">
        <v>5000</v>
      </c>
      <c r="K129" s="421"/>
      <c r="L129" s="424">
        <f>L128+Table16[[#This Row],[المدين (إيداع)]]-Table16[[#This Row],[الدائن (السحب)]]</f>
        <v>127380.16999999993</v>
      </c>
    </row>
    <row r="130" spans="1:12" ht="23.25" hidden="1">
      <c r="A130" s="412">
        <f>SUBTOTAL(3,$E$8:E130)</f>
        <v>0</v>
      </c>
      <c r="B130" s="394">
        <v>42810</v>
      </c>
      <c r="C130" s="419" t="s">
        <v>744</v>
      </c>
      <c r="D130" s="417" t="s">
        <v>895</v>
      </c>
      <c r="E130" s="419" t="s">
        <v>777</v>
      </c>
      <c r="F130" s="419" t="s">
        <v>758</v>
      </c>
      <c r="G130" s="423"/>
      <c r="H130" s="419" t="s">
        <v>778</v>
      </c>
      <c r="I130" s="419" t="s">
        <v>811</v>
      </c>
      <c r="J130" s="420">
        <v>800</v>
      </c>
      <c r="K130" s="421"/>
      <c r="L130" s="424">
        <f>L129+Table16[[#This Row],[المدين (إيداع)]]-Table16[[#This Row],[الدائن (السحب)]]</f>
        <v>128180.16999999993</v>
      </c>
    </row>
    <row r="131" spans="1:12" ht="23.25" hidden="1">
      <c r="A131" s="412">
        <f>SUBTOTAL(3,$E$8:E131)</f>
        <v>0</v>
      </c>
      <c r="B131" s="394">
        <v>42811</v>
      </c>
      <c r="C131" s="419" t="s">
        <v>744</v>
      </c>
      <c r="D131" s="417" t="s">
        <v>840</v>
      </c>
      <c r="E131" s="419" t="s">
        <v>762</v>
      </c>
      <c r="F131" s="419" t="s">
        <v>763</v>
      </c>
      <c r="G131" s="423">
        <v>279</v>
      </c>
      <c r="H131" s="419" t="s">
        <v>841</v>
      </c>
      <c r="I131" s="419" t="s">
        <v>842</v>
      </c>
      <c r="J131" s="420">
        <v>6720</v>
      </c>
      <c r="K131" s="421"/>
      <c r="L131" s="424">
        <f>L130+Table16[[#This Row],[المدين (إيداع)]]-Table16[[#This Row],[الدائن (السحب)]]</f>
        <v>134900.16999999993</v>
      </c>
    </row>
    <row r="132" spans="1:12" ht="23.25" hidden="1">
      <c r="A132" s="412">
        <f>SUBTOTAL(3,$E$8:E132)</f>
        <v>0</v>
      </c>
      <c r="B132" s="394">
        <v>42811</v>
      </c>
      <c r="C132" s="419" t="s">
        <v>744</v>
      </c>
      <c r="D132" s="417" t="s">
        <v>864</v>
      </c>
      <c r="E132" s="419" t="s">
        <v>927</v>
      </c>
      <c r="F132" s="419" t="s">
        <v>763</v>
      </c>
      <c r="G132" s="423">
        <v>17</v>
      </c>
      <c r="H132" s="419" t="s">
        <v>844</v>
      </c>
      <c r="I132" s="419" t="s">
        <v>761</v>
      </c>
      <c r="J132" s="420">
        <v>3500</v>
      </c>
      <c r="K132" s="421"/>
      <c r="L132" s="424">
        <f>L131+Table16[[#This Row],[المدين (إيداع)]]-Table16[[#This Row],[الدائن (السحب)]]</f>
        <v>138400.16999999993</v>
      </c>
    </row>
    <row r="133" spans="1:12" ht="23.25" hidden="1">
      <c r="A133" s="412">
        <f>SUBTOTAL(3,$E$8:E133)</f>
        <v>0</v>
      </c>
      <c r="B133" s="394">
        <v>42811</v>
      </c>
      <c r="C133" s="419" t="s">
        <v>744</v>
      </c>
      <c r="D133" s="417" t="s">
        <v>833</v>
      </c>
      <c r="E133" s="419" t="s">
        <v>928</v>
      </c>
      <c r="F133" s="419" t="s">
        <v>763</v>
      </c>
      <c r="G133" s="423">
        <v>4810</v>
      </c>
      <c r="H133" s="419" t="s">
        <v>215</v>
      </c>
      <c r="I133" s="419" t="s">
        <v>761</v>
      </c>
      <c r="J133" s="420">
        <v>22050</v>
      </c>
      <c r="K133" s="421"/>
      <c r="L133" s="424">
        <f>L132+Table16[[#This Row],[المدين (إيداع)]]-Table16[[#This Row],[الدائن (السحب)]]</f>
        <v>160450.16999999993</v>
      </c>
    </row>
    <row r="134" spans="1:12" ht="23.25" hidden="1">
      <c r="A134" s="412">
        <f>SUBTOTAL(3,$E$8:E134)</f>
        <v>0</v>
      </c>
      <c r="B134" s="394">
        <v>42811</v>
      </c>
      <c r="C134" s="419" t="s">
        <v>744</v>
      </c>
      <c r="D134" s="417" t="s">
        <v>833</v>
      </c>
      <c r="E134" s="419" t="s">
        <v>929</v>
      </c>
      <c r="F134" s="419" t="s">
        <v>763</v>
      </c>
      <c r="G134" s="423">
        <v>806727</v>
      </c>
      <c r="H134" s="419" t="s">
        <v>930</v>
      </c>
      <c r="I134" s="419" t="s">
        <v>761</v>
      </c>
      <c r="J134" s="420">
        <v>2400</v>
      </c>
      <c r="K134" s="421"/>
      <c r="L134" s="424">
        <f>L133+Table16[[#This Row],[المدين (إيداع)]]-Table16[[#This Row],[الدائن (السحب)]]</f>
        <v>162850.16999999993</v>
      </c>
    </row>
    <row r="135" spans="1:12" ht="23.25" hidden="1">
      <c r="A135" s="412">
        <f>SUBTOTAL(3,$E$8:E135)</f>
        <v>0</v>
      </c>
      <c r="B135" s="394">
        <v>42811</v>
      </c>
      <c r="C135" s="419" t="s">
        <v>744</v>
      </c>
      <c r="D135" s="417" t="s">
        <v>833</v>
      </c>
      <c r="E135" s="419" t="s">
        <v>931</v>
      </c>
      <c r="F135" s="419" t="s">
        <v>763</v>
      </c>
      <c r="G135" s="423">
        <v>66518225</v>
      </c>
      <c r="H135" s="419" t="s">
        <v>766</v>
      </c>
      <c r="I135" s="419" t="s">
        <v>761</v>
      </c>
      <c r="J135" s="420">
        <v>12800</v>
      </c>
      <c r="K135" s="421"/>
      <c r="L135" s="424">
        <f>L134+Table16[[#This Row],[المدين (إيداع)]]-Table16[[#This Row],[الدائن (السحب)]]</f>
        <v>175650.16999999993</v>
      </c>
    </row>
    <row r="136" spans="1:12" ht="23.25" hidden="1">
      <c r="A136" s="412">
        <f>SUBTOTAL(3,$E$8:E136)</f>
        <v>0</v>
      </c>
      <c r="B136" s="394">
        <v>42811</v>
      </c>
      <c r="C136" s="419" t="s">
        <v>744</v>
      </c>
      <c r="D136" s="417" t="s">
        <v>897</v>
      </c>
      <c r="E136" s="419" t="s">
        <v>932</v>
      </c>
      <c r="F136" s="419" t="s">
        <v>758</v>
      </c>
      <c r="G136" s="423"/>
      <c r="H136" s="419" t="s">
        <v>933</v>
      </c>
      <c r="I136" s="419" t="s">
        <v>771</v>
      </c>
      <c r="J136" s="420">
        <v>350</v>
      </c>
      <c r="K136" s="421"/>
      <c r="L136" s="424">
        <f>L135+Table16[[#This Row],[المدين (إيداع)]]-Table16[[#This Row],[الدائن (السحب)]]</f>
        <v>176000.16999999993</v>
      </c>
    </row>
    <row r="137" spans="1:12" ht="23.25" hidden="1">
      <c r="A137" s="412">
        <f>SUBTOTAL(3,$E$8:E137)</f>
        <v>0</v>
      </c>
      <c r="B137" s="394">
        <v>42815</v>
      </c>
      <c r="C137" s="419" t="s">
        <v>744</v>
      </c>
      <c r="D137" s="417" t="s">
        <v>934</v>
      </c>
      <c r="E137" s="419" t="s">
        <v>783</v>
      </c>
      <c r="F137" s="419" t="s">
        <v>758</v>
      </c>
      <c r="G137" s="423" t="s">
        <v>935</v>
      </c>
      <c r="H137" s="419" t="s">
        <v>785</v>
      </c>
      <c r="I137" s="419" t="s">
        <v>761</v>
      </c>
      <c r="J137" s="420">
        <v>3500</v>
      </c>
      <c r="K137" s="421"/>
      <c r="L137" s="424">
        <f>L136+Table16[[#This Row],[المدين (إيداع)]]-Table16[[#This Row],[الدائن (السحب)]]</f>
        <v>179500.16999999993</v>
      </c>
    </row>
    <row r="138" spans="1:12" ht="23.25" hidden="1">
      <c r="A138" s="412">
        <f>SUBTOTAL(3,$E$8:E138)</f>
        <v>0</v>
      </c>
      <c r="B138" s="394">
        <v>42816</v>
      </c>
      <c r="C138" s="419" t="s">
        <v>744</v>
      </c>
      <c r="D138" s="417" t="s">
        <v>923</v>
      </c>
      <c r="E138" s="419" t="s">
        <v>758</v>
      </c>
      <c r="F138" s="419" t="s">
        <v>758</v>
      </c>
      <c r="G138" s="423"/>
      <c r="H138" s="419"/>
      <c r="I138" s="419" t="s">
        <v>771</v>
      </c>
      <c r="J138" s="420">
        <v>600</v>
      </c>
      <c r="K138" s="421"/>
      <c r="L138" s="424">
        <f>L137+Table16[[#This Row],[المدين (إيداع)]]-Table16[[#This Row],[الدائن (السحب)]]</f>
        <v>180100.16999999993</v>
      </c>
    </row>
    <row r="139" spans="1:12" ht="23.25" hidden="1">
      <c r="A139" s="412">
        <f>SUBTOTAL(3,$E$8:E139)</f>
        <v>0</v>
      </c>
      <c r="B139" s="394">
        <v>42816</v>
      </c>
      <c r="C139" s="419" t="s">
        <v>744</v>
      </c>
      <c r="D139" s="417" t="s">
        <v>934</v>
      </c>
      <c r="E139" s="419" t="s">
        <v>783</v>
      </c>
      <c r="F139" s="419" t="s">
        <v>758</v>
      </c>
      <c r="G139" s="423" t="s">
        <v>936</v>
      </c>
      <c r="H139" s="419" t="s">
        <v>785</v>
      </c>
      <c r="I139" s="419" t="s">
        <v>761</v>
      </c>
      <c r="J139" s="420">
        <v>3500</v>
      </c>
      <c r="K139" s="421"/>
      <c r="L139" s="424">
        <f>L138+Table16[[#This Row],[المدين (إيداع)]]-Table16[[#This Row],[الدائن (السحب)]]</f>
        <v>183600.16999999993</v>
      </c>
    </row>
    <row r="140" spans="1:12" ht="23.25" hidden="1">
      <c r="A140" s="412">
        <f>SUBTOTAL(3,$E$8:E140)</f>
        <v>0</v>
      </c>
      <c r="B140" s="394">
        <v>42820</v>
      </c>
      <c r="C140" s="419" t="s">
        <v>744</v>
      </c>
      <c r="D140" s="417" t="s">
        <v>915</v>
      </c>
      <c r="E140" s="419" t="s">
        <v>795</v>
      </c>
      <c r="F140" s="419" t="s">
        <v>758</v>
      </c>
      <c r="G140" s="423"/>
      <c r="H140" s="419" t="s">
        <v>796</v>
      </c>
      <c r="I140" s="419" t="s">
        <v>797</v>
      </c>
      <c r="J140" s="420">
        <v>5200</v>
      </c>
      <c r="K140" s="421"/>
      <c r="L140" s="424">
        <f>L139+Table16[[#This Row],[المدين (إيداع)]]-Table16[[#This Row],[الدائن (السحب)]]</f>
        <v>188800.16999999993</v>
      </c>
    </row>
    <row r="141" spans="1:12" ht="23.25" hidden="1">
      <c r="A141" s="412">
        <f>SUBTOTAL(3,$E$8:E141)</f>
        <v>0</v>
      </c>
      <c r="B141" s="394">
        <v>42821</v>
      </c>
      <c r="C141" s="419" t="s">
        <v>744</v>
      </c>
      <c r="D141" s="417" t="s">
        <v>908</v>
      </c>
      <c r="E141" s="419" t="s">
        <v>758</v>
      </c>
      <c r="F141" s="419" t="s">
        <v>758</v>
      </c>
      <c r="G141" s="423"/>
      <c r="H141" s="419" t="s">
        <v>937</v>
      </c>
      <c r="I141" s="419" t="s">
        <v>771</v>
      </c>
      <c r="J141" s="420">
        <v>400</v>
      </c>
      <c r="K141" s="421"/>
      <c r="L141" s="424">
        <f>L140+Table16[[#This Row],[المدين (إيداع)]]-Table16[[#This Row],[الدائن (السحب)]]</f>
        <v>189200.16999999993</v>
      </c>
    </row>
    <row r="142" spans="1:12" ht="23.25" hidden="1">
      <c r="A142" s="412">
        <f>SUBTOTAL(3,$E$8:E142)</f>
        <v>0</v>
      </c>
      <c r="B142" s="394">
        <v>42822</v>
      </c>
      <c r="C142" s="419" t="s">
        <v>744</v>
      </c>
      <c r="D142" s="417" t="s">
        <v>938</v>
      </c>
      <c r="E142" s="419" t="s">
        <v>879</v>
      </c>
      <c r="F142" s="419" t="s">
        <v>758</v>
      </c>
      <c r="G142" s="423"/>
      <c r="H142" s="419" t="s">
        <v>939</v>
      </c>
      <c r="I142" s="419" t="s">
        <v>851</v>
      </c>
      <c r="J142" s="425">
        <v>20000</v>
      </c>
      <c r="K142" s="421"/>
      <c r="L142" s="424">
        <f>L141+Table16[[#This Row],[المدين (إيداع)]]-Table16[[#This Row],[الدائن (السحب)]]</f>
        <v>209200.16999999993</v>
      </c>
    </row>
    <row r="143" spans="1:12" ht="23.25" hidden="1">
      <c r="A143" s="412">
        <f>SUBTOTAL(3,$E$8:E143)</f>
        <v>0</v>
      </c>
      <c r="B143" s="394">
        <v>42822</v>
      </c>
      <c r="C143" s="419" t="s">
        <v>744</v>
      </c>
      <c r="D143" s="417" t="s">
        <v>908</v>
      </c>
      <c r="E143" s="419" t="s">
        <v>758</v>
      </c>
      <c r="F143" s="419" t="s">
        <v>758</v>
      </c>
      <c r="G143" s="423"/>
      <c r="H143" s="419" t="s">
        <v>940</v>
      </c>
      <c r="I143" s="419" t="s">
        <v>771</v>
      </c>
      <c r="J143" s="420">
        <v>350</v>
      </c>
      <c r="K143" s="421"/>
      <c r="L143" s="424">
        <f>L142+Table16[[#This Row],[المدين (إيداع)]]-Table16[[#This Row],[الدائن (السحب)]]</f>
        <v>209550.16999999993</v>
      </c>
    </row>
    <row r="144" spans="1:12" ht="23.25" hidden="1">
      <c r="A144" s="412">
        <f>SUBTOTAL(3,$E$8:E144)</f>
        <v>0</v>
      </c>
      <c r="B144" s="394">
        <v>42822</v>
      </c>
      <c r="C144" s="419" t="s">
        <v>744</v>
      </c>
      <c r="D144" s="417" t="s">
        <v>908</v>
      </c>
      <c r="E144" s="419" t="s">
        <v>758</v>
      </c>
      <c r="F144" s="419" t="s">
        <v>758</v>
      </c>
      <c r="G144" s="423"/>
      <c r="H144" s="419" t="s">
        <v>941</v>
      </c>
      <c r="I144" s="419" t="s">
        <v>771</v>
      </c>
      <c r="J144" s="420">
        <v>300</v>
      </c>
      <c r="K144" s="421"/>
      <c r="L144" s="424">
        <f>L143+Table16[[#This Row],[المدين (إيداع)]]-Table16[[#This Row],[الدائن (السحب)]]</f>
        <v>209850.16999999993</v>
      </c>
    </row>
    <row r="145" spans="1:12" ht="23.25" hidden="1">
      <c r="A145" s="412">
        <f>SUBTOTAL(3,$E$8:E145)</f>
        <v>0</v>
      </c>
      <c r="B145" s="394">
        <v>42822</v>
      </c>
      <c r="C145" s="419" t="s">
        <v>744</v>
      </c>
      <c r="D145" s="417" t="s">
        <v>923</v>
      </c>
      <c r="E145" s="419" t="s">
        <v>758</v>
      </c>
      <c r="F145" s="419" t="s">
        <v>758</v>
      </c>
      <c r="G145" s="423"/>
      <c r="H145" s="419" t="s">
        <v>942</v>
      </c>
      <c r="I145" s="419" t="s">
        <v>771</v>
      </c>
      <c r="J145" s="420">
        <v>300</v>
      </c>
      <c r="K145" s="421"/>
      <c r="L145" s="424">
        <f>L144+Table16[[#This Row],[المدين (إيداع)]]-Table16[[#This Row],[الدائن (السحب)]]</f>
        <v>210150.16999999993</v>
      </c>
    </row>
    <row r="146" spans="1:12" ht="23.25" hidden="1">
      <c r="A146" s="412">
        <f>SUBTOTAL(3,$E$8:E146)</f>
        <v>0</v>
      </c>
      <c r="B146" s="394">
        <v>42823</v>
      </c>
      <c r="C146" s="419" t="s">
        <v>744</v>
      </c>
      <c r="D146" s="417" t="s">
        <v>938</v>
      </c>
      <c r="E146" s="419" t="s">
        <v>879</v>
      </c>
      <c r="F146" s="419" t="s">
        <v>758</v>
      </c>
      <c r="G146" s="423"/>
      <c r="H146" s="419" t="s">
        <v>939</v>
      </c>
      <c r="I146" s="419" t="s">
        <v>851</v>
      </c>
      <c r="J146" s="425">
        <v>20000</v>
      </c>
      <c r="K146" s="421"/>
      <c r="L146" s="424">
        <f>L145+Table16[[#This Row],[المدين (إيداع)]]-Table16[[#This Row],[الدائن (السحب)]]</f>
        <v>230150.16999999993</v>
      </c>
    </row>
    <row r="147" spans="1:12" ht="23.25" hidden="1">
      <c r="A147" s="412">
        <f>SUBTOTAL(3,$E$8:E147)</f>
        <v>0</v>
      </c>
      <c r="B147" s="394">
        <v>42823</v>
      </c>
      <c r="C147" s="419" t="s">
        <v>744</v>
      </c>
      <c r="D147" s="417" t="s">
        <v>908</v>
      </c>
      <c r="E147" s="419" t="s">
        <v>758</v>
      </c>
      <c r="F147" s="419" t="s">
        <v>758</v>
      </c>
      <c r="G147" s="423"/>
      <c r="H147" s="419" t="s">
        <v>943</v>
      </c>
      <c r="I147" s="419" t="s">
        <v>771</v>
      </c>
      <c r="J147" s="420">
        <v>855</v>
      </c>
      <c r="K147" s="421"/>
      <c r="L147" s="424">
        <f>L146+Table16[[#This Row],[المدين (إيداع)]]-Table16[[#This Row],[الدائن (السحب)]]</f>
        <v>231005.16999999993</v>
      </c>
    </row>
    <row r="148" spans="1:12" ht="23.25" hidden="1">
      <c r="A148" s="412">
        <f>SUBTOTAL(3,$E$8:E148)</f>
        <v>0</v>
      </c>
      <c r="B148" s="394">
        <v>42824</v>
      </c>
      <c r="C148" s="419" t="s">
        <v>744</v>
      </c>
      <c r="D148" s="417" t="s">
        <v>938</v>
      </c>
      <c r="E148" s="419" t="s">
        <v>879</v>
      </c>
      <c r="F148" s="419" t="s">
        <v>758</v>
      </c>
      <c r="G148" s="423"/>
      <c r="H148" s="419" t="s">
        <v>939</v>
      </c>
      <c r="I148" s="419" t="s">
        <v>851</v>
      </c>
      <c r="J148" s="425">
        <v>20000</v>
      </c>
      <c r="K148" s="421"/>
      <c r="L148" s="424">
        <f>L147+Table16[[#This Row],[المدين (إيداع)]]-Table16[[#This Row],[الدائن (السحب)]]</f>
        <v>251005.16999999993</v>
      </c>
    </row>
    <row r="149" spans="1:12" ht="23.25" hidden="1">
      <c r="A149" s="412">
        <f>SUBTOTAL(3,$E$8:E149)</f>
        <v>0</v>
      </c>
      <c r="B149" s="394">
        <v>42825</v>
      </c>
      <c r="C149" s="419" t="s">
        <v>744</v>
      </c>
      <c r="D149" s="417" t="s">
        <v>938</v>
      </c>
      <c r="E149" s="419" t="s">
        <v>879</v>
      </c>
      <c r="F149" s="419" t="s">
        <v>758</v>
      </c>
      <c r="G149" s="423"/>
      <c r="H149" s="419" t="s">
        <v>939</v>
      </c>
      <c r="I149" s="419" t="s">
        <v>851</v>
      </c>
      <c r="J149" s="425">
        <v>20000</v>
      </c>
      <c r="K149" s="421"/>
      <c r="L149" s="424">
        <f>L148+Table16[[#This Row],[المدين (إيداع)]]-Table16[[#This Row],[الدائن (السحب)]]</f>
        <v>271005.16999999993</v>
      </c>
    </row>
    <row r="150" spans="1:12" ht="23.25" hidden="1">
      <c r="A150" s="412">
        <f>SUBTOTAL(3,$E$8:E150)</f>
        <v>0</v>
      </c>
      <c r="B150" s="394">
        <v>42825</v>
      </c>
      <c r="C150" s="419" t="s">
        <v>744</v>
      </c>
      <c r="D150" s="417" t="s">
        <v>888</v>
      </c>
      <c r="E150" s="419" t="s">
        <v>758</v>
      </c>
      <c r="F150" s="419" t="s">
        <v>758</v>
      </c>
      <c r="G150" s="423"/>
      <c r="H150" s="419" t="s">
        <v>944</v>
      </c>
      <c r="I150" s="419" t="s">
        <v>827</v>
      </c>
      <c r="J150" s="420">
        <v>400</v>
      </c>
      <c r="K150" s="421"/>
      <c r="L150" s="424">
        <f>L149+Table16[[#This Row],[المدين (إيداع)]]-Table16[[#This Row],[الدائن (السحب)]]</f>
        <v>271405.16999999993</v>
      </c>
    </row>
    <row r="151" spans="1:12" ht="23.25" hidden="1">
      <c r="A151" s="412">
        <f>SUBTOTAL(3,$E$8:E151)</f>
        <v>0</v>
      </c>
      <c r="B151" s="394">
        <v>42827</v>
      </c>
      <c r="C151" s="419" t="s">
        <v>744</v>
      </c>
      <c r="D151" s="417" t="s">
        <v>900</v>
      </c>
      <c r="E151" s="419" t="s">
        <v>945</v>
      </c>
      <c r="F151" s="419" t="s">
        <v>746</v>
      </c>
      <c r="G151" s="423"/>
      <c r="H151" s="419" t="s">
        <v>747</v>
      </c>
      <c r="I151" s="419" t="s">
        <v>811</v>
      </c>
      <c r="J151" s="420">
        <v>40617</v>
      </c>
      <c r="K151" s="421"/>
      <c r="L151" s="424">
        <f>L150+Table16[[#This Row],[المدين (إيداع)]]-Table16[[#This Row],[الدائن (السحب)]]</f>
        <v>312022.16999999993</v>
      </c>
    </row>
    <row r="152" spans="1:12" ht="23.25" hidden="1">
      <c r="A152" s="412">
        <f>SUBTOTAL(3,$E$8:E152)</f>
        <v>0</v>
      </c>
      <c r="B152" s="394">
        <v>42827</v>
      </c>
      <c r="C152" s="419" t="s">
        <v>744</v>
      </c>
      <c r="D152" s="417" t="s">
        <v>812</v>
      </c>
      <c r="E152" s="419" t="s">
        <v>758</v>
      </c>
      <c r="F152" s="419" t="s">
        <v>758</v>
      </c>
      <c r="G152" s="423"/>
      <c r="H152" s="419" t="s">
        <v>946</v>
      </c>
      <c r="I152" s="419" t="s">
        <v>947</v>
      </c>
      <c r="J152" s="420">
        <v>1300</v>
      </c>
      <c r="K152" s="421"/>
      <c r="L152" s="424">
        <f>L151+Table16[[#This Row],[المدين (إيداع)]]-Table16[[#This Row],[الدائن (السحب)]]</f>
        <v>313322.16999999993</v>
      </c>
    </row>
    <row r="153" spans="1:12" ht="23.25" hidden="1">
      <c r="A153" s="412">
        <f>SUBTOTAL(3,$E$8:E153)</f>
        <v>0</v>
      </c>
      <c r="B153" s="394">
        <v>42829</v>
      </c>
      <c r="C153" s="419" t="s">
        <v>744</v>
      </c>
      <c r="D153" s="417" t="s">
        <v>752</v>
      </c>
      <c r="E153" s="419" t="s">
        <v>793</v>
      </c>
      <c r="F153" s="419" t="s">
        <v>791</v>
      </c>
      <c r="G153" s="423"/>
      <c r="H153" s="419" t="s">
        <v>920</v>
      </c>
      <c r="I153" s="419" t="s">
        <v>793</v>
      </c>
      <c r="J153" s="420"/>
      <c r="K153" s="421">
        <v>23936</v>
      </c>
      <c r="L153" s="424">
        <f>L152+Table16[[#This Row],[المدين (إيداع)]]-Table16[[#This Row],[الدائن (السحب)]]</f>
        <v>289386.16999999993</v>
      </c>
    </row>
    <row r="154" spans="1:12" ht="23.25" hidden="1">
      <c r="A154" s="412">
        <f>SUBTOTAL(3,$E$8:E154)</f>
        <v>0</v>
      </c>
      <c r="B154" s="394">
        <v>42829</v>
      </c>
      <c r="C154" s="419" t="s">
        <v>744</v>
      </c>
      <c r="D154" s="417" t="s">
        <v>840</v>
      </c>
      <c r="E154" s="419" t="s">
        <v>762</v>
      </c>
      <c r="F154" s="419" t="s">
        <v>763</v>
      </c>
      <c r="G154" s="423">
        <v>4223</v>
      </c>
      <c r="H154" s="419" t="s">
        <v>948</v>
      </c>
      <c r="I154" s="419" t="s">
        <v>842</v>
      </c>
      <c r="J154" s="420">
        <v>7935</v>
      </c>
      <c r="K154" s="421"/>
      <c r="L154" s="424">
        <f>L153+Table16[[#This Row],[المدين (إيداع)]]-Table16[[#This Row],[الدائن (السحب)]]</f>
        <v>297321.16999999993</v>
      </c>
    </row>
    <row r="155" spans="1:12" ht="23.25" hidden="1">
      <c r="A155" s="412">
        <f>SUBTOTAL(3,$E$8:E155)</f>
        <v>0</v>
      </c>
      <c r="B155" s="394">
        <v>42829</v>
      </c>
      <c r="C155" s="419" t="s">
        <v>744</v>
      </c>
      <c r="D155" s="417" t="s">
        <v>833</v>
      </c>
      <c r="E155" s="419" t="s">
        <v>949</v>
      </c>
      <c r="F155" s="419" t="s">
        <v>763</v>
      </c>
      <c r="G155" s="423">
        <v>949</v>
      </c>
      <c r="H155" s="419" t="s">
        <v>950</v>
      </c>
      <c r="I155" s="419" t="s">
        <v>761</v>
      </c>
      <c r="J155" s="420">
        <v>2250</v>
      </c>
      <c r="K155" s="421"/>
      <c r="L155" s="424">
        <f>L154+Table16[[#This Row],[المدين (إيداع)]]-Table16[[#This Row],[الدائن (السحب)]]</f>
        <v>299571.16999999993</v>
      </c>
    </row>
    <row r="156" spans="1:12" ht="23.25" hidden="1">
      <c r="A156" s="412">
        <f>SUBTOTAL(3,$E$8:E156)</f>
        <v>0</v>
      </c>
      <c r="B156" s="394">
        <v>42829</v>
      </c>
      <c r="C156" s="419" t="s">
        <v>744</v>
      </c>
      <c r="D156" s="417" t="s">
        <v>752</v>
      </c>
      <c r="E156" s="419" t="s">
        <v>753</v>
      </c>
      <c r="F156" s="419" t="s">
        <v>754</v>
      </c>
      <c r="G156" s="423"/>
      <c r="H156" s="419" t="s">
        <v>755</v>
      </c>
      <c r="I156" s="419" t="s">
        <v>754</v>
      </c>
      <c r="J156" s="420"/>
      <c r="K156" s="421">
        <v>25</v>
      </c>
      <c r="L156" s="424">
        <f>L155+Table16[[#This Row],[المدين (إيداع)]]-Table16[[#This Row],[الدائن (السحب)]]</f>
        <v>299546.16999999993</v>
      </c>
    </row>
    <row r="157" spans="1:12" ht="23.25" hidden="1">
      <c r="A157" s="412">
        <f>SUBTOTAL(3,$E$8:E157)</f>
        <v>0</v>
      </c>
      <c r="B157" s="394">
        <v>42829</v>
      </c>
      <c r="C157" s="419" t="s">
        <v>744</v>
      </c>
      <c r="D157" s="417" t="s">
        <v>951</v>
      </c>
      <c r="E157" s="419" t="s">
        <v>830</v>
      </c>
      <c r="F157" s="419" t="s">
        <v>758</v>
      </c>
      <c r="G157" s="423"/>
      <c r="H157" s="419" t="s">
        <v>831</v>
      </c>
      <c r="I157" s="419" t="s">
        <v>831</v>
      </c>
      <c r="J157" s="420">
        <v>3200</v>
      </c>
      <c r="K157" s="421"/>
      <c r="L157" s="424">
        <f>L156+Table16[[#This Row],[المدين (إيداع)]]-Table16[[#This Row],[الدائن (السحب)]]</f>
        <v>302746.16999999993</v>
      </c>
    </row>
    <row r="158" spans="1:12" ht="23.25" hidden="1">
      <c r="A158" s="412">
        <f>SUBTOTAL(3,$E$8:E158)</f>
        <v>0</v>
      </c>
      <c r="B158" s="394">
        <v>42829</v>
      </c>
      <c r="C158" s="419" t="s">
        <v>744</v>
      </c>
      <c r="D158" s="417" t="s">
        <v>952</v>
      </c>
      <c r="E158" s="419" t="s">
        <v>953</v>
      </c>
      <c r="F158" s="419" t="s">
        <v>758</v>
      </c>
      <c r="G158" s="423" t="s">
        <v>954</v>
      </c>
      <c r="H158" s="419" t="s">
        <v>955</v>
      </c>
      <c r="I158" s="419" t="s">
        <v>761</v>
      </c>
      <c r="J158" s="420">
        <v>400</v>
      </c>
      <c r="K158" s="421"/>
      <c r="L158" s="424">
        <f>L157+Table16[[#This Row],[المدين (إيداع)]]-Table16[[#This Row],[الدائن (السحب)]]</f>
        <v>303146.16999999993</v>
      </c>
    </row>
    <row r="159" spans="1:12" ht="23.25" hidden="1">
      <c r="A159" s="412">
        <f>SUBTOTAL(3,$E$8:E159)</f>
        <v>0</v>
      </c>
      <c r="B159" s="394">
        <v>42829</v>
      </c>
      <c r="C159" s="419" t="s">
        <v>744</v>
      </c>
      <c r="D159" s="417" t="s">
        <v>897</v>
      </c>
      <c r="E159" s="419" t="s">
        <v>953</v>
      </c>
      <c r="F159" s="419" t="s">
        <v>758</v>
      </c>
      <c r="G159" s="423"/>
      <c r="H159" s="419" t="s">
        <v>956</v>
      </c>
      <c r="I159" s="419" t="s">
        <v>771</v>
      </c>
      <c r="J159" s="420">
        <v>300</v>
      </c>
      <c r="K159" s="421"/>
      <c r="L159" s="424">
        <f>L158+Table16[[#This Row],[المدين (إيداع)]]-Table16[[#This Row],[الدائن (السحب)]]</f>
        <v>303446.16999999993</v>
      </c>
    </row>
    <row r="160" spans="1:12" ht="23.25" hidden="1">
      <c r="A160" s="412">
        <f>SUBTOTAL(3,$E$8:E160)</f>
        <v>0</v>
      </c>
      <c r="B160" s="394">
        <v>42830</v>
      </c>
      <c r="C160" s="419" t="s">
        <v>744</v>
      </c>
      <c r="D160" s="417" t="s">
        <v>957</v>
      </c>
      <c r="E160" s="419" t="s">
        <v>958</v>
      </c>
      <c r="F160" s="419" t="s">
        <v>746</v>
      </c>
      <c r="G160" s="423"/>
      <c r="H160" s="419" t="s">
        <v>959</v>
      </c>
      <c r="I160" s="419" t="s">
        <v>771</v>
      </c>
      <c r="J160" s="420">
        <v>900</v>
      </c>
      <c r="K160" s="421"/>
      <c r="L160" s="424">
        <f>L159+Table16[[#This Row],[المدين (إيداع)]]-Table16[[#This Row],[الدائن (السحب)]]</f>
        <v>304346.16999999993</v>
      </c>
    </row>
    <row r="161" spans="1:12" ht="23.25" hidden="1">
      <c r="A161" s="412">
        <f>SUBTOTAL(3,$E$8:E161)</f>
        <v>0</v>
      </c>
      <c r="B161" s="394">
        <v>42830</v>
      </c>
      <c r="C161" s="419" t="s">
        <v>744</v>
      </c>
      <c r="D161" s="417" t="s">
        <v>960</v>
      </c>
      <c r="E161" s="419" t="s">
        <v>961</v>
      </c>
      <c r="F161" s="419" t="s">
        <v>773</v>
      </c>
      <c r="G161" s="423">
        <v>403</v>
      </c>
      <c r="H161" s="419" t="s">
        <v>774</v>
      </c>
      <c r="I161" s="419" t="s">
        <v>774</v>
      </c>
      <c r="J161" s="420"/>
      <c r="K161" s="421">
        <v>80000</v>
      </c>
      <c r="L161" s="424">
        <f>L160+Table16[[#This Row],[المدين (إيداع)]]-Table16[[#This Row],[الدائن (السحب)]]</f>
        <v>224346.16999999993</v>
      </c>
    </row>
    <row r="162" spans="1:12" ht="23.25" hidden="1">
      <c r="A162" s="412">
        <f>SUBTOTAL(3,$E$8:E162)</f>
        <v>0</v>
      </c>
      <c r="B162" s="394">
        <v>42831</v>
      </c>
      <c r="C162" s="419" t="s">
        <v>744</v>
      </c>
      <c r="D162" s="417" t="s">
        <v>900</v>
      </c>
      <c r="E162" s="419" t="s">
        <v>762</v>
      </c>
      <c r="F162" s="419" t="s">
        <v>763</v>
      </c>
      <c r="G162" s="423">
        <v>2291</v>
      </c>
      <c r="H162" s="419" t="s">
        <v>803</v>
      </c>
      <c r="I162" s="419" t="s">
        <v>811</v>
      </c>
      <c r="J162" s="420">
        <v>1000</v>
      </c>
      <c r="K162" s="421"/>
      <c r="L162" s="424">
        <f>L161+Table16[[#This Row],[المدين (إيداع)]]-Table16[[#This Row],[الدائن (السحب)]]</f>
        <v>225346.16999999993</v>
      </c>
    </row>
    <row r="163" spans="1:12" ht="23.25" hidden="1">
      <c r="A163" s="412">
        <f>SUBTOTAL(3,$E$8:E163)</f>
        <v>0</v>
      </c>
      <c r="B163" s="394">
        <v>42831</v>
      </c>
      <c r="C163" s="419" t="s">
        <v>744</v>
      </c>
      <c r="D163" s="417" t="s">
        <v>900</v>
      </c>
      <c r="E163" s="419" t="s">
        <v>762</v>
      </c>
      <c r="F163" s="419" t="s">
        <v>763</v>
      </c>
      <c r="G163" s="423">
        <v>352</v>
      </c>
      <c r="H163" s="419" t="s">
        <v>803</v>
      </c>
      <c r="I163" s="419" t="s">
        <v>811</v>
      </c>
      <c r="J163" s="420">
        <v>3000</v>
      </c>
      <c r="K163" s="421"/>
      <c r="L163" s="424">
        <f>L162+Table16[[#This Row],[المدين (إيداع)]]-Table16[[#This Row],[الدائن (السحب)]]</f>
        <v>228346.16999999993</v>
      </c>
    </row>
    <row r="164" spans="1:12" ht="23.25" hidden="1">
      <c r="A164" s="412">
        <f>SUBTOTAL(3,$E$8:E164)</f>
        <v>0</v>
      </c>
      <c r="B164" s="394">
        <v>42831</v>
      </c>
      <c r="C164" s="419" t="s">
        <v>744</v>
      </c>
      <c r="D164" s="417" t="s">
        <v>900</v>
      </c>
      <c r="E164" s="419" t="s">
        <v>762</v>
      </c>
      <c r="F164" s="419" t="s">
        <v>763</v>
      </c>
      <c r="G164" s="423">
        <v>27355</v>
      </c>
      <c r="H164" s="419" t="s">
        <v>803</v>
      </c>
      <c r="I164" s="419" t="s">
        <v>811</v>
      </c>
      <c r="J164" s="420">
        <v>750</v>
      </c>
      <c r="K164" s="421"/>
      <c r="L164" s="424">
        <f>L163+Table16[[#This Row],[المدين (إيداع)]]-Table16[[#This Row],[الدائن (السحب)]]</f>
        <v>229096.16999999993</v>
      </c>
    </row>
    <row r="165" spans="1:12" ht="23.25" hidden="1">
      <c r="A165" s="412">
        <f>SUBTOTAL(3,$E$8:E165)</f>
        <v>0</v>
      </c>
      <c r="B165" s="394">
        <v>42831</v>
      </c>
      <c r="C165" s="419" t="s">
        <v>744</v>
      </c>
      <c r="D165" s="417" t="s">
        <v>900</v>
      </c>
      <c r="E165" s="419" t="s">
        <v>762</v>
      </c>
      <c r="F165" s="419" t="s">
        <v>763</v>
      </c>
      <c r="G165" s="423">
        <v>40</v>
      </c>
      <c r="H165" s="419" t="s">
        <v>803</v>
      </c>
      <c r="I165" s="419" t="s">
        <v>811</v>
      </c>
      <c r="J165" s="420">
        <v>3000</v>
      </c>
      <c r="K165" s="421"/>
      <c r="L165" s="424">
        <f>L164+Table16[[#This Row],[المدين (إيداع)]]-Table16[[#This Row],[الدائن (السحب)]]</f>
        <v>232096.16999999993</v>
      </c>
    </row>
    <row r="166" spans="1:12" ht="23.25" hidden="1">
      <c r="A166" s="412">
        <f>SUBTOTAL(3,$E$8:E166)</f>
        <v>0</v>
      </c>
      <c r="B166" s="394">
        <v>42832</v>
      </c>
      <c r="C166" s="419" t="s">
        <v>744</v>
      </c>
      <c r="D166" s="417" t="s">
        <v>833</v>
      </c>
      <c r="E166" s="419" t="s">
        <v>962</v>
      </c>
      <c r="F166" s="419" t="s">
        <v>763</v>
      </c>
      <c r="G166" s="423">
        <v>4785</v>
      </c>
      <c r="H166" s="419" t="s">
        <v>963</v>
      </c>
      <c r="I166" s="419" t="s">
        <v>761</v>
      </c>
      <c r="J166" s="420">
        <v>2700</v>
      </c>
      <c r="K166" s="421"/>
      <c r="L166" s="424">
        <f>L165+Table16[[#This Row],[المدين (إيداع)]]-Table16[[#This Row],[الدائن (السحب)]]</f>
        <v>234796.16999999993</v>
      </c>
    </row>
    <row r="167" spans="1:12" ht="23.25" hidden="1">
      <c r="A167" s="412">
        <f>SUBTOTAL(3,$E$8:E167)</f>
        <v>0</v>
      </c>
      <c r="B167" s="394">
        <v>42835</v>
      </c>
      <c r="C167" s="419" t="s">
        <v>744</v>
      </c>
      <c r="D167" s="417" t="s">
        <v>577</v>
      </c>
      <c r="E167" s="419" t="s">
        <v>964</v>
      </c>
      <c r="F167" s="419" t="s">
        <v>773</v>
      </c>
      <c r="G167" s="423">
        <v>405</v>
      </c>
      <c r="H167" s="419" t="s">
        <v>965</v>
      </c>
      <c r="I167" s="419" t="s">
        <v>894</v>
      </c>
      <c r="J167" s="420"/>
      <c r="K167" s="421">
        <v>36000</v>
      </c>
      <c r="L167" s="424">
        <f>L166+Table16[[#This Row],[المدين (إيداع)]]-Table16[[#This Row],[الدائن (السحب)]]</f>
        <v>198796.16999999993</v>
      </c>
    </row>
    <row r="168" spans="1:12" ht="23.25" hidden="1">
      <c r="A168" s="412">
        <f>SUBTOTAL(3,$E$8:E168)</f>
        <v>0</v>
      </c>
      <c r="B168" s="394">
        <v>42835</v>
      </c>
      <c r="C168" s="419" t="s">
        <v>744</v>
      </c>
      <c r="D168" s="417" t="s">
        <v>951</v>
      </c>
      <c r="E168" s="419" t="s">
        <v>777</v>
      </c>
      <c r="F168" s="419" t="s">
        <v>758</v>
      </c>
      <c r="G168" s="423"/>
      <c r="H168" s="419" t="s">
        <v>778</v>
      </c>
      <c r="I168" s="419" t="s">
        <v>966</v>
      </c>
      <c r="J168" s="420">
        <v>2800</v>
      </c>
      <c r="K168" s="421"/>
      <c r="L168" s="424">
        <f>L167+Table16[[#This Row],[المدين (إيداع)]]-Table16[[#This Row],[الدائن (السحب)]]</f>
        <v>201596.16999999993</v>
      </c>
    </row>
    <row r="169" spans="1:12" ht="23.25" hidden="1">
      <c r="A169" s="412">
        <f>SUBTOTAL(3,$E$8:E169)</f>
        <v>0</v>
      </c>
      <c r="B169" s="394">
        <v>42836</v>
      </c>
      <c r="C169" s="419" t="s">
        <v>744</v>
      </c>
      <c r="D169" s="417" t="s">
        <v>577</v>
      </c>
      <c r="E169" s="419" t="s">
        <v>967</v>
      </c>
      <c r="F169" s="419" t="s">
        <v>773</v>
      </c>
      <c r="G169" s="423">
        <v>404</v>
      </c>
      <c r="H169" s="419" t="s">
        <v>913</v>
      </c>
      <c r="I169" s="419" t="s">
        <v>968</v>
      </c>
      <c r="J169" s="420"/>
      <c r="K169" s="421">
        <v>72667</v>
      </c>
      <c r="L169" s="424">
        <f>L168+Table16[[#This Row],[المدين (إيداع)]]-Table16[[#This Row],[الدائن (السحب)]]</f>
        <v>128929.16999999993</v>
      </c>
    </row>
    <row r="170" spans="1:12" ht="23.25" hidden="1">
      <c r="A170" s="412">
        <f>SUBTOTAL(3,$E$8:E170)</f>
        <v>0</v>
      </c>
      <c r="B170" s="394">
        <v>42836</v>
      </c>
      <c r="C170" s="419" t="s">
        <v>744</v>
      </c>
      <c r="D170" s="417" t="s">
        <v>952</v>
      </c>
      <c r="E170" s="419" t="s">
        <v>787</v>
      </c>
      <c r="F170" s="419" t="s">
        <v>758</v>
      </c>
      <c r="G170" s="423" t="s">
        <v>969</v>
      </c>
      <c r="H170" s="419" t="s">
        <v>789</v>
      </c>
      <c r="I170" s="419" t="s">
        <v>761</v>
      </c>
      <c r="J170" s="420">
        <v>900</v>
      </c>
      <c r="K170" s="421"/>
      <c r="L170" s="424">
        <f>L169+Table16[[#This Row],[المدين (إيداع)]]-Table16[[#This Row],[الدائن (السحب)]]</f>
        <v>129829.16999999993</v>
      </c>
    </row>
    <row r="171" spans="1:12" ht="23.25" hidden="1">
      <c r="A171" s="412">
        <f>SUBTOTAL(3,$E$8:E171)</f>
        <v>0</v>
      </c>
      <c r="B171" s="394">
        <v>42837</v>
      </c>
      <c r="C171" s="419" t="s">
        <v>744</v>
      </c>
      <c r="D171" s="417" t="s">
        <v>848</v>
      </c>
      <c r="E171" s="419" t="s">
        <v>879</v>
      </c>
      <c r="F171" s="419" t="s">
        <v>758</v>
      </c>
      <c r="G171" s="423"/>
      <c r="H171" s="419" t="s">
        <v>970</v>
      </c>
      <c r="I171" s="419" t="s">
        <v>851</v>
      </c>
      <c r="J171" s="425">
        <v>20000</v>
      </c>
      <c r="K171" s="421"/>
      <c r="L171" s="424">
        <f>L170+Table16[[#This Row],[المدين (إيداع)]]-Table16[[#This Row],[الدائن (السحب)]]</f>
        <v>149829.16999999993</v>
      </c>
    </row>
    <row r="172" spans="1:12" ht="23.25" hidden="1">
      <c r="A172" s="412">
        <f>SUBTOTAL(3,$E$8:E172)</f>
        <v>0</v>
      </c>
      <c r="B172" s="394">
        <v>42838</v>
      </c>
      <c r="C172" s="419" t="s">
        <v>744</v>
      </c>
      <c r="D172" s="417" t="s">
        <v>848</v>
      </c>
      <c r="E172" s="419" t="s">
        <v>879</v>
      </c>
      <c r="F172" s="419" t="s">
        <v>758</v>
      </c>
      <c r="G172" s="423"/>
      <c r="H172" s="419" t="s">
        <v>970</v>
      </c>
      <c r="I172" s="419" t="s">
        <v>851</v>
      </c>
      <c r="J172" s="425">
        <v>20000</v>
      </c>
      <c r="K172" s="421"/>
      <c r="L172" s="424">
        <f>L171+Table16[[#This Row],[المدين (إيداع)]]-Table16[[#This Row],[الدائن (السحب)]]</f>
        <v>169829.16999999993</v>
      </c>
    </row>
    <row r="173" spans="1:12" ht="23.25" hidden="1">
      <c r="A173" s="412">
        <f>SUBTOTAL(3,$E$8:E173)</f>
        <v>0</v>
      </c>
      <c r="B173" s="394">
        <v>42838</v>
      </c>
      <c r="C173" s="419" t="s">
        <v>744</v>
      </c>
      <c r="D173" s="417" t="s">
        <v>848</v>
      </c>
      <c r="E173" s="419" t="s">
        <v>879</v>
      </c>
      <c r="F173" s="419" t="s">
        <v>758</v>
      </c>
      <c r="G173" s="423"/>
      <c r="H173" s="419" t="s">
        <v>970</v>
      </c>
      <c r="I173" s="419" t="s">
        <v>851</v>
      </c>
      <c r="J173" s="425">
        <v>20000</v>
      </c>
      <c r="K173" s="421"/>
      <c r="L173" s="424">
        <f>L172+Table16[[#This Row],[المدين (إيداع)]]-Table16[[#This Row],[الدائن (السحب)]]</f>
        <v>189829.16999999993</v>
      </c>
    </row>
    <row r="174" spans="1:12" ht="23.25" hidden="1">
      <c r="A174" s="412">
        <f>SUBTOTAL(3,$E$8:E174)</f>
        <v>0</v>
      </c>
      <c r="B174" s="394">
        <v>42838</v>
      </c>
      <c r="C174" s="419" t="s">
        <v>744</v>
      </c>
      <c r="D174" s="417" t="s">
        <v>897</v>
      </c>
      <c r="E174" s="419" t="s">
        <v>932</v>
      </c>
      <c r="F174" s="419" t="s">
        <v>758</v>
      </c>
      <c r="G174" s="423"/>
      <c r="H174" s="419" t="s">
        <v>933</v>
      </c>
      <c r="I174" s="419" t="s">
        <v>771</v>
      </c>
      <c r="J174" s="420">
        <v>350</v>
      </c>
      <c r="K174" s="421"/>
      <c r="L174" s="424">
        <f>L173+Table16[[#This Row],[المدين (إيداع)]]-Table16[[#This Row],[الدائن (السحب)]]</f>
        <v>190179.16999999993</v>
      </c>
    </row>
    <row r="175" spans="1:12" ht="23.25" hidden="1">
      <c r="A175" s="412">
        <f>SUBTOTAL(3,$E$8:E175)</f>
        <v>0</v>
      </c>
      <c r="B175" s="394">
        <v>42838</v>
      </c>
      <c r="C175" s="419" t="s">
        <v>744</v>
      </c>
      <c r="D175" s="417" t="s">
        <v>971</v>
      </c>
      <c r="E175" s="419" t="s">
        <v>972</v>
      </c>
      <c r="F175" s="419" t="s">
        <v>758</v>
      </c>
      <c r="G175" s="423"/>
      <c r="H175" s="419" t="s">
        <v>973</v>
      </c>
      <c r="I175" s="419" t="s">
        <v>974</v>
      </c>
      <c r="J175" s="420">
        <v>3600</v>
      </c>
      <c r="K175" s="421"/>
      <c r="L175" s="424">
        <f>L174+Table16[[#This Row],[المدين (إيداع)]]-Table16[[#This Row],[الدائن (السحب)]]</f>
        <v>193779.16999999993</v>
      </c>
    </row>
    <row r="176" spans="1:12" ht="23.25" hidden="1">
      <c r="A176" s="412">
        <f>SUBTOTAL(3,$E$8:E176)</f>
        <v>0</v>
      </c>
      <c r="B176" s="394">
        <v>42841</v>
      </c>
      <c r="C176" s="419" t="s">
        <v>744</v>
      </c>
      <c r="D176" s="417" t="s">
        <v>938</v>
      </c>
      <c r="E176" s="419" t="s">
        <v>879</v>
      </c>
      <c r="F176" s="419" t="s">
        <v>758</v>
      </c>
      <c r="G176" s="423"/>
      <c r="H176" s="419" t="s">
        <v>939</v>
      </c>
      <c r="I176" s="419" t="s">
        <v>851</v>
      </c>
      <c r="J176" s="425">
        <v>16400</v>
      </c>
      <c r="K176" s="421"/>
      <c r="L176" s="424">
        <f>L175+Table16[[#This Row],[المدين (إيداع)]]-Table16[[#This Row],[الدائن (السحب)]]</f>
        <v>210179.16999999993</v>
      </c>
    </row>
    <row r="177" spans="1:12" ht="23.25" hidden="1">
      <c r="A177" s="412">
        <f>SUBTOTAL(3,$E$8:E177)</f>
        <v>0</v>
      </c>
      <c r="B177" s="394">
        <v>42841</v>
      </c>
      <c r="C177" s="419" t="s">
        <v>744</v>
      </c>
      <c r="D177" s="417" t="s">
        <v>952</v>
      </c>
      <c r="E177" s="419" t="s">
        <v>787</v>
      </c>
      <c r="F177" s="419" t="s">
        <v>758</v>
      </c>
      <c r="G177" s="423" t="s">
        <v>975</v>
      </c>
      <c r="H177" s="419" t="s">
        <v>789</v>
      </c>
      <c r="I177" s="419" t="s">
        <v>761</v>
      </c>
      <c r="J177" s="420">
        <v>9600</v>
      </c>
      <c r="K177" s="421"/>
      <c r="L177" s="424">
        <f>L176+Table16[[#This Row],[المدين (إيداع)]]-Table16[[#This Row],[الدائن (السحب)]]</f>
        <v>219779.16999999993</v>
      </c>
    </row>
    <row r="178" spans="1:12" ht="23.25" hidden="1">
      <c r="A178" s="412">
        <f>SUBTOTAL(3,$E$8:E178)</f>
        <v>0</v>
      </c>
      <c r="B178" s="394">
        <v>42843</v>
      </c>
      <c r="C178" s="419" t="s">
        <v>744</v>
      </c>
      <c r="D178" s="417" t="s">
        <v>952</v>
      </c>
      <c r="E178" s="419" t="s">
        <v>976</v>
      </c>
      <c r="F178" s="419" t="s">
        <v>763</v>
      </c>
      <c r="G178" s="423">
        <v>2337</v>
      </c>
      <c r="H178" s="419" t="s">
        <v>215</v>
      </c>
      <c r="I178" s="419" t="s">
        <v>761</v>
      </c>
      <c r="J178" s="420">
        <v>22050</v>
      </c>
      <c r="K178" s="421"/>
      <c r="L178" s="424">
        <f>L177+Table16[[#This Row],[المدين (إيداع)]]-Table16[[#This Row],[الدائن (السحب)]]</f>
        <v>241829.16999999993</v>
      </c>
    </row>
    <row r="179" spans="1:12" ht="23.25" hidden="1">
      <c r="A179" s="412">
        <f>SUBTOTAL(3,$E$8:E179)</f>
        <v>0</v>
      </c>
      <c r="B179" s="394">
        <v>42843</v>
      </c>
      <c r="C179" s="419" t="s">
        <v>744</v>
      </c>
      <c r="D179" s="417" t="s">
        <v>752</v>
      </c>
      <c r="E179" s="419" t="s">
        <v>793</v>
      </c>
      <c r="F179" s="419" t="s">
        <v>791</v>
      </c>
      <c r="G179" s="423"/>
      <c r="H179" s="419" t="s">
        <v>920</v>
      </c>
      <c r="I179" s="419" t="s">
        <v>793</v>
      </c>
      <c r="J179" s="420"/>
      <c r="K179" s="421">
        <v>18338</v>
      </c>
      <c r="L179" s="424">
        <f>L178+Table16[[#This Row],[المدين (إيداع)]]-Table16[[#This Row],[الدائن (السحب)]]</f>
        <v>223491.16999999993</v>
      </c>
    </row>
    <row r="180" spans="1:12" ht="23.25" hidden="1">
      <c r="A180" s="412">
        <f>SUBTOTAL(3,$E$8:E180)</f>
        <v>0</v>
      </c>
      <c r="B180" s="394">
        <v>42843</v>
      </c>
      <c r="C180" s="419" t="s">
        <v>744</v>
      </c>
      <c r="D180" s="417" t="s">
        <v>977</v>
      </c>
      <c r="E180" s="419" t="s">
        <v>978</v>
      </c>
      <c r="F180" s="419" t="s">
        <v>773</v>
      </c>
      <c r="G180" s="423">
        <v>279</v>
      </c>
      <c r="H180" s="419" t="s">
        <v>979</v>
      </c>
      <c r="I180" s="419" t="s">
        <v>883</v>
      </c>
      <c r="J180" s="420"/>
      <c r="K180" s="421">
        <v>50000</v>
      </c>
      <c r="L180" s="424">
        <f>L179+Table16[[#This Row],[المدين (إيداع)]]-Table16[[#This Row],[الدائن (السحب)]]</f>
        <v>173491.16999999993</v>
      </c>
    </row>
    <row r="181" spans="1:12" ht="23.25" hidden="1">
      <c r="A181" s="412">
        <f>SUBTOTAL(3,$E$8:E181)</f>
        <v>0</v>
      </c>
      <c r="B181" s="394">
        <v>42843</v>
      </c>
      <c r="C181" s="419" t="s">
        <v>744</v>
      </c>
      <c r="D181" s="417" t="s">
        <v>957</v>
      </c>
      <c r="E181" s="419" t="s">
        <v>980</v>
      </c>
      <c r="F181" s="419" t="s">
        <v>758</v>
      </c>
      <c r="G181" s="423"/>
      <c r="H181" s="419" t="s">
        <v>775</v>
      </c>
      <c r="I181" s="419" t="s">
        <v>771</v>
      </c>
      <c r="J181" s="420">
        <v>600</v>
      </c>
      <c r="K181" s="421"/>
      <c r="L181" s="424">
        <f>L180+Table16[[#This Row],[المدين (إيداع)]]-Table16[[#This Row],[الدائن (السحب)]]</f>
        <v>174091.16999999993</v>
      </c>
    </row>
    <row r="182" spans="1:12" ht="23.25" hidden="1">
      <c r="A182" s="412">
        <f>SUBTOTAL(3,$E$8:E182)</f>
        <v>0</v>
      </c>
      <c r="B182" s="394">
        <v>42843</v>
      </c>
      <c r="C182" s="419" t="s">
        <v>744</v>
      </c>
      <c r="D182" s="417" t="s">
        <v>752</v>
      </c>
      <c r="E182" s="419" t="s">
        <v>753</v>
      </c>
      <c r="F182" s="419" t="s">
        <v>754</v>
      </c>
      <c r="G182" s="423"/>
      <c r="H182" s="419" t="s">
        <v>755</v>
      </c>
      <c r="I182" s="419" t="s">
        <v>754</v>
      </c>
      <c r="J182" s="420"/>
      <c r="K182" s="421">
        <v>25</v>
      </c>
      <c r="L182" s="424">
        <f>L181+Table16[[#This Row],[المدين (إيداع)]]-Table16[[#This Row],[الدائن (السحب)]]</f>
        <v>174066.16999999993</v>
      </c>
    </row>
    <row r="183" spans="1:12" ht="23.25" hidden="1">
      <c r="A183" s="412">
        <f>SUBTOTAL(3,$E$8:E183)</f>
        <v>0</v>
      </c>
      <c r="B183" s="394">
        <v>42843</v>
      </c>
      <c r="C183" s="419" t="s">
        <v>744</v>
      </c>
      <c r="D183" s="417" t="s">
        <v>981</v>
      </c>
      <c r="E183" s="419" t="s">
        <v>879</v>
      </c>
      <c r="F183" s="419" t="s">
        <v>758</v>
      </c>
      <c r="G183" s="423"/>
      <c r="H183" s="419" t="s">
        <v>970</v>
      </c>
      <c r="I183" s="419" t="s">
        <v>851</v>
      </c>
      <c r="J183" s="425">
        <v>8298</v>
      </c>
      <c r="K183" s="421"/>
      <c r="L183" s="424">
        <f>L182+Table16[[#This Row],[المدين (إيداع)]]-Table16[[#This Row],[الدائن (السحب)]]</f>
        <v>182364.16999999993</v>
      </c>
    </row>
    <row r="184" spans="1:12" ht="23.25" hidden="1">
      <c r="A184" s="412">
        <f>SUBTOTAL(3,$E$8:E184)</f>
        <v>0</v>
      </c>
      <c r="B184" s="394">
        <v>42844</v>
      </c>
      <c r="C184" s="419" t="s">
        <v>744</v>
      </c>
      <c r="D184" s="417" t="s">
        <v>977</v>
      </c>
      <c r="E184" s="419" t="s">
        <v>978</v>
      </c>
      <c r="F184" s="419" t="s">
        <v>773</v>
      </c>
      <c r="G184" s="423">
        <v>280</v>
      </c>
      <c r="H184" s="419" t="s">
        <v>982</v>
      </c>
      <c r="I184" s="419" t="s">
        <v>883</v>
      </c>
      <c r="J184" s="420"/>
      <c r="K184" s="421">
        <v>100000</v>
      </c>
      <c r="L184" s="424">
        <f>L183+Table16[[#This Row],[المدين (إيداع)]]-Table16[[#This Row],[الدائن (السحب)]]</f>
        <v>82364.169999999925</v>
      </c>
    </row>
    <row r="185" spans="1:12" ht="23.25" hidden="1">
      <c r="A185" s="412">
        <f>SUBTOTAL(3,$E$8:E185)</f>
        <v>0</v>
      </c>
      <c r="B185" s="394">
        <v>42844</v>
      </c>
      <c r="C185" s="419" t="s">
        <v>744</v>
      </c>
      <c r="D185" s="417" t="s">
        <v>977</v>
      </c>
      <c r="E185" s="419" t="s">
        <v>978</v>
      </c>
      <c r="F185" s="419" t="s">
        <v>773</v>
      </c>
      <c r="G185" s="423">
        <v>281</v>
      </c>
      <c r="H185" s="419" t="s">
        <v>983</v>
      </c>
      <c r="I185" s="419" t="s">
        <v>883</v>
      </c>
      <c r="J185" s="420"/>
      <c r="K185" s="421">
        <v>78830</v>
      </c>
      <c r="L185" s="424">
        <f>L184+Table16[[#This Row],[المدين (إيداع)]]-Table16[[#This Row],[الدائن (السحب)]]</f>
        <v>3534.1699999999255</v>
      </c>
    </row>
    <row r="186" spans="1:12" ht="23.25" hidden="1">
      <c r="A186" s="412">
        <f>SUBTOTAL(3,$E$8:E186)</f>
        <v>0</v>
      </c>
      <c r="B186" s="394">
        <v>42847</v>
      </c>
      <c r="C186" s="419" t="s">
        <v>744</v>
      </c>
      <c r="D186" s="417" t="s">
        <v>984</v>
      </c>
      <c r="E186" s="419" t="s">
        <v>985</v>
      </c>
      <c r="F186" s="419" t="s">
        <v>758</v>
      </c>
      <c r="G186" s="423"/>
      <c r="H186" s="419" t="s">
        <v>986</v>
      </c>
      <c r="I186" s="419" t="s">
        <v>987</v>
      </c>
      <c r="J186" s="420">
        <v>900</v>
      </c>
      <c r="K186" s="421"/>
      <c r="L186" s="424">
        <f>L185+Table16[[#This Row],[المدين (إيداع)]]-Table16[[#This Row],[الدائن (السحب)]]</f>
        <v>4434.1699999999255</v>
      </c>
    </row>
    <row r="187" spans="1:12" ht="23.25" hidden="1">
      <c r="A187" s="412">
        <f>SUBTOTAL(3,$E$8:E187)</f>
        <v>0</v>
      </c>
      <c r="B187" s="394">
        <v>42848</v>
      </c>
      <c r="C187" s="419" t="s">
        <v>744</v>
      </c>
      <c r="D187" s="417" t="s">
        <v>988</v>
      </c>
      <c r="E187" s="419" t="s">
        <v>795</v>
      </c>
      <c r="F187" s="419" t="s">
        <v>758</v>
      </c>
      <c r="G187" s="423"/>
      <c r="H187" s="419" t="s">
        <v>796</v>
      </c>
      <c r="I187" s="419" t="s">
        <v>797</v>
      </c>
      <c r="J187" s="420">
        <v>51350</v>
      </c>
      <c r="K187" s="421"/>
      <c r="L187" s="424">
        <f>L186+Table16[[#This Row],[المدين (إيداع)]]-Table16[[#This Row],[الدائن (السحب)]]</f>
        <v>55784.169999999925</v>
      </c>
    </row>
    <row r="188" spans="1:12" ht="23.25" hidden="1">
      <c r="A188" s="412">
        <f>SUBTOTAL(3,$E$8:E188)</f>
        <v>0</v>
      </c>
      <c r="B188" s="394">
        <v>42848</v>
      </c>
      <c r="C188" s="419" t="s">
        <v>744</v>
      </c>
      <c r="D188" s="417" t="s">
        <v>952</v>
      </c>
      <c r="E188" s="419" t="s">
        <v>989</v>
      </c>
      <c r="F188" s="419" t="s">
        <v>758</v>
      </c>
      <c r="G188" s="423" t="s">
        <v>990</v>
      </c>
      <c r="H188" s="419" t="s">
        <v>991</v>
      </c>
      <c r="I188" s="419" t="s">
        <v>761</v>
      </c>
      <c r="J188" s="420">
        <v>900</v>
      </c>
      <c r="K188" s="421"/>
      <c r="L188" s="424">
        <f>L187+Table16[[#This Row],[المدين (إيداع)]]-Table16[[#This Row],[الدائن (السحب)]]</f>
        <v>56684.169999999925</v>
      </c>
    </row>
    <row r="189" spans="1:12" ht="23.25" hidden="1">
      <c r="A189" s="412">
        <f>SUBTOTAL(3,$E$8:E189)</f>
        <v>0</v>
      </c>
      <c r="B189" s="394">
        <v>42848</v>
      </c>
      <c r="C189" s="419" t="s">
        <v>744</v>
      </c>
      <c r="D189" s="417" t="s">
        <v>992</v>
      </c>
      <c r="E189" s="419" t="s">
        <v>993</v>
      </c>
      <c r="F189" s="419" t="s">
        <v>758</v>
      </c>
      <c r="G189" s="423" t="s">
        <v>994</v>
      </c>
      <c r="H189" s="419" t="s">
        <v>993</v>
      </c>
      <c r="I189" s="419" t="s">
        <v>761</v>
      </c>
      <c r="J189" s="420">
        <v>1800</v>
      </c>
      <c r="K189" s="421"/>
      <c r="L189" s="424">
        <f>L188+Table16[[#This Row],[المدين (إيداع)]]-Table16[[#This Row],[الدائن (السحب)]]</f>
        <v>58484.169999999925</v>
      </c>
    </row>
    <row r="190" spans="1:12" ht="23.25" hidden="1">
      <c r="A190" s="412">
        <f>SUBTOTAL(3,$E$8:E190)</f>
        <v>0</v>
      </c>
      <c r="B190" s="394">
        <v>42849</v>
      </c>
      <c r="C190" s="419" t="s">
        <v>744</v>
      </c>
      <c r="D190" s="417" t="s">
        <v>995</v>
      </c>
      <c r="E190" s="419" t="s">
        <v>849</v>
      </c>
      <c r="F190" s="419" t="s">
        <v>746</v>
      </c>
      <c r="G190" s="423"/>
      <c r="H190" s="419" t="s">
        <v>747</v>
      </c>
      <c r="I190" s="419" t="s">
        <v>811</v>
      </c>
      <c r="J190" s="420">
        <v>29500</v>
      </c>
      <c r="K190" s="421"/>
      <c r="L190" s="424">
        <f>L189+Table16[[#This Row],[المدين (إيداع)]]-Table16[[#This Row],[الدائن (السحب)]]</f>
        <v>87984.169999999925</v>
      </c>
    </row>
    <row r="191" spans="1:12" ht="23.25" hidden="1">
      <c r="A191" s="412">
        <f>SUBTOTAL(3,$E$8:E191)</f>
        <v>0</v>
      </c>
      <c r="B191" s="394">
        <v>42849</v>
      </c>
      <c r="C191" s="419" t="s">
        <v>744</v>
      </c>
      <c r="D191" s="417" t="s">
        <v>840</v>
      </c>
      <c r="E191" s="419" t="s">
        <v>762</v>
      </c>
      <c r="F191" s="419" t="s">
        <v>763</v>
      </c>
      <c r="G191" s="423">
        <v>2912</v>
      </c>
      <c r="H191" s="419" t="s">
        <v>996</v>
      </c>
      <c r="I191" s="419" t="s">
        <v>842</v>
      </c>
      <c r="J191" s="420">
        <v>1600</v>
      </c>
      <c r="K191" s="421"/>
      <c r="L191" s="424">
        <f>L190+Table16[[#This Row],[المدين (إيداع)]]-Table16[[#This Row],[الدائن (السحب)]]</f>
        <v>89584.169999999925</v>
      </c>
    </row>
    <row r="192" spans="1:12" ht="23.25" hidden="1">
      <c r="A192" s="412">
        <f>SUBTOTAL(3,$E$8:E192)</f>
        <v>0</v>
      </c>
      <c r="B192" s="394">
        <v>42849</v>
      </c>
      <c r="C192" s="419" t="s">
        <v>744</v>
      </c>
      <c r="D192" s="417" t="s">
        <v>840</v>
      </c>
      <c r="E192" s="419" t="s">
        <v>762</v>
      </c>
      <c r="F192" s="419" t="s">
        <v>763</v>
      </c>
      <c r="G192" s="423">
        <v>2913</v>
      </c>
      <c r="H192" s="419" t="s">
        <v>996</v>
      </c>
      <c r="I192" s="419" t="s">
        <v>842</v>
      </c>
      <c r="J192" s="420">
        <v>2000</v>
      </c>
      <c r="K192" s="421"/>
      <c r="L192" s="424">
        <f>L191+Table16[[#This Row],[المدين (إيداع)]]-Table16[[#This Row],[الدائن (السحب)]]</f>
        <v>91584.169999999925</v>
      </c>
    </row>
    <row r="193" spans="1:12" ht="23.25" hidden="1">
      <c r="A193" s="412">
        <f>SUBTOTAL(3,$E$8:E193)</f>
        <v>0</v>
      </c>
      <c r="B193" s="394">
        <v>42849</v>
      </c>
      <c r="C193" s="419" t="s">
        <v>744</v>
      </c>
      <c r="D193" s="417" t="s">
        <v>833</v>
      </c>
      <c r="E193" s="419" t="s">
        <v>997</v>
      </c>
      <c r="F193" s="419" t="s">
        <v>763</v>
      </c>
      <c r="G193" s="423">
        <v>45</v>
      </c>
      <c r="H193" s="419" t="s">
        <v>844</v>
      </c>
      <c r="I193" s="419" t="s">
        <v>761</v>
      </c>
      <c r="J193" s="420">
        <v>3000</v>
      </c>
      <c r="K193" s="421"/>
      <c r="L193" s="424">
        <f>L192+Table16[[#This Row],[المدين (إيداع)]]-Table16[[#This Row],[الدائن (السحب)]]</f>
        <v>94584.169999999925</v>
      </c>
    </row>
    <row r="194" spans="1:12" ht="23.25" hidden="1">
      <c r="A194" s="412">
        <f>SUBTOTAL(3,$E$8:E194)</f>
        <v>0</v>
      </c>
      <c r="B194" s="394">
        <v>42849</v>
      </c>
      <c r="C194" s="419" t="s">
        <v>744</v>
      </c>
      <c r="D194" s="417" t="s">
        <v>952</v>
      </c>
      <c r="E194" s="419" t="s">
        <v>998</v>
      </c>
      <c r="F194" s="419" t="s">
        <v>763</v>
      </c>
      <c r="G194" s="423">
        <v>5502</v>
      </c>
      <c r="H194" s="419" t="s">
        <v>806</v>
      </c>
      <c r="I194" s="419" t="s">
        <v>761</v>
      </c>
      <c r="J194" s="420">
        <v>3000</v>
      </c>
      <c r="K194" s="421"/>
      <c r="L194" s="424">
        <f>L193+Table16[[#This Row],[المدين (إيداع)]]-Table16[[#This Row],[الدائن (السحب)]]</f>
        <v>97584.169999999925</v>
      </c>
    </row>
    <row r="195" spans="1:12" ht="23.25" hidden="1">
      <c r="A195" s="412">
        <f>SUBTOTAL(3,$E$8:E195)</f>
        <v>0</v>
      </c>
      <c r="B195" s="394">
        <v>42849</v>
      </c>
      <c r="C195" s="419" t="s">
        <v>744</v>
      </c>
      <c r="D195" s="417" t="s">
        <v>952</v>
      </c>
      <c r="E195" s="419" t="s">
        <v>999</v>
      </c>
      <c r="F195" s="419" t="s">
        <v>763</v>
      </c>
      <c r="G195" s="423">
        <v>222</v>
      </c>
      <c r="H195" s="419" t="s">
        <v>1000</v>
      </c>
      <c r="I195" s="419" t="s">
        <v>761</v>
      </c>
      <c r="J195" s="420">
        <v>8400</v>
      </c>
      <c r="K195" s="421"/>
      <c r="L195" s="424">
        <f>L194+Table16[[#This Row],[المدين (إيداع)]]-Table16[[#This Row],[الدائن (السحب)]]</f>
        <v>105984.16999999993</v>
      </c>
    </row>
    <row r="196" spans="1:12" ht="23.25" hidden="1">
      <c r="A196" s="412">
        <f>SUBTOTAL(3,$E$8:E196)</f>
        <v>0</v>
      </c>
      <c r="B196" s="394">
        <v>42849</v>
      </c>
      <c r="C196" s="419" t="s">
        <v>744</v>
      </c>
      <c r="D196" s="417" t="s">
        <v>1001</v>
      </c>
      <c r="E196" s="419" t="s">
        <v>762</v>
      </c>
      <c r="F196" s="419" t="s">
        <v>763</v>
      </c>
      <c r="G196" s="423">
        <v>4447</v>
      </c>
      <c r="H196" s="419" t="s">
        <v>803</v>
      </c>
      <c r="I196" s="419" t="s">
        <v>857</v>
      </c>
      <c r="J196" s="420">
        <v>900</v>
      </c>
      <c r="K196" s="421"/>
      <c r="L196" s="424">
        <f>L195+Table16[[#This Row],[المدين (إيداع)]]-Table16[[#This Row],[الدائن (السحب)]]</f>
        <v>106884.16999999993</v>
      </c>
    </row>
    <row r="197" spans="1:12" ht="23.25" hidden="1">
      <c r="A197" s="412">
        <f>SUBTOTAL(3,$E$8:E197)</f>
        <v>0</v>
      </c>
      <c r="B197" s="394">
        <v>42849</v>
      </c>
      <c r="C197" s="419" t="s">
        <v>744</v>
      </c>
      <c r="D197" s="417" t="s">
        <v>952</v>
      </c>
      <c r="E197" s="419" t="s">
        <v>1002</v>
      </c>
      <c r="F197" s="419" t="s">
        <v>763</v>
      </c>
      <c r="G197" s="423">
        <v>500169</v>
      </c>
      <c r="H197" s="419" t="s">
        <v>1003</v>
      </c>
      <c r="I197" s="419" t="s">
        <v>761</v>
      </c>
      <c r="J197" s="420">
        <v>1350</v>
      </c>
      <c r="K197" s="421"/>
      <c r="L197" s="424">
        <f>L196+Table16[[#This Row],[المدين (إيداع)]]-Table16[[#This Row],[الدائن (السحب)]]</f>
        <v>108234.16999999993</v>
      </c>
    </row>
    <row r="198" spans="1:12" ht="23.25" hidden="1">
      <c r="A198" s="412">
        <f>SUBTOTAL(3,$E$8:E198)</f>
        <v>0</v>
      </c>
      <c r="B198" s="394">
        <v>42849</v>
      </c>
      <c r="C198" s="419" t="s">
        <v>744</v>
      </c>
      <c r="D198" s="417" t="s">
        <v>1001</v>
      </c>
      <c r="E198" s="419" t="s">
        <v>762</v>
      </c>
      <c r="F198" s="419" t="s">
        <v>763</v>
      </c>
      <c r="G198" s="423">
        <v>1198</v>
      </c>
      <c r="H198" s="419" t="s">
        <v>803</v>
      </c>
      <c r="I198" s="419" t="s">
        <v>857</v>
      </c>
      <c r="J198" s="420">
        <v>2400</v>
      </c>
      <c r="K198" s="421"/>
      <c r="L198" s="424">
        <f>L197+Table16[[#This Row],[المدين (إيداع)]]-Table16[[#This Row],[الدائن (السحب)]]</f>
        <v>110634.16999999993</v>
      </c>
    </row>
    <row r="199" spans="1:12" ht="23.25" hidden="1">
      <c r="A199" s="412">
        <f>SUBTOTAL(3,$E$8:E199)</f>
        <v>0</v>
      </c>
      <c r="B199" s="394">
        <v>42849</v>
      </c>
      <c r="C199" s="419" t="s">
        <v>744</v>
      </c>
      <c r="D199" s="417" t="s">
        <v>952</v>
      </c>
      <c r="E199" s="419" t="s">
        <v>1004</v>
      </c>
      <c r="F199" s="419" t="s">
        <v>763</v>
      </c>
      <c r="G199" s="423">
        <v>66519046</v>
      </c>
      <c r="H199" s="419" t="s">
        <v>766</v>
      </c>
      <c r="I199" s="419" t="s">
        <v>761</v>
      </c>
      <c r="J199" s="420">
        <v>12800</v>
      </c>
      <c r="K199" s="421"/>
      <c r="L199" s="424">
        <f>L198+Table16[[#This Row],[المدين (إيداع)]]-Table16[[#This Row],[الدائن (السحب)]]</f>
        <v>123434.16999999993</v>
      </c>
    </row>
    <row r="200" spans="1:12" ht="23.25" hidden="1">
      <c r="A200" s="412">
        <f>SUBTOTAL(3,$E$8:E200)</f>
        <v>0</v>
      </c>
      <c r="B200" s="394">
        <v>42849</v>
      </c>
      <c r="C200" s="419" t="s">
        <v>744</v>
      </c>
      <c r="D200" s="417" t="s">
        <v>957</v>
      </c>
      <c r="E200" s="419" t="s">
        <v>1005</v>
      </c>
      <c r="F200" s="419" t="s">
        <v>758</v>
      </c>
      <c r="G200" s="423"/>
      <c r="H200" s="419" t="s">
        <v>1006</v>
      </c>
      <c r="I200" s="419" t="s">
        <v>771</v>
      </c>
      <c r="J200" s="420">
        <v>900</v>
      </c>
      <c r="K200" s="421"/>
      <c r="L200" s="424">
        <f>L199+Table16[[#This Row],[المدين (إيداع)]]-Table16[[#This Row],[الدائن (السحب)]]</f>
        <v>124334.16999999993</v>
      </c>
    </row>
    <row r="201" spans="1:12" ht="23.25" hidden="1">
      <c r="A201" s="412">
        <f>SUBTOTAL(3,$E$8:E201)</f>
        <v>0</v>
      </c>
      <c r="B201" s="394">
        <v>42849</v>
      </c>
      <c r="C201" s="419" t="s">
        <v>744</v>
      </c>
      <c r="D201" s="417" t="s">
        <v>1007</v>
      </c>
      <c r="E201" s="419" t="s">
        <v>758</v>
      </c>
      <c r="F201" s="419" t="s">
        <v>758</v>
      </c>
      <c r="G201" s="423"/>
      <c r="H201" s="419" t="s">
        <v>825</v>
      </c>
      <c r="I201" s="419" t="s">
        <v>974</v>
      </c>
      <c r="J201" s="420">
        <v>800</v>
      </c>
      <c r="K201" s="421"/>
      <c r="L201" s="424">
        <f>L200+Table16[[#This Row],[المدين (إيداع)]]-Table16[[#This Row],[الدائن (السحب)]]</f>
        <v>125134.16999999993</v>
      </c>
    </row>
    <row r="202" spans="1:12" ht="23.25" hidden="1">
      <c r="A202" s="412">
        <f>SUBTOTAL(3,$E$8:E202)</f>
        <v>0</v>
      </c>
      <c r="B202" s="394">
        <v>42850</v>
      </c>
      <c r="C202" s="419" t="s">
        <v>744</v>
      </c>
      <c r="D202" s="417" t="s">
        <v>981</v>
      </c>
      <c r="E202" s="419" t="s">
        <v>879</v>
      </c>
      <c r="F202" s="419" t="s">
        <v>758</v>
      </c>
      <c r="G202" s="423"/>
      <c r="H202" s="419" t="s">
        <v>1008</v>
      </c>
      <c r="I202" s="419" t="s">
        <v>851</v>
      </c>
      <c r="J202" s="420">
        <v>20000</v>
      </c>
      <c r="K202" s="421"/>
      <c r="L202" s="424">
        <f>L201+Table16[[#This Row],[المدين (إيداع)]]-Table16[[#This Row],[الدائن (السحب)]]</f>
        <v>145134.16999999993</v>
      </c>
    </row>
    <row r="203" spans="1:12" ht="23.25" hidden="1">
      <c r="A203" s="412">
        <f>SUBTOTAL(3,$E$8:E203)</f>
        <v>0</v>
      </c>
      <c r="B203" s="394">
        <v>42850</v>
      </c>
      <c r="C203" s="419" t="s">
        <v>744</v>
      </c>
      <c r="D203" s="417" t="s">
        <v>1009</v>
      </c>
      <c r="E203" s="419" t="s">
        <v>1010</v>
      </c>
      <c r="F203" s="419" t="s">
        <v>758</v>
      </c>
      <c r="G203" s="423"/>
      <c r="H203" s="419" t="s">
        <v>856</v>
      </c>
      <c r="I203" s="419" t="s">
        <v>857</v>
      </c>
      <c r="J203" s="420">
        <v>16000</v>
      </c>
      <c r="K203" s="421"/>
      <c r="L203" s="424">
        <f>L202+Table16[[#This Row],[المدين (إيداع)]]-Table16[[#This Row],[الدائن (السحب)]]</f>
        <v>161134.16999999993</v>
      </c>
    </row>
    <row r="204" spans="1:12" ht="23.25" hidden="1">
      <c r="A204" s="412">
        <f>SUBTOTAL(3,$E$8:E204)</f>
        <v>0</v>
      </c>
      <c r="B204" s="394">
        <v>42850</v>
      </c>
      <c r="C204" s="419" t="s">
        <v>744</v>
      </c>
      <c r="D204" s="417" t="s">
        <v>957</v>
      </c>
      <c r="E204" s="419" t="s">
        <v>1011</v>
      </c>
      <c r="F204" s="419" t="s">
        <v>758</v>
      </c>
      <c r="G204" s="423"/>
      <c r="H204" s="419" t="s">
        <v>1012</v>
      </c>
      <c r="I204" s="419" t="s">
        <v>771</v>
      </c>
      <c r="J204" s="420">
        <v>300</v>
      </c>
      <c r="K204" s="421"/>
      <c r="L204" s="424">
        <f>L203+Table16[[#This Row],[المدين (إيداع)]]-Table16[[#This Row],[الدائن (السحب)]]</f>
        <v>161434.16999999993</v>
      </c>
    </row>
    <row r="205" spans="1:12" ht="23.25" hidden="1">
      <c r="A205" s="412">
        <f>SUBTOTAL(3,$E$8:E205)</f>
        <v>0</v>
      </c>
      <c r="B205" s="394">
        <v>42850</v>
      </c>
      <c r="C205" s="419" t="s">
        <v>744</v>
      </c>
      <c r="D205" s="417" t="s">
        <v>957</v>
      </c>
      <c r="E205" s="419" t="s">
        <v>1013</v>
      </c>
      <c r="F205" s="419" t="s">
        <v>758</v>
      </c>
      <c r="G205" s="423"/>
      <c r="H205" s="419" t="s">
        <v>1014</v>
      </c>
      <c r="I205" s="419" t="s">
        <v>771</v>
      </c>
      <c r="J205" s="420">
        <v>300</v>
      </c>
      <c r="K205" s="421"/>
      <c r="L205" s="424">
        <f>L204+Table16[[#This Row],[المدين (إيداع)]]-Table16[[#This Row],[الدائن (السحب)]]</f>
        <v>161734.16999999993</v>
      </c>
    </row>
    <row r="206" spans="1:12" ht="23.25" hidden="1">
      <c r="A206" s="412">
        <f>SUBTOTAL(3,$E$8:E206)</f>
        <v>0</v>
      </c>
      <c r="B206" s="394">
        <v>42851</v>
      </c>
      <c r="C206" s="419" t="s">
        <v>744</v>
      </c>
      <c r="D206" s="417" t="s">
        <v>848</v>
      </c>
      <c r="E206" s="419" t="s">
        <v>879</v>
      </c>
      <c r="F206" s="419" t="s">
        <v>758</v>
      </c>
      <c r="G206" s="423"/>
      <c r="H206" s="419" t="s">
        <v>1008</v>
      </c>
      <c r="I206" s="419" t="s">
        <v>851</v>
      </c>
      <c r="J206" s="420">
        <v>20000</v>
      </c>
      <c r="K206" s="421"/>
      <c r="L206" s="424">
        <f>L205+Table16[[#This Row],[المدين (إيداع)]]-Table16[[#This Row],[الدائن (السحب)]]</f>
        <v>181734.16999999993</v>
      </c>
    </row>
    <row r="207" spans="1:12" ht="23.25" hidden="1">
      <c r="A207" s="412">
        <f>SUBTOTAL(3,$E$8:E207)</f>
        <v>0</v>
      </c>
      <c r="B207" s="394">
        <v>42851</v>
      </c>
      <c r="C207" s="419" t="s">
        <v>744</v>
      </c>
      <c r="D207" s="417" t="s">
        <v>1015</v>
      </c>
      <c r="E207" s="419" t="s">
        <v>758</v>
      </c>
      <c r="F207" s="419" t="s">
        <v>758</v>
      </c>
      <c r="G207" s="423"/>
      <c r="H207" s="419" t="s">
        <v>407</v>
      </c>
      <c r="I207" s="419" t="s">
        <v>987</v>
      </c>
      <c r="J207" s="420">
        <v>6300</v>
      </c>
      <c r="K207" s="421"/>
      <c r="L207" s="424">
        <f>L206+Table16[[#This Row],[المدين (إيداع)]]-Table16[[#This Row],[الدائن (السحب)]]</f>
        <v>188034.16999999993</v>
      </c>
    </row>
    <row r="208" spans="1:12" ht="23.25" hidden="1">
      <c r="A208" s="412">
        <f>SUBTOTAL(3,$E$8:E208)</f>
        <v>0</v>
      </c>
      <c r="B208" s="394">
        <v>42852</v>
      </c>
      <c r="C208" s="419" t="s">
        <v>744</v>
      </c>
      <c r="D208" s="417" t="s">
        <v>848</v>
      </c>
      <c r="E208" s="419" t="s">
        <v>879</v>
      </c>
      <c r="F208" s="419" t="s">
        <v>758</v>
      </c>
      <c r="G208" s="423"/>
      <c r="H208" s="419" t="s">
        <v>1008</v>
      </c>
      <c r="I208" s="419" t="s">
        <v>851</v>
      </c>
      <c r="J208" s="420">
        <v>20000</v>
      </c>
      <c r="K208" s="421"/>
      <c r="L208" s="424">
        <f>L207+Table16[[#This Row],[المدين (إيداع)]]-Table16[[#This Row],[الدائن (السحب)]]</f>
        <v>208034.16999999993</v>
      </c>
    </row>
    <row r="209" spans="1:12" ht="23.25" hidden="1">
      <c r="A209" s="412">
        <f>SUBTOTAL(3,$E$8:E209)</f>
        <v>0</v>
      </c>
      <c r="B209" s="394">
        <v>42852</v>
      </c>
      <c r="C209" s="419" t="s">
        <v>744</v>
      </c>
      <c r="D209" s="417" t="s">
        <v>957</v>
      </c>
      <c r="E209" s="419" t="s">
        <v>758</v>
      </c>
      <c r="F209" s="419" t="s">
        <v>758</v>
      </c>
      <c r="G209" s="423"/>
      <c r="H209" s="419" t="s">
        <v>758</v>
      </c>
      <c r="I209" s="419" t="s">
        <v>771</v>
      </c>
      <c r="J209" s="420">
        <v>900</v>
      </c>
      <c r="K209" s="421"/>
      <c r="L209" s="424">
        <f>L208+Table16[[#This Row],[المدين (إيداع)]]-Table16[[#This Row],[الدائن (السحب)]]</f>
        <v>208934.16999999993</v>
      </c>
    </row>
    <row r="210" spans="1:12" ht="23.25" hidden="1">
      <c r="A210" s="412">
        <f>SUBTOTAL(3,$E$8:E210)</f>
        <v>0</v>
      </c>
      <c r="B210" s="394">
        <v>42854</v>
      </c>
      <c r="C210" s="419" t="s">
        <v>744</v>
      </c>
      <c r="D210" s="417" t="s">
        <v>957</v>
      </c>
      <c r="E210" s="419" t="s">
        <v>758</v>
      </c>
      <c r="F210" s="419" t="s">
        <v>758</v>
      </c>
      <c r="G210" s="423"/>
      <c r="H210" s="419" t="s">
        <v>758</v>
      </c>
      <c r="I210" s="419" t="s">
        <v>771</v>
      </c>
      <c r="J210" s="420">
        <v>350</v>
      </c>
      <c r="K210" s="421"/>
      <c r="L210" s="424">
        <f>L209+Table16[[#This Row],[المدين (إيداع)]]-Table16[[#This Row],[الدائن (السحب)]]</f>
        <v>209284.16999999993</v>
      </c>
    </row>
    <row r="211" spans="1:12" ht="23.25" hidden="1">
      <c r="A211" s="412">
        <f>SUBTOTAL(3,$E$8:E211)</f>
        <v>0</v>
      </c>
      <c r="B211" s="394">
        <v>42855</v>
      </c>
      <c r="C211" s="419" t="s">
        <v>744</v>
      </c>
      <c r="D211" s="417" t="s">
        <v>981</v>
      </c>
      <c r="E211" s="419" t="s">
        <v>879</v>
      </c>
      <c r="F211" s="419" t="s">
        <v>758</v>
      </c>
      <c r="G211" s="423"/>
      <c r="H211" s="419" t="s">
        <v>1008</v>
      </c>
      <c r="I211" s="419" t="s">
        <v>851</v>
      </c>
      <c r="J211" s="420">
        <v>20000</v>
      </c>
      <c r="K211" s="421"/>
      <c r="L211" s="424">
        <f>L210+Table16[[#This Row],[المدين (إيداع)]]-Table16[[#This Row],[الدائن (السحب)]]</f>
        <v>229284.16999999993</v>
      </c>
    </row>
    <row r="212" spans="1:12" ht="23.25" hidden="1">
      <c r="A212" s="412">
        <f>SUBTOTAL(3,$E$8:E212)</f>
        <v>0</v>
      </c>
      <c r="B212" s="394">
        <v>42856</v>
      </c>
      <c r="C212" s="419" t="s">
        <v>744</v>
      </c>
      <c r="D212" s="417" t="s">
        <v>995</v>
      </c>
      <c r="E212" s="419" t="s">
        <v>945</v>
      </c>
      <c r="F212" s="419" t="s">
        <v>746</v>
      </c>
      <c r="G212" s="423"/>
      <c r="H212" s="419" t="s">
        <v>747</v>
      </c>
      <c r="I212" s="419" t="s">
        <v>811</v>
      </c>
      <c r="J212" s="420">
        <v>14665</v>
      </c>
      <c r="K212" s="421"/>
      <c r="L212" s="424">
        <f>L211+Table16[[#This Row],[المدين (إيداع)]]-Table16[[#This Row],[الدائن (السحب)]]</f>
        <v>243949.16999999993</v>
      </c>
    </row>
    <row r="213" spans="1:12" ht="23.25" hidden="1">
      <c r="A213" s="412">
        <f>SUBTOTAL(3,$E$8:E213)</f>
        <v>0</v>
      </c>
      <c r="B213" s="394">
        <v>42856</v>
      </c>
      <c r="C213" s="419" t="s">
        <v>744</v>
      </c>
      <c r="D213" s="428" t="s">
        <v>812</v>
      </c>
      <c r="E213" s="419" t="s">
        <v>1016</v>
      </c>
      <c r="F213" s="419" t="s">
        <v>758</v>
      </c>
      <c r="G213" s="423"/>
      <c r="H213" s="429" t="s">
        <v>1017</v>
      </c>
      <c r="I213" s="419" t="s">
        <v>947</v>
      </c>
      <c r="J213" s="420">
        <v>900</v>
      </c>
      <c r="K213" s="421"/>
      <c r="L213" s="424">
        <f>L212+Table16[[#This Row],[المدين (إيداع)]]-Table16[[#This Row],[الدائن (السحب)]]</f>
        <v>244849.16999999993</v>
      </c>
    </row>
    <row r="214" spans="1:12" ht="23.25" hidden="1">
      <c r="A214" s="412">
        <f>SUBTOTAL(3,$E$8:E214)</f>
        <v>0</v>
      </c>
      <c r="B214" s="394">
        <v>42857</v>
      </c>
      <c r="C214" s="419" t="s">
        <v>744</v>
      </c>
      <c r="D214" s="417" t="s">
        <v>995</v>
      </c>
      <c r="E214" s="419" t="s">
        <v>762</v>
      </c>
      <c r="F214" s="419" t="s">
        <v>763</v>
      </c>
      <c r="G214" s="423">
        <v>577</v>
      </c>
      <c r="H214" s="419" t="s">
        <v>803</v>
      </c>
      <c r="I214" s="419" t="s">
        <v>811</v>
      </c>
      <c r="J214" s="420">
        <v>2100</v>
      </c>
      <c r="K214" s="421"/>
      <c r="L214" s="424">
        <f>L213+Table16[[#This Row],[المدين (إيداع)]]-Table16[[#This Row],[الدائن (السحب)]]</f>
        <v>246949.16999999993</v>
      </c>
    </row>
    <row r="215" spans="1:12" ht="23.25" hidden="1">
      <c r="A215" s="412">
        <f>SUBTOTAL(3,$E$8:E215)</f>
        <v>0</v>
      </c>
      <c r="B215" s="394">
        <v>42857</v>
      </c>
      <c r="C215" s="419" t="s">
        <v>744</v>
      </c>
      <c r="D215" s="417" t="s">
        <v>995</v>
      </c>
      <c r="E215" s="419" t="s">
        <v>762</v>
      </c>
      <c r="F215" s="419" t="s">
        <v>763</v>
      </c>
      <c r="G215" s="423">
        <v>1826</v>
      </c>
      <c r="H215" s="419" t="s">
        <v>803</v>
      </c>
      <c r="I215" s="419" t="s">
        <v>811</v>
      </c>
      <c r="J215" s="420">
        <v>1575</v>
      </c>
      <c r="K215" s="421"/>
      <c r="L215" s="424">
        <f>L214+Table16[[#This Row],[المدين (إيداع)]]-Table16[[#This Row],[الدائن (السحب)]]</f>
        <v>248524.16999999993</v>
      </c>
    </row>
    <row r="216" spans="1:12" ht="23.25" hidden="1">
      <c r="A216" s="412">
        <f>SUBTOTAL(3,$E$8:E216)</f>
        <v>0</v>
      </c>
      <c r="B216" s="394">
        <v>42857</v>
      </c>
      <c r="C216" s="419" t="s">
        <v>744</v>
      </c>
      <c r="D216" s="417" t="s">
        <v>995</v>
      </c>
      <c r="E216" s="419" t="s">
        <v>762</v>
      </c>
      <c r="F216" s="419" t="s">
        <v>763</v>
      </c>
      <c r="G216" s="423">
        <v>1827</v>
      </c>
      <c r="H216" s="419" t="s">
        <v>803</v>
      </c>
      <c r="I216" s="419" t="s">
        <v>811</v>
      </c>
      <c r="J216" s="420">
        <v>1575</v>
      </c>
      <c r="K216" s="421"/>
      <c r="L216" s="424">
        <f>L215+Table16[[#This Row],[المدين (إيداع)]]-Table16[[#This Row],[الدائن (السحب)]]</f>
        <v>250099.16999999993</v>
      </c>
    </row>
    <row r="217" spans="1:12" ht="23.25" hidden="1">
      <c r="A217" s="412">
        <f>SUBTOTAL(3,$E$8:E217)</f>
        <v>0</v>
      </c>
      <c r="B217" s="394">
        <v>42857</v>
      </c>
      <c r="C217" s="419" t="s">
        <v>744</v>
      </c>
      <c r="D217" s="417" t="s">
        <v>995</v>
      </c>
      <c r="E217" s="419" t="s">
        <v>762</v>
      </c>
      <c r="F217" s="419" t="s">
        <v>763</v>
      </c>
      <c r="G217" s="423">
        <v>354</v>
      </c>
      <c r="H217" s="419" t="s">
        <v>803</v>
      </c>
      <c r="I217" s="419" t="s">
        <v>811</v>
      </c>
      <c r="J217" s="420">
        <v>1500</v>
      </c>
      <c r="K217" s="421"/>
      <c r="L217" s="424">
        <f>L216+Table16[[#This Row],[المدين (إيداع)]]-Table16[[#This Row],[الدائن (السحب)]]</f>
        <v>251599.16999999993</v>
      </c>
    </row>
    <row r="218" spans="1:12" ht="23.25" hidden="1">
      <c r="A218" s="412">
        <f>SUBTOTAL(3,$E$8:E218)</f>
        <v>0</v>
      </c>
      <c r="B218" s="394">
        <v>42857</v>
      </c>
      <c r="C218" s="419" t="s">
        <v>744</v>
      </c>
      <c r="D218" s="417" t="s">
        <v>995</v>
      </c>
      <c r="E218" s="419" t="s">
        <v>762</v>
      </c>
      <c r="F218" s="419" t="s">
        <v>763</v>
      </c>
      <c r="G218" s="423">
        <v>256</v>
      </c>
      <c r="H218" s="419" t="s">
        <v>803</v>
      </c>
      <c r="I218" s="419" t="s">
        <v>811</v>
      </c>
      <c r="J218" s="420">
        <v>3000</v>
      </c>
      <c r="K218" s="421"/>
      <c r="L218" s="424">
        <f>L217+Table16[[#This Row],[المدين (إيداع)]]-Table16[[#This Row],[الدائن (السحب)]]</f>
        <v>254599.16999999993</v>
      </c>
    </row>
    <row r="219" spans="1:12" ht="23.25" hidden="1">
      <c r="A219" s="412">
        <f>SUBTOTAL(3,$E$8:E219)</f>
        <v>0</v>
      </c>
      <c r="B219" s="394">
        <v>42857</v>
      </c>
      <c r="C219" s="419" t="s">
        <v>1018</v>
      </c>
      <c r="D219" s="417" t="s">
        <v>1019</v>
      </c>
      <c r="E219" s="419" t="s">
        <v>758</v>
      </c>
      <c r="F219" s="419" t="s">
        <v>758</v>
      </c>
      <c r="G219" s="423"/>
      <c r="H219" s="419" t="s">
        <v>943</v>
      </c>
      <c r="I219" s="419" t="s">
        <v>771</v>
      </c>
      <c r="J219" s="420">
        <v>855</v>
      </c>
      <c r="K219" s="421"/>
      <c r="L219" s="424">
        <f>L218+Table16[[#This Row],[المدين (إيداع)]]-Table16[[#This Row],[الدائن (السحب)]]</f>
        <v>255454.16999999993</v>
      </c>
    </row>
    <row r="220" spans="1:12" ht="23.25" hidden="1">
      <c r="A220" s="412">
        <f>SUBTOTAL(3,$E$8:E220)</f>
        <v>0</v>
      </c>
      <c r="B220" s="394">
        <v>42858</v>
      </c>
      <c r="C220" s="419" t="s">
        <v>744</v>
      </c>
      <c r="D220" s="417" t="s">
        <v>1020</v>
      </c>
      <c r="E220" s="419" t="s">
        <v>1021</v>
      </c>
      <c r="F220" s="419" t="s">
        <v>746</v>
      </c>
      <c r="G220" s="423"/>
      <c r="H220" s="419" t="s">
        <v>922</v>
      </c>
      <c r="I220" s="419" t="s">
        <v>820</v>
      </c>
      <c r="J220" s="420">
        <v>83500</v>
      </c>
      <c r="K220" s="421"/>
      <c r="L220" s="424">
        <f>L219+Table16[[#This Row],[المدين (إيداع)]]-Table16[[#This Row],[الدائن (السحب)]]</f>
        <v>338954.16999999993</v>
      </c>
    </row>
    <row r="221" spans="1:12" ht="23.25" hidden="1">
      <c r="A221" s="412">
        <f>SUBTOTAL(3,$E$8:E221)</f>
        <v>0</v>
      </c>
      <c r="B221" s="394">
        <v>42858</v>
      </c>
      <c r="C221" s="419" t="s">
        <v>744</v>
      </c>
      <c r="D221" s="417" t="s">
        <v>1022</v>
      </c>
      <c r="E221" s="419" t="s">
        <v>830</v>
      </c>
      <c r="F221" s="419" t="s">
        <v>758</v>
      </c>
      <c r="G221" s="423"/>
      <c r="H221" s="419" t="s">
        <v>831</v>
      </c>
      <c r="I221" s="419"/>
      <c r="J221" s="420">
        <v>3200</v>
      </c>
      <c r="K221" s="421"/>
      <c r="L221" s="424">
        <f>L220+Table16[[#This Row],[المدين (إيداع)]]-Table16[[#This Row],[الدائن (السحب)]]</f>
        <v>342154.16999999993</v>
      </c>
    </row>
    <row r="222" spans="1:12" ht="23.25" hidden="1">
      <c r="A222" s="412">
        <f>SUBTOTAL(3,$E$8:E222)</f>
        <v>0</v>
      </c>
      <c r="B222" s="394">
        <v>42858</v>
      </c>
      <c r="C222" s="419" t="s">
        <v>744</v>
      </c>
      <c r="D222" s="417" t="s">
        <v>981</v>
      </c>
      <c r="E222" s="419" t="s">
        <v>879</v>
      </c>
      <c r="F222" s="419" t="s">
        <v>758</v>
      </c>
      <c r="G222" s="423"/>
      <c r="H222" s="419" t="s">
        <v>1008</v>
      </c>
      <c r="I222" s="419" t="s">
        <v>851</v>
      </c>
      <c r="J222" s="420">
        <v>20000</v>
      </c>
      <c r="K222" s="421"/>
      <c r="L222" s="424">
        <f>L221+Table16[[#This Row],[المدين (إيداع)]]-Table16[[#This Row],[الدائن (السحب)]]</f>
        <v>362154.16999999993</v>
      </c>
    </row>
    <row r="223" spans="1:12" ht="23.25" hidden="1">
      <c r="A223" s="412">
        <f>SUBTOTAL(3,$E$8:E223)</f>
        <v>0</v>
      </c>
      <c r="B223" s="394">
        <v>42859</v>
      </c>
      <c r="C223" s="419" t="s">
        <v>744</v>
      </c>
      <c r="D223" s="417" t="s">
        <v>812</v>
      </c>
      <c r="E223" s="419" t="s">
        <v>758</v>
      </c>
      <c r="F223" s="419" t="s">
        <v>758</v>
      </c>
      <c r="G223" s="423"/>
      <c r="H223" s="419" t="s">
        <v>758</v>
      </c>
      <c r="I223" s="419" t="s">
        <v>947</v>
      </c>
      <c r="J223" s="420">
        <v>7200</v>
      </c>
      <c r="K223" s="421"/>
      <c r="L223" s="424">
        <f>L222+Table16[[#This Row],[المدين (إيداع)]]-Table16[[#This Row],[الدائن (السحب)]]</f>
        <v>369354.16999999993</v>
      </c>
    </row>
    <row r="224" spans="1:12" ht="23.25" hidden="1">
      <c r="A224" s="412">
        <f>SUBTOTAL(3,$E$8:E224)</f>
        <v>0</v>
      </c>
      <c r="B224" s="394">
        <v>42861</v>
      </c>
      <c r="C224" s="419" t="s">
        <v>744</v>
      </c>
      <c r="D224" s="417" t="s">
        <v>848</v>
      </c>
      <c r="E224" s="419" t="s">
        <v>879</v>
      </c>
      <c r="F224" s="419" t="s">
        <v>758</v>
      </c>
      <c r="G224" s="423"/>
      <c r="H224" s="419" t="s">
        <v>1008</v>
      </c>
      <c r="I224" s="419" t="s">
        <v>851</v>
      </c>
      <c r="J224" s="420">
        <v>20000</v>
      </c>
      <c r="K224" s="421"/>
      <c r="L224" s="424">
        <f>L223+Table16[[#This Row],[المدين (إيداع)]]-Table16[[#This Row],[الدائن (السحب)]]</f>
        <v>389354.16999999993</v>
      </c>
    </row>
    <row r="225" spans="1:12" ht="23.25" hidden="1">
      <c r="A225" s="412">
        <f>SUBTOTAL(3,$E$8:E225)</f>
        <v>0</v>
      </c>
      <c r="B225" s="394">
        <v>42864</v>
      </c>
      <c r="C225" s="419" t="s">
        <v>744</v>
      </c>
      <c r="D225" s="417" t="s">
        <v>812</v>
      </c>
      <c r="E225" s="419" t="s">
        <v>758</v>
      </c>
      <c r="F225" s="419" t="s">
        <v>758</v>
      </c>
      <c r="G225" s="423"/>
      <c r="H225" s="429" t="s">
        <v>1023</v>
      </c>
      <c r="I225" s="419" t="s">
        <v>974</v>
      </c>
      <c r="J225" s="420">
        <v>2200</v>
      </c>
      <c r="K225" s="421"/>
      <c r="L225" s="424">
        <f>L224+Table16[[#This Row],[المدين (إيداع)]]-Table16[[#This Row],[الدائن (السحب)]]</f>
        <v>391554.16999999993</v>
      </c>
    </row>
    <row r="226" spans="1:12" ht="23.25" hidden="1">
      <c r="A226" s="412">
        <f>SUBTOTAL(3,$E$8:E226)</f>
        <v>0</v>
      </c>
      <c r="B226" s="394">
        <v>42864</v>
      </c>
      <c r="C226" s="419" t="s">
        <v>744</v>
      </c>
      <c r="D226" s="417" t="s">
        <v>1024</v>
      </c>
      <c r="E226" s="419" t="s">
        <v>795</v>
      </c>
      <c r="F226" s="419" t="s">
        <v>758</v>
      </c>
      <c r="G226" s="423"/>
      <c r="H226" s="419" t="s">
        <v>796</v>
      </c>
      <c r="I226" s="419" t="s">
        <v>797</v>
      </c>
      <c r="J226" s="420">
        <v>10400</v>
      </c>
      <c r="K226" s="421"/>
      <c r="L226" s="424">
        <f>L225+Table16[[#This Row],[المدين (إيداع)]]-Table16[[#This Row],[الدائن (السحب)]]</f>
        <v>401954.16999999993</v>
      </c>
    </row>
    <row r="227" spans="1:12" ht="23.25" hidden="1">
      <c r="A227" s="412">
        <f>SUBTOTAL(3,$E$8:E227)</f>
        <v>0</v>
      </c>
      <c r="B227" s="394">
        <v>42864</v>
      </c>
      <c r="C227" s="419" t="s">
        <v>744</v>
      </c>
      <c r="D227" s="417" t="s">
        <v>812</v>
      </c>
      <c r="E227" s="419" t="s">
        <v>1025</v>
      </c>
      <c r="F227" s="419" t="s">
        <v>758</v>
      </c>
      <c r="G227" s="423"/>
      <c r="H227" s="419" t="s">
        <v>1026</v>
      </c>
      <c r="I227" s="419" t="s">
        <v>761</v>
      </c>
      <c r="J227" s="420">
        <v>1525</v>
      </c>
      <c r="K227" s="421"/>
      <c r="L227" s="424">
        <f>L226+Table16[[#This Row],[المدين (إيداع)]]-Table16[[#This Row],[الدائن (السحب)]]</f>
        <v>403479.16999999993</v>
      </c>
    </row>
    <row r="228" spans="1:12" ht="23.25" hidden="1">
      <c r="A228" s="412">
        <f>SUBTOTAL(3,$E$8:E228)</f>
        <v>0</v>
      </c>
      <c r="B228" s="394">
        <v>42865</v>
      </c>
      <c r="C228" s="419" t="s">
        <v>744</v>
      </c>
      <c r="D228" s="417" t="s">
        <v>1022</v>
      </c>
      <c r="E228" s="419" t="s">
        <v>777</v>
      </c>
      <c r="F228" s="419" t="s">
        <v>758</v>
      </c>
      <c r="G228" s="423"/>
      <c r="H228" s="419" t="s">
        <v>778</v>
      </c>
      <c r="I228" s="419"/>
      <c r="J228" s="420">
        <v>3200</v>
      </c>
      <c r="K228" s="421"/>
      <c r="L228" s="424">
        <f>L227+Table16[[#This Row],[المدين (إيداع)]]-Table16[[#This Row],[الدائن (السحب)]]</f>
        <v>406679.16999999993</v>
      </c>
    </row>
    <row r="229" spans="1:12" ht="23.25" hidden="1">
      <c r="A229" s="412">
        <f>SUBTOTAL(3,$E$8:E229)</f>
        <v>0</v>
      </c>
      <c r="B229" s="394">
        <v>42866</v>
      </c>
      <c r="C229" s="419" t="s">
        <v>744</v>
      </c>
      <c r="D229" s="417" t="s">
        <v>768</v>
      </c>
      <c r="E229" s="419" t="s">
        <v>1027</v>
      </c>
      <c r="F229" s="419" t="s">
        <v>758</v>
      </c>
      <c r="G229" s="423"/>
      <c r="H229" s="419" t="s">
        <v>1028</v>
      </c>
      <c r="I229" s="419" t="s">
        <v>771</v>
      </c>
      <c r="J229" s="420">
        <v>400</v>
      </c>
      <c r="K229" s="421"/>
      <c r="L229" s="424">
        <f>L228+Table16[[#This Row],[المدين (إيداع)]]-Table16[[#This Row],[الدائن (السحب)]]</f>
        <v>407079.16999999993</v>
      </c>
    </row>
    <row r="230" spans="1:12" ht="23.25" hidden="1">
      <c r="A230" s="412">
        <f>SUBTOTAL(3,$E$8:E230)</f>
        <v>0</v>
      </c>
      <c r="B230" s="394">
        <v>42868</v>
      </c>
      <c r="C230" s="419" t="s">
        <v>744</v>
      </c>
      <c r="D230" s="417" t="s">
        <v>1029</v>
      </c>
      <c r="E230" s="419" t="s">
        <v>758</v>
      </c>
      <c r="F230" s="419" t="s">
        <v>758</v>
      </c>
      <c r="G230" s="423"/>
      <c r="H230" s="419" t="s">
        <v>1030</v>
      </c>
      <c r="I230" s="419" t="s">
        <v>771</v>
      </c>
      <c r="J230" s="420">
        <v>3300</v>
      </c>
      <c r="K230" s="421"/>
      <c r="L230" s="424">
        <f>L229+Table16[[#This Row],[المدين (إيداع)]]-Table16[[#This Row],[الدائن (السحب)]]</f>
        <v>410379.16999999993</v>
      </c>
    </row>
    <row r="231" spans="1:12" ht="23.25" hidden="1">
      <c r="A231" s="412">
        <f>SUBTOTAL(3,$E$8:E231)</f>
        <v>0</v>
      </c>
      <c r="B231" s="394">
        <v>42870</v>
      </c>
      <c r="C231" s="419" t="s">
        <v>744</v>
      </c>
      <c r="D231" s="417" t="s">
        <v>1019</v>
      </c>
      <c r="E231" s="419" t="s">
        <v>1031</v>
      </c>
      <c r="F231" s="419" t="s">
        <v>746</v>
      </c>
      <c r="G231" s="423"/>
      <c r="H231" s="419" t="s">
        <v>959</v>
      </c>
      <c r="I231" s="419" t="s">
        <v>771</v>
      </c>
      <c r="J231" s="420">
        <v>1200</v>
      </c>
      <c r="K231" s="421"/>
      <c r="L231" s="424">
        <f>L230+Table16[[#This Row],[المدين (إيداع)]]-Table16[[#This Row],[الدائن (السحب)]]</f>
        <v>411579.16999999993</v>
      </c>
    </row>
    <row r="232" spans="1:12" ht="23.25" hidden="1">
      <c r="A232" s="412">
        <f>SUBTOTAL(3,$E$8:E232)</f>
        <v>0</v>
      </c>
      <c r="B232" s="394">
        <v>42870</v>
      </c>
      <c r="C232" s="419" t="s">
        <v>744</v>
      </c>
      <c r="D232" s="417" t="s">
        <v>1032</v>
      </c>
      <c r="E232" s="419" t="s">
        <v>855</v>
      </c>
      <c r="F232" s="419" t="s">
        <v>758</v>
      </c>
      <c r="G232" s="423"/>
      <c r="H232" s="419" t="s">
        <v>856</v>
      </c>
      <c r="I232" s="419" t="s">
        <v>857</v>
      </c>
      <c r="J232" s="420">
        <v>8000</v>
      </c>
      <c r="K232" s="421"/>
      <c r="L232" s="424">
        <f>L231+Table16[[#This Row],[المدين (إيداع)]]-Table16[[#This Row],[الدائن (السحب)]]</f>
        <v>419579.16999999993</v>
      </c>
    </row>
    <row r="233" spans="1:12" ht="23.25" hidden="1">
      <c r="A233" s="412">
        <f>SUBTOTAL(3,$E$8:E233)</f>
        <v>0</v>
      </c>
      <c r="B233" s="394">
        <v>42870</v>
      </c>
      <c r="C233" s="419" t="s">
        <v>744</v>
      </c>
      <c r="D233" s="417" t="s">
        <v>897</v>
      </c>
      <c r="E233" s="419" t="s">
        <v>758</v>
      </c>
      <c r="F233" s="419" t="s">
        <v>758</v>
      </c>
      <c r="G233" s="423"/>
      <c r="H233" s="419" t="s">
        <v>1033</v>
      </c>
      <c r="I233" s="419" t="s">
        <v>771</v>
      </c>
      <c r="J233" s="420">
        <v>350</v>
      </c>
      <c r="K233" s="421"/>
      <c r="L233" s="424">
        <f>L232+Table16[[#This Row],[المدين (إيداع)]]-Table16[[#This Row],[الدائن (السحب)]]</f>
        <v>419929.16999999993</v>
      </c>
    </row>
    <row r="234" spans="1:12" ht="23.25" hidden="1">
      <c r="A234" s="412">
        <f>SUBTOTAL(3,$E$8:E234)</f>
        <v>0</v>
      </c>
      <c r="B234" s="394">
        <v>42870</v>
      </c>
      <c r="C234" s="419" t="s">
        <v>744</v>
      </c>
      <c r="D234" s="417" t="s">
        <v>1015</v>
      </c>
      <c r="E234" s="419" t="s">
        <v>758</v>
      </c>
      <c r="F234" s="419" t="s">
        <v>758</v>
      </c>
      <c r="G234" s="423"/>
      <c r="H234" s="419" t="s">
        <v>1034</v>
      </c>
      <c r="I234" s="419" t="s">
        <v>987</v>
      </c>
      <c r="J234" s="420">
        <v>1800</v>
      </c>
      <c r="K234" s="421"/>
      <c r="L234" s="424">
        <f>L233+Table16[[#This Row],[المدين (إيداع)]]-Table16[[#This Row],[الدائن (السحب)]]</f>
        <v>421729.16999999993</v>
      </c>
    </row>
    <row r="235" spans="1:12" ht="23.25" hidden="1">
      <c r="A235" s="412">
        <f>SUBTOTAL(3,$E$8:E235)</f>
        <v>0</v>
      </c>
      <c r="B235" s="394">
        <v>42871</v>
      </c>
      <c r="C235" s="419" t="s">
        <v>744</v>
      </c>
      <c r="D235" s="417" t="s">
        <v>1019</v>
      </c>
      <c r="E235" s="419" t="s">
        <v>1035</v>
      </c>
      <c r="F235" s="419" t="s">
        <v>758</v>
      </c>
      <c r="G235" s="423"/>
      <c r="H235" s="419" t="s">
        <v>1036</v>
      </c>
      <c r="I235" s="419" t="s">
        <v>771</v>
      </c>
      <c r="J235" s="420">
        <v>300</v>
      </c>
      <c r="K235" s="421"/>
      <c r="L235" s="424">
        <f>L234+Table16[[#This Row],[المدين (إيداع)]]-Table16[[#This Row],[الدائن (السحب)]]</f>
        <v>422029.16999999993</v>
      </c>
    </row>
    <row r="236" spans="1:12" ht="23.25" hidden="1">
      <c r="A236" s="412">
        <f>SUBTOTAL(3,$E$8:E236)</f>
        <v>0</v>
      </c>
      <c r="B236" s="394">
        <v>42871</v>
      </c>
      <c r="C236" s="419" t="s">
        <v>744</v>
      </c>
      <c r="D236" s="417" t="s">
        <v>1019</v>
      </c>
      <c r="E236" s="419" t="s">
        <v>1035</v>
      </c>
      <c r="F236" s="419" t="s">
        <v>758</v>
      </c>
      <c r="G236" s="423"/>
      <c r="H236" s="419" t="s">
        <v>775</v>
      </c>
      <c r="I236" s="419" t="s">
        <v>771</v>
      </c>
      <c r="J236" s="420">
        <v>300</v>
      </c>
      <c r="K236" s="421"/>
      <c r="L236" s="424">
        <f>L235+Table16[[#This Row],[المدين (إيداع)]]-Table16[[#This Row],[الدائن (السحب)]]</f>
        <v>422329.16999999993</v>
      </c>
    </row>
    <row r="237" spans="1:12" ht="23.25" hidden="1">
      <c r="A237" s="412">
        <f>SUBTOTAL(3,$E$8:E237)</f>
        <v>0</v>
      </c>
      <c r="B237" s="394">
        <v>42871</v>
      </c>
      <c r="C237" s="419" t="s">
        <v>744</v>
      </c>
      <c r="D237" s="417" t="s">
        <v>992</v>
      </c>
      <c r="E237" s="419" t="s">
        <v>783</v>
      </c>
      <c r="F237" s="419" t="s">
        <v>758</v>
      </c>
      <c r="G237" s="423" t="s">
        <v>1037</v>
      </c>
      <c r="H237" s="419" t="s">
        <v>785</v>
      </c>
      <c r="I237" s="419" t="s">
        <v>761</v>
      </c>
      <c r="J237" s="420">
        <v>3500</v>
      </c>
      <c r="K237" s="421"/>
      <c r="L237" s="424">
        <f>L236+Table16[[#This Row],[المدين (إيداع)]]-Table16[[#This Row],[الدائن (السحب)]]</f>
        <v>425829.16999999993</v>
      </c>
    </row>
    <row r="238" spans="1:12" ht="23.25" hidden="1">
      <c r="A238" s="412">
        <f>SUBTOTAL(3,$E$8:E238)</f>
        <v>0</v>
      </c>
      <c r="B238" s="394">
        <v>42871</v>
      </c>
      <c r="C238" s="419" t="s">
        <v>744</v>
      </c>
      <c r="D238" s="417" t="s">
        <v>1019</v>
      </c>
      <c r="E238" s="419" t="s">
        <v>1035</v>
      </c>
      <c r="F238" s="419" t="s">
        <v>758</v>
      </c>
      <c r="G238" s="423"/>
      <c r="H238" s="419" t="s">
        <v>1038</v>
      </c>
      <c r="I238" s="419" t="s">
        <v>771</v>
      </c>
      <c r="J238" s="420">
        <v>300</v>
      </c>
      <c r="K238" s="421"/>
      <c r="L238" s="424">
        <f>L237+Table16[[#This Row],[المدين (إيداع)]]-Table16[[#This Row],[الدائن (السحب)]]</f>
        <v>426129.16999999993</v>
      </c>
    </row>
    <row r="239" spans="1:12" ht="23.25" hidden="1">
      <c r="A239" s="412">
        <f>SUBTOTAL(3,$E$8:E239)</f>
        <v>0</v>
      </c>
      <c r="B239" s="394">
        <v>42872</v>
      </c>
      <c r="C239" s="419" t="s">
        <v>744</v>
      </c>
      <c r="D239" s="417" t="s">
        <v>1007</v>
      </c>
      <c r="E239" s="419" t="s">
        <v>1035</v>
      </c>
      <c r="F239" s="419" t="s">
        <v>758</v>
      </c>
      <c r="G239" s="423"/>
      <c r="H239" s="419" t="s">
        <v>1039</v>
      </c>
      <c r="I239" s="419" t="s">
        <v>974</v>
      </c>
      <c r="J239" s="420">
        <v>11880</v>
      </c>
      <c r="K239" s="421"/>
      <c r="L239" s="424">
        <f>L238+Table16[[#This Row],[المدين (إيداع)]]-Table16[[#This Row],[الدائن (السحب)]]</f>
        <v>438009.16999999993</v>
      </c>
    </row>
    <row r="240" spans="1:12" ht="23.25" hidden="1">
      <c r="A240" s="412">
        <f>SUBTOTAL(3,$E$8:E240)</f>
        <v>0</v>
      </c>
      <c r="B240" s="394">
        <v>42877</v>
      </c>
      <c r="C240" s="419" t="s">
        <v>744</v>
      </c>
      <c r="D240" s="417" t="s">
        <v>1007</v>
      </c>
      <c r="E240" s="419" t="s">
        <v>1035</v>
      </c>
      <c r="F240" s="419" t="s">
        <v>758</v>
      </c>
      <c r="G240" s="423"/>
      <c r="H240" s="419" t="s">
        <v>907</v>
      </c>
      <c r="I240" s="419" t="s">
        <v>974</v>
      </c>
      <c r="J240" s="420">
        <v>1350</v>
      </c>
      <c r="K240" s="421"/>
      <c r="L240" s="424">
        <f>L239+Table16[[#This Row],[المدين (إيداع)]]-Table16[[#This Row],[الدائن (السحب)]]</f>
        <v>439359.16999999993</v>
      </c>
    </row>
    <row r="241" spans="1:12" ht="23.25" hidden="1">
      <c r="A241" s="412">
        <f>SUBTOTAL(3,$E$8:E241)</f>
        <v>0</v>
      </c>
      <c r="B241" s="394">
        <v>42878</v>
      </c>
      <c r="C241" s="419" t="s">
        <v>744</v>
      </c>
      <c r="D241" s="417" t="s">
        <v>1040</v>
      </c>
      <c r="E241" s="419" t="s">
        <v>945</v>
      </c>
      <c r="F241" s="419" t="s">
        <v>746</v>
      </c>
      <c r="G241" s="423"/>
      <c r="H241" s="419" t="s">
        <v>747</v>
      </c>
      <c r="I241" s="419" t="s">
        <v>811</v>
      </c>
      <c r="J241" s="420">
        <v>34250</v>
      </c>
      <c r="K241" s="421"/>
      <c r="L241" s="424">
        <f>L240+Table16[[#This Row],[المدين (إيداع)]]-Table16[[#This Row],[الدائن (السحب)]]</f>
        <v>473609.16999999993</v>
      </c>
    </row>
    <row r="242" spans="1:12" ht="23.25" hidden="1">
      <c r="A242" s="412">
        <f>SUBTOTAL(3,$E$8:E242)</f>
        <v>0</v>
      </c>
      <c r="B242" s="394">
        <v>42878</v>
      </c>
      <c r="C242" s="419" t="s">
        <v>744</v>
      </c>
      <c r="D242" s="417" t="s">
        <v>1041</v>
      </c>
      <c r="E242" s="419" t="s">
        <v>1042</v>
      </c>
      <c r="F242" s="419" t="s">
        <v>758</v>
      </c>
      <c r="G242" s="423"/>
      <c r="H242" s="419" t="s">
        <v>62</v>
      </c>
      <c r="I242" s="419" t="s">
        <v>1043</v>
      </c>
      <c r="J242" s="420">
        <v>18000</v>
      </c>
      <c r="K242" s="421"/>
      <c r="L242" s="424">
        <f>L241+Table16[[#This Row],[المدين (إيداع)]]-Table16[[#This Row],[الدائن (السحب)]]</f>
        <v>491609.16999999993</v>
      </c>
    </row>
    <row r="243" spans="1:12" ht="23.25" hidden="1">
      <c r="A243" s="412">
        <f>SUBTOTAL(3,$E$8:E243)</f>
        <v>0</v>
      </c>
      <c r="B243" s="394">
        <v>42880</v>
      </c>
      <c r="C243" s="419" t="s">
        <v>744</v>
      </c>
      <c r="D243" s="417" t="s">
        <v>768</v>
      </c>
      <c r="E243" s="419" t="s">
        <v>1044</v>
      </c>
      <c r="F243" s="419" t="s">
        <v>758</v>
      </c>
      <c r="G243" s="423"/>
      <c r="H243" s="419" t="s">
        <v>944</v>
      </c>
      <c r="I243" s="419" t="s">
        <v>771</v>
      </c>
      <c r="J243" s="420">
        <v>200</v>
      </c>
      <c r="K243" s="421"/>
      <c r="L243" s="424">
        <f>L242+Table16[[#This Row],[المدين (إيداع)]]-Table16[[#This Row],[الدائن (السحب)]]</f>
        <v>491809.16999999993</v>
      </c>
    </row>
    <row r="244" spans="1:12" ht="23.25" hidden="1">
      <c r="A244" s="412">
        <f>SUBTOTAL(3,$E$8:E244)</f>
        <v>0</v>
      </c>
      <c r="B244" s="394">
        <v>42883</v>
      </c>
      <c r="C244" s="419" t="s">
        <v>744</v>
      </c>
      <c r="D244" s="417" t="s">
        <v>1019</v>
      </c>
      <c r="E244" s="419" t="s">
        <v>932</v>
      </c>
      <c r="F244" s="419" t="s">
        <v>758</v>
      </c>
      <c r="G244" s="423"/>
      <c r="H244" s="419" t="s">
        <v>933</v>
      </c>
      <c r="I244" s="419" t="s">
        <v>771</v>
      </c>
      <c r="J244" s="420">
        <v>350</v>
      </c>
      <c r="K244" s="421"/>
      <c r="L244" s="424">
        <f>L243+Table16[[#This Row],[المدين (إيداع)]]-Table16[[#This Row],[الدائن (السحب)]]</f>
        <v>492159.16999999993</v>
      </c>
    </row>
    <row r="245" spans="1:12" ht="23.25" hidden="1">
      <c r="A245" s="412">
        <f>SUBTOTAL(3,$E$8:E245)</f>
        <v>0</v>
      </c>
      <c r="B245" s="394">
        <v>42884</v>
      </c>
      <c r="C245" s="419" t="s">
        <v>744</v>
      </c>
      <c r="D245" s="417" t="s">
        <v>1040</v>
      </c>
      <c r="E245" s="419" t="s">
        <v>762</v>
      </c>
      <c r="F245" s="419" t="s">
        <v>763</v>
      </c>
      <c r="G245" s="423">
        <v>205</v>
      </c>
      <c r="H245" s="419" t="s">
        <v>747</v>
      </c>
      <c r="I245" s="419" t="s">
        <v>811</v>
      </c>
      <c r="J245" s="420">
        <v>1800</v>
      </c>
      <c r="K245" s="421"/>
      <c r="L245" s="424">
        <f>L244+Table16[[#This Row],[المدين (إيداع)]]-Table16[[#This Row],[الدائن (السحب)]]</f>
        <v>493959.16999999993</v>
      </c>
    </row>
    <row r="246" spans="1:12" ht="23.25" hidden="1">
      <c r="A246" s="412">
        <f>SUBTOTAL(3,$E$8:E246)</f>
        <v>0</v>
      </c>
      <c r="B246" s="394">
        <v>42884</v>
      </c>
      <c r="C246" s="419" t="s">
        <v>744</v>
      </c>
      <c r="D246" s="417" t="s">
        <v>1040</v>
      </c>
      <c r="E246" s="419" t="s">
        <v>762</v>
      </c>
      <c r="F246" s="419" t="s">
        <v>763</v>
      </c>
      <c r="G246" s="423">
        <v>1159</v>
      </c>
      <c r="H246" s="419" t="s">
        <v>747</v>
      </c>
      <c r="I246" s="419" t="s">
        <v>811</v>
      </c>
      <c r="J246" s="420">
        <v>750</v>
      </c>
      <c r="K246" s="421"/>
      <c r="L246" s="424">
        <f>L245+Table16[[#This Row],[المدين (إيداع)]]-Table16[[#This Row],[الدائن (السحب)]]</f>
        <v>494709.16999999993</v>
      </c>
    </row>
    <row r="247" spans="1:12" ht="23.25" hidden="1">
      <c r="A247" s="412">
        <f>SUBTOTAL(3,$E$8:E247)</f>
        <v>0</v>
      </c>
      <c r="B247" s="394">
        <v>42884</v>
      </c>
      <c r="C247" s="419" t="s">
        <v>744</v>
      </c>
      <c r="D247" s="417" t="s">
        <v>1040</v>
      </c>
      <c r="E247" s="419" t="s">
        <v>762</v>
      </c>
      <c r="F247" s="419" t="s">
        <v>763</v>
      </c>
      <c r="G247" s="423">
        <v>495</v>
      </c>
      <c r="H247" s="419" t="s">
        <v>747</v>
      </c>
      <c r="I247" s="419" t="s">
        <v>811</v>
      </c>
      <c r="J247" s="420">
        <v>3000</v>
      </c>
      <c r="K247" s="421"/>
      <c r="L247" s="424">
        <f>L246+Table16[[#This Row],[المدين (إيداع)]]-Table16[[#This Row],[الدائن (السحب)]]</f>
        <v>497709.16999999993</v>
      </c>
    </row>
    <row r="248" spans="1:12" ht="23.25" hidden="1">
      <c r="A248" s="412">
        <f>SUBTOTAL(3,$E$8:E248)</f>
        <v>0</v>
      </c>
      <c r="B248" s="394">
        <v>42885</v>
      </c>
      <c r="C248" s="419" t="s">
        <v>744</v>
      </c>
      <c r="D248" s="417" t="s">
        <v>1019</v>
      </c>
      <c r="E248" s="419" t="s">
        <v>1005</v>
      </c>
      <c r="F248" s="419" t="s">
        <v>758</v>
      </c>
      <c r="G248" s="423"/>
      <c r="H248" s="419" t="s">
        <v>1006</v>
      </c>
      <c r="I248" s="419" t="s">
        <v>771</v>
      </c>
      <c r="J248" s="420">
        <v>1200</v>
      </c>
      <c r="K248" s="421"/>
      <c r="L248" s="424">
        <f>L247+Table16[[#This Row],[المدين (إيداع)]]-Table16[[#This Row],[الدائن (السحب)]]</f>
        <v>498909.16999999993</v>
      </c>
    </row>
    <row r="249" spans="1:12" ht="23.25" hidden="1">
      <c r="A249" s="412">
        <f>SUBTOTAL(3,$E$8:E249)</f>
        <v>0</v>
      </c>
      <c r="B249" s="394">
        <v>42887</v>
      </c>
      <c r="C249" s="419" t="s">
        <v>744</v>
      </c>
      <c r="D249" s="417" t="s">
        <v>1040</v>
      </c>
      <c r="E249" s="419" t="s">
        <v>945</v>
      </c>
      <c r="F249" s="419" t="s">
        <v>746</v>
      </c>
      <c r="G249" s="423"/>
      <c r="H249" s="419" t="s">
        <v>747</v>
      </c>
      <c r="I249" s="419" t="s">
        <v>811</v>
      </c>
      <c r="J249" s="420">
        <v>21293</v>
      </c>
      <c r="K249" s="421"/>
      <c r="L249" s="424">
        <f>L248+Table16[[#This Row],[المدين (إيداع)]]-Table16[[#This Row],[الدائن (السحب)]]</f>
        <v>520202.16999999993</v>
      </c>
    </row>
    <row r="250" spans="1:12" ht="23.25" hidden="1">
      <c r="A250" s="412">
        <f>SUBTOTAL(3,$E$8:E250)</f>
        <v>0</v>
      </c>
      <c r="B250" s="394">
        <v>42887</v>
      </c>
      <c r="C250" s="419" t="s">
        <v>744</v>
      </c>
      <c r="D250" s="417" t="s">
        <v>577</v>
      </c>
      <c r="E250" s="419" t="s">
        <v>1045</v>
      </c>
      <c r="F250" s="419" t="s">
        <v>773</v>
      </c>
      <c r="G250" s="423">
        <v>283</v>
      </c>
      <c r="H250" s="419" t="s">
        <v>615</v>
      </c>
      <c r="I250" s="419" t="s">
        <v>894</v>
      </c>
      <c r="J250" s="420"/>
      <c r="K250" s="421">
        <v>180000</v>
      </c>
      <c r="L250" s="424">
        <f>L249+Table16[[#This Row],[المدين (إيداع)]]-Table16[[#This Row],[الدائن (السحب)]]</f>
        <v>340202.16999999993</v>
      </c>
    </row>
    <row r="251" spans="1:12" ht="23.25" hidden="1">
      <c r="A251" s="412">
        <f>SUBTOTAL(3,$E$8:E251)</f>
        <v>0</v>
      </c>
      <c r="B251" s="394">
        <v>42891</v>
      </c>
      <c r="C251" s="419" t="s">
        <v>744</v>
      </c>
      <c r="D251" s="417" t="s">
        <v>840</v>
      </c>
      <c r="E251" s="419" t="s">
        <v>762</v>
      </c>
      <c r="F251" s="419" t="s">
        <v>763</v>
      </c>
      <c r="G251" s="423">
        <v>4372</v>
      </c>
      <c r="H251" s="419" t="s">
        <v>948</v>
      </c>
      <c r="I251" s="419" t="s">
        <v>842</v>
      </c>
      <c r="J251" s="420">
        <v>11970</v>
      </c>
      <c r="K251" s="421"/>
      <c r="L251" s="424">
        <f>L250+Table16[[#This Row],[المدين (إيداع)]]-Table16[[#This Row],[الدائن (السحب)]]</f>
        <v>352172.16999999993</v>
      </c>
    </row>
    <row r="252" spans="1:12" ht="23.25" hidden="1">
      <c r="A252" s="412">
        <f>SUBTOTAL(3,$E$8:E252)</f>
        <v>0</v>
      </c>
      <c r="B252" s="394">
        <v>42891</v>
      </c>
      <c r="C252" s="419" t="s">
        <v>744</v>
      </c>
      <c r="D252" s="417" t="s">
        <v>1046</v>
      </c>
      <c r="E252" s="419" t="s">
        <v>1047</v>
      </c>
      <c r="F252" s="419" t="s">
        <v>763</v>
      </c>
      <c r="G252" s="423">
        <v>3172</v>
      </c>
      <c r="H252" s="419" t="s">
        <v>215</v>
      </c>
      <c r="I252" s="419" t="s">
        <v>761</v>
      </c>
      <c r="J252" s="420">
        <v>44100</v>
      </c>
      <c r="K252" s="421"/>
      <c r="L252" s="424">
        <f>L251+Table16[[#This Row],[المدين (إيداع)]]-Table16[[#This Row],[الدائن (السحب)]]</f>
        <v>396272.16999999993</v>
      </c>
    </row>
    <row r="253" spans="1:12" ht="23.25" hidden="1">
      <c r="A253" s="412">
        <f>SUBTOTAL(3,$E$8:E253)</f>
        <v>0</v>
      </c>
      <c r="B253" s="394">
        <v>42891</v>
      </c>
      <c r="C253" s="419" t="s">
        <v>744</v>
      </c>
      <c r="D253" s="417" t="s">
        <v>1007</v>
      </c>
      <c r="E253" s="419" t="s">
        <v>762</v>
      </c>
      <c r="F253" s="419" t="s">
        <v>763</v>
      </c>
      <c r="G253" s="423">
        <v>243</v>
      </c>
      <c r="H253" s="419" t="s">
        <v>1048</v>
      </c>
      <c r="I253" s="419" t="s">
        <v>974</v>
      </c>
      <c r="J253" s="420">
        <v>1050</v>
      </c>
      <c r="K253" s="421"/>
      <c r="L253" s="424">
        <f>L252+Table16[[#This Row],[المدين (إيداع)]]-Table16[[#This Row],[الدائن (السحب)]]</f>
        <v>397322.16999999993</v>
      </c>
    </row>
    <row r="254" spans="1:12" ht="23.25" hidden="1">
      <c r="A254" s="412">
        <f>SUBTOTAL(3,$E$8:E254)</f>
        <v>0</v>
      </c>
      <c r="B254" s="394">
        <v>42891</v>
      </c>
      <c r="C254" s="419" t="s">
        <v>744</v>
      </c>
      <c r="D254" s="417" t="s">
        <v>840</v>
      </c>
      <c r="E254" s="419" t="s">
        <v>762</v>
      </c>
      <c r="F254" s="419" t="s">
        <v>763</v>
      </c>
      <c r="G254" s="423">
        <v>4326</v>
      </c>
      <c r="H254" s="419" t="s">
        <v>948</v>
      </c>
      <c r="I254" s="419" t="s">
        <v>842</v>
      </c>
      <c r="J254" s="420">
        <v>6555</v>
      </c>
      <c r="K254" s="421"/>
      <c r="L254" s="424">
        <f>L253+Table16[[#This Row],[المدين (إيداع)]]-Table16[[#This Row],[الدائن (السحب)]]</f>
        <v>403877.16999999993</v>
      </c>
    </row>
    <row r="255" spans="1:12" ht="23.25" hidden="1">
      <c r="A255" s="412">
        <f>SUBTOTAL(3,$E$8:E255)</f>
        <v>0</v>
      </c>
      <c r="B255" s="394">
        <v>42891</v>
      </c>
      <c r="C255" s="419" t="s">
        <v>744</v>
      </c>
      <c r="D255" s="417" t="s">
        <v>1049</v>
      </c>
      <c r="E255" s="419" t="s">
        <v>753</v>
      </c>
      <c r="F255" s="419" t="s">
        <v>754</v>
      </c>
      <c r="G255" s="423"/>
      <c r="H255" s="419"/>
      <c r="I255" s="419"/>
      <c r="J255" s="420"/>
      <c r="K255" s="421">
        <v>25</v>
      </c>
      <c r="L255" s="424">
        <f>L254+Table16[[#This Row],[المدين (إيداع)]]-Table16[[#This Row],[الدائن (السحب)]]</f>
        <v>403852.16999999993</v>
      </c>
    </row>
    <row r="256" spans="1:12" ht="23.25" hidden="1">
      <c r="A256" s="412">
        <f>SUBTOTAL(3,$E$8:E256)</f>
        <v>0</v>
      </c>
      <c r="B256" s="394">
        <v>42891</v>
      </c>
      <c r="C256" s="419" t="s">
        <v>744</v>
      </c>
      <c r="D256" s="417" t="s">
        <v>1050</v>
      </c>
      <c r="E256" s="419" t="s">
        <v>1035</v>
      </c>
      <c r="F256" s="419" t="s">
        <v>758</v>
      </c>
      <c r="G256" s="423"/>
      <c r="H256" s="419" t="s">
        <v>1051</v>
      </c>
      <c r="I256" s="419" t="s">
        <v>974</v>
      </c>
      <c r="J256" s="420">
        <v>21984</v>
      </c>
      <c r="K256" s="421"/>
      <c r="L256" s="424">
        <f>L255+Table16[[#This Row],[المدين (إيداع)]]-Table16[[#This Row],[الدائن (السحب)]]</f>
        <v>425836.16999999993</v>
      </c>
    </row>
    <row r="257" spans="1:12" ht="23.25" hidden="1">
      <c r="A257" s="412">
        <f>SUBTOTAL(3,$E$8:E257)</f>
        <v>0</v>
      </c>
      <c r="B257" s="394">
        <v>42893</v>
      </c>
      <c r="C257" s="419" t="s">
        <v>744</v>
      </c>
      <c r="D257" s="417" t="s">
        <v>577</v>
      </c>
      <c r="E257" s="419" t="s">
        <v>1052</v>
      </c>
      <c r="F257" s="419" t="s">
        <v>773</v>
      </c>
      <c r="G257" s="423">
        <v>285</v>
      </c>
      <c r="H257" s="419" t="s">
        <v>913</v>
      </c>
      <c r="I257" s="419" t="s">
        <v>1053</v>
      </c>
      <c r="J257" s="420"/>
      <c r="K257" s="421">
        <v>72667</v>
      </c>
      <c r="L257" s="424">
        <f>L256+Table16[[#This Row],[المدين (إيداع)]]-Table16[[#This Row],[الدائن (السحب)]]</f>
        <v>353169.16999999993</v>
      </c>
    </row>
    <row r="258" spans="1:12" ht="23.25" hidden="1">
      <c r="A258" s="412">
        <f>SUBTOTAL(3,$E$8:E258)</f>
        <v>0</v>
      </c>
      <c r="B258" s="394">
        <v>42893</v>
      </c>
      <c r="C258" s="419" t="s">
        <v>744</v>
      </c>
      <c r="D258" s="417" t="s">
        <v>1049</v>
      </c>
      <c r="E258" s="419" t="s">
        <v>1054</v>
      </c>
      <c r="F258" s="419" t="s">
        <v>773</v>
      </c>
      <c r="G258" s="423">
        <v>287</v>
      </c>
      <c r="H258" s="419" t="s">
        <v>1055</v>
      </c>
      <c r="I258" s="419" t="s">
        <v>1056</v>
      </c>
      <c r="J258" s="420"/>
      <c r="K258" s="421">
        <v>125000</v>
      </c>
      <c r="L258" s="424">
        <f>L257+Table16[[#This Row],[المدين (إيداع)]]-Table16[[#This Row],[الدائن (السحب)]]</f>
        <v>228169.16999999993</v>
      </c>
    </row>
    <row r="259" spans="1:12" ht="23.25" hidden="1">
      <c r="A259" s="412">
        <f>SUBTOTAL(3,$E$8:E259)</f>
        <v>0</v>
      </c>
      <c r="B259" s="394">
        <v>42893</v>
      </c>
      <c r="C259" s="419" t="s">
        <v>744</v>
      </c>
      <c r="D259" s="417" t="s">
        <v>1040</v>
      </c>
      <c r="E259" s="419" t="s">
        <v>762</v>
      </c>
      <c r="F259" s="419" t="s">
        <v>763</v>
      </c>
      <c r="G259" s="423">
        <v>1338</v>
      </c>
      <c r="H259" s="419"/>
      <c r="I259" s="419" t="s">
        <v>811</v>
      </c>
      <c r="J259" s="420">
        <v>2400</v>
      </c>
      <c r="K259" s="421"/>
      <c r="L259" s="424">
        <f>L258+Table16[[#This Row],[المدين (إيداع)]]-Table16[[#This Row],[الدائن (السحب)]]</f>
        <v>230569.16999999993</v>
      </c>
    </row>
    <row r="260" spans="1:12" ht="23.25" hidden="1">
      <c r="A260" s="412">
        <f>SUBTOTAL(3,$E$8:E260)</f>
        <v>0</v>
      </c>
      <c r="B260" s="394">
        <v>42893</v>
      </c>
      <c r="C260" s="419" t="s">
        <v>744</v>
      </c>
      <c r="D260" s="417" t="s">
        <v>848</v>
      </c>
      <c r="E260" s="419" t="s">
        <v>879</v>
      </c>
      <c r="F260" s="419" t="s">
        <v>758</v>
      </c>
      <c r="G260" s="423"/>
      <c r="H260" s="419" t="s">
        <v>1057</v>
      </c>
      <c r="I260" s="419" t="s">
        <v>851</v>
      </c>
      <c r="J260" s="420">
        <v>20000</v>
      </c>
      <c r="K260" s="421"/>
      <c r="L260" s="424">
        <f>L259+Table16[[#This Row],[المدين (إيداع)]]-Table16[[#This Row],[الدائن (السحب)]]</f>
        <v>250569.16999999993</v>
      </c>
    </row>
    <row r="261" spans="1:12" ht="23.25" hidden="1">
      <c r="A261" s="412">
        <f>SUBTOTAL(3,$E$8:E261)</f>
        <v>0</v>
      </c>
      <c r="B261" s="394">
        <v>42893</v>
      </c>
      <c r="C261" s="419" t="s">
        <v>744</v>
      </c>
      <c r="D261" s="417" t="s">
        <v>1058</v>
      </c>
      <c r="E261" s="419" t="s">
        <v>777</v>
      </c>
      <c r="F261" s="419" t="s">
        <v>758</v>
      </c>
      <c r="G261" s="423"/>
      <c r="H261" s="419" t="s">
        <v>778</v>
      </c>
      <c r="I261" s="419" t="s">
        <v>1059</v>
      </c>
      <c r="J261" s="420">
        <v>3200</v>
      </c>
      <c r="K261" s="421"/>
      <c r="L261" s="424">
        <f>L260+Table16[[#This Row],[المدين (إيداع)]]-Table16[[#This Row],[الدائن (السحب)]]</f>
        <v>253769.16999999993</v>
      </c>
    </row>
    <row r="262" spans="1:12" ht="23.25" hidden="1">
      <c r="A262" s="412">
        <f>SUBTOTAL(3,$E$8:E262)</f>
        <v>0</v>
      </c>
      <c r="B262" s="394">
        <v>42893</v>
      </c>
      <c r="C262" s="419" t="s">
        <v>744</v>
      </c>
      <c r="D262" s="417" t="s">
        <v>1050</v>
      </c>
      <c r="E262" s="419" t="s">
        <v>1060</v>
      </c>
      <c r="F262" s="419" t="s">
        <v>758</v>
      </c>
      <c r="G262" s="423"/>
      <c r="H262" s="419" t="s">
        <v>1061</v>
      </c>
      <c r="I262" s="419" t="s">
        <v>974</v>
      </c>
      <c r="J262" s="420">
        <v>5350</v>
      </c>
      <c r="K262" s="421"/>
      <c r="L262" s="424">
        <f>L261+Table16[[#This Row],[المدين (إيداع)]]-Table16[[#This Row],[الدائن (السحب)]]</f>
        <v>259119.16999999993</v>
      </c>
    </row>
    <row r="263" spans="1:12" ht="23.25" hidden="1">
      <c r="A263" s="412">
        <f>SUBTOTAL(3,$E$8:E263)</f>
        <v>0</v>
      </c>
      <c r="B263" s="394">
        <v>42893</v>
      </c>
      <c r="C263" s="419" t="s">
        <v>744</v>
      </c>
      <c r="D263" s="417" t="s">
        <v>897</v>
      </c>
      <c r="E263" s="419" t="s">
        <v>758</v>
      </c>
      <c r="F263" s="419" t="s">
        <v>758</v>
      </c>
      <c r="G263" s="423"/>
      <c r="H263" s="419"/>
      <c r="I263" s="419" t="s">
        <v>771</v>
      </c>
      <c r="J263" s="420">
        <v>285</v>
      </c>
      <c r="K263" s="421"/>
      <c r="L263" s="424">
        <f>L262+Table16[[#This Row],[المدين (إيداع)]]-Table16[[#This Row],[الدائن (السحب)]]</f>
        <v>259404.16999999993</v>
      </c>
    </row>
    <row r="264" spans="1:12" ht="23.25" hidden="1">
      <c r="A264" s="412">
        <f>SUBTOTAL(3,$E$8:E264)</f>
        <v>0</v>
      </c>
      <c r="B264" s="394">
        <v>42894</v>
      </c>
      <c r="C264" s="419"/>
      <c r="D264" s="417" t="s">
        <v>1062</v>
      </c>
      <c r="E264" s="419" t="s">
        <v>1063</v>
      </c>
      <c r="F264" s="419" t="s">
        <v>1063</v>
      </c>
      <c r="G264" s="423">
        <v>173</v>
      </c>
      <c r="H264" s="419"/>
      <c r="I264" s="419" t="s">
        <v>974</v>
      </c>
      <c r="J264" s="420"/>
      <c r="K264" s="421">
        <v>900</v>
      </c>
      <c r="L264" s="424">
        <f>L263+Table16[[#This Row],[المدين (إيداع)]]-Table16[[#This Row],[الدائن (السحب)]]</f>
        <v>258504.16999999993</v>
      </c>
    </row>
    <row r="265" spans="1:12" ht="23.25" hidden="1">
      <c r="A265" s="412">
        <f>SUBTOTAL(3,$E$8:E265)</f>
        <v>0</v>
      </c>
      <c r="B265" s="394">
        <v>42894</v>
      </c>
      <c r="C265" s="419" t="s">
        <v>744</v>
      </c>
      <c r="D265" s="417" t="s">
        <v>1007</v>
      </c>
      <c r="E265" s="419" t="s">
        <v>762</v>
      </c>
      <c r="F265" s="419" t="s">
        <v>763</v>
      </c>
      <c r="G265" s="423">
        <v>173</v>
      </c>
      <c r="H265" s="419" t="s">
        <v>1048</v>
      </c>
      <c r="I265" s="419" t="s">
        <v>974</v>
      </c>
      <c r="J265" s="420">
        <v>900</v>
      </c>
      <c r="K265" s="421"/>
      <c r="L265" s="424">
        <f>L264+Table16[[#This Row],[المدين (إيداع)]]-Table16[[#This Row],[الدائن (السحب)]]</f>
        <v>259404.16999999993</v>
      </c>
    </row>
    <row r="266" spans="1:12" ht="23.25" hidden="1">
      <c r="A266" s="412">
        <f>SUBTOTAL(3,$E$8:E266)</f>
        <v>0</v>
      </c>
      <c r="B266" s="394">
        <v>42894</v>
      </c>
      <c r="C266" s="419" t="s">
        <v>744</v>
      </c>
      <c r="D266" s="417" t="s">
        <v>1058</v>
      </c>
      <c r="E266" s="419" t="s">
        <v>830</v>
      </c>
      <c r="F266" s="419" t="s">
        <v>758</v>
      </c>
      <c r="G266" s="423"/>
      <c r="H266" s="419" t="s">
        <v>831</v>
      </c>
      <c r="I266" s="419" t="s">
        <v>1059</v>
      </c>
      <c r="J266" s="420">
        <v>3200</v>
      </c>
      <c r="K266" s="421"/>
      <c r="L266" s="424">
        <f>L265+Table16[[#This Row],[المدين (إيداع)]]-Table16[[#This Row],[الدائن (السحب)]]</f>
        <v>262604.16999999993</v>
      </c>
    </row>
    <row r="267" spans="1:12" ht="23.25" hidden="1">
      <c r="A267" s="412">
        <f>SUBTOTAL(3,$E$8:E267)</f>
        <v>0</v>
      </c>
      <c r="B267" s="394">
        <v>42894</v>
      </c>
      <c r="C267" s="419" t="s">
        <v>744</v>
      </c>
      <c r="D267" s="417" t="s">
        <v>1064</v>
      </c>
      <c r="E267" s="419" t="s">
        <v>1065</v>
      </c>
      <c r="F267" s="419" t="s">
        <v>758</v>
      </c>
      <c r="G267" s="423"/>
      <c r="H267" s="419" t="s">
        <v>1066</v>
      </c>
      <c r="I267" s="419" t="s">
        <v>974</v>
      </c>
      <c r="J267" s="420">
        <v>3500</v>
      </c>
      <c r="K267" s="421"/>
      <c r="L267" s="424">
        <f>L266+Table16[[#This Row],[المدين (إيداع)]]-Table16[[#This Row],[الدائن (السحب)]]</f>
        <v>266104.16999999993</v>
      </c>
    </row>
    <row r="268" spans="1:12" ht="23.25" hidden="1">
      <c r="A268" s="412">
        <f>SUBTOTAL(3,$E$8:E268)</f>
        <v>0</v>
      </c>
      <c r="B268" s="394">
        <v>42895</v>
      </c>
      <c r="C268" s="419" t="s">
        <v>744</v>
      </c>
      <c r="D268" s="417" t="s">
        <v>984</v>
      </c>
      <c r="E268" s="419" t="s">
        <v>762</v>
      </c>
      <c r="F268" s="419" t="s">
        <v>763</v>
      </c>
      <c r="G268" s="423">
        <v>277</v>
      </c>
      <c r="H268" s="419"/>
      <c r="I268" s="419" t="s">
        <v>987</v>
      </c>
      <c r="J268" s="420">
        <v>3000</v>
      </c>
      <c r="K268" s="421"/>
      <c r="L268" s="424">
        <f>L267+Table16[[#This Row],[المدين (إيداع)]]-Table16[[#This Row],[الدائن (السحب)]]</f>
        <v>269104.16999999993</v>
      </c>
    </row>
    <row r="269" spans="1:12" ht="23.25" hidden="1">
      <c r="A269" s="412">
        <f>SUBTOTAL(3,$E$8:E269)</f>
        <v>0</v>
      </c>
      <c r="B269" s="394">
        <v>42895</v>
      </c>
      <c r="C269" s="419" t="s">
        <v>744</v>
      </c>
      <c r="D269" s="417" t="s">
        <v>952</v>
      </c>
      <c r="E269" s="419" t="s">
        <v>1067</v>
      </c>
      <c r="F269" s="419" t="s">
        <v>763</v>
      </c>
      <c r="G269" s="423">
        <v>54</v>
      </c>
      <c r="H269" s="419" t="s">
        <v>844</v>
      </c>
      <c r="I269" s="419" t="s">
        <v>761</v>
      </c>
      <c r="J269" s="420">
        <v>3000</v>
      </c>
      <c r="K269" s="421"/>
      <c r="L269" s="424">
        <f>L268+Table16[[#This Row],[المدين (إيداع)]]-Table16[[#This Row],[الدائن (السحب)]]</f>
        <v>272104.16999999993</v>
      </c>
    </row>
    <row r="270" spans="1:12" ht="23.25" hidden="1">
      <c r="A270" s="412">
        <f>SUBTOTAL(3,$E$8:E270)</f>
        <v>0</v>
      </c>
      <c r="B270" s="394">
        <v>42895</v>
      </c>
      <c r="C270" s="419" t="s">
        <v>744</v>
      </c>
      <c r="D270" s="417" t="s">
        <v>992</v>
      </c>
      <c r="E270" s="419" t="s">
        <v>1068</v>
      </c>
      <c r="F270" s="419" t="s">
        <v>763</v>
      </c>
      <c r="G270" s="423">
        <v>59</v>
      </c>
      <c r="H270" s="419" t="s">
        <v>844</v>
      </c>
      <c r="I270" s="419" t="s">
        <v>761</v>
      </c>
      <c r="J270" s="420">
        <v>3000</v>
      </c>
      <c r="K270" s="421"/>
      <c r="L270" s="424">
        <f>L269+Table16[[#This Row],[المدين (إيداع)]]-Table16[[#This Row],[الدائن (السحب)]]</f>
        <v>275104.16999999993</v>
      </c>
    </row>
    <row r="271" spans="1:12" ht="23.25" hidden="1">
      <c r="A271" s="412">
        <f>SUBTOTAL(3,$E$8:E271)</f>
        <v>0</v>
      </c>
      <c r="B271" s="394">
        <v>42895</v>
      </c>
      <c r="C271" s="419" t="s">
        <v>744</v>
      </c>
      <c r="D271" s="417" t="s">
        <v>1009</v>
      </c>
      <c r="E271" s="419" t="s">
        <v>762</v>
      </c>
      <c r="F271" s="419" t="s">
        <v>763</v>
      </c>
      <c r="G271" s="423">
        <v>1907</v>
      </c>
      <c r="H271" s="419"/>
      <c r="I271" s="419" t="s">
        <v>857</v>
      </c>
      <c r="J271" s="420">
        <v>1500</v>
      </c>
      <c r="K271" s="421"/>
      <c r="L271" s="424">
        <f>L270+Table16[[#This Row],[المدين (إيداع)]]-Table16[[#This Row],[الدائن (السحب)]]</f>
        <v>276604.16999999993</v>
      </c>
    </row>
    <row r="272" spans="1:12" ht="23.25" hidden="1">
      <c r="A272" s="412">
        <f>SUBTOTAL(3,$E$8:E272)</f>
        <v>0</v>
      </c>
      <c r="B272" s="394">
        <v>42895</v>
      </c>
      <c r="C272" s="419" t="s">
        <v>744</v>
      </c>
      <c r="D272" s="417" t="s">
        <v>992</v>
      </c>
      <c r="E272" s="419" t="s">
        <v>1069</v>
      </c>
      <c r="F272" s="419" t="s">
        <v>763</v>
      </c>
      <c r="G272" s="423">
        <v>5530</v>
      </c>
      <c r="H272" s="419" t="s">
        <v>806</v>
      </c>
      <c r="I272" s="419" t="s">
        <v>761</v>
      </c>
      <c r="J272" s="420">
        <v>1500</v>
      </c>
      <c r="K272" s="421"/>
      <c r="L272" s="424">
        <f>L271+Table16[[#This Row],[المدين (إيداع)]]-Table16[[#This Row],[الدائن (السحب)]]</f>
        <v>278104.16999999993</v>
      </c>
    </row>
    <row r="273" spans="1:12" ht="23.25" hidden="1">
      <c r="A273" s="412">
        <f>SUBTOTAL(3,$E$8:E273)</f>
        <v>0</v>
      </c>
      <c r="B273" s="394">
        <v>42895</v>
      </c>
      <c r="C273" s="419" t="s">
        <v>744</v>
      </c>
      <c r="D273" s="417" t="s">
        <v>992</v>
      </c>
      <c r="E273" s="419" t="s">
        <v>1070</v>
      </c>
      <c r="F273" s="419" t="s">
        <v>763</v>
      </c>
      <c r="G273" s="423">
        <v>252</v>
      </c>
      <c r="H273" s="419" t="s">
        <v>1000</v>
      </c>
      <c r="I273" s="419" t="s">
        <v>761</v>
      </c>
      <c r="J273" s="420">
        <v>8400</v>
      </c>
      <c r="K273" s="421"/>
      <c r="L273" s="424">
        <f>L272+Table16[[#This Row],[المدين (إيداع)]]-Table16[[#This Row],[الدائن (السحب)]]</f>
        <v>286504.16999999993</v>
      </c>
    </row>
    <row r="274" spans="1:12" ht="23.25" hidden="1">
      <c r="A274" s="412">
        <f>SUBTOTAL(3,$E$8:E274)</f>
        <v>0</v>
      </c>
      <c r="B274" s="394">
        <v>42895</v>
      </c>
      <c r="C274" s="419" t="s">
        <v>744</v>
      </c>
      <c r="D274" s="417" t="s">
        <v>812</v>
      </c>
      <c r="E274" s="419" t="s">
        <v>762</v>
      </c>
      <c r="F274" s="419" t="s">
        <v>763</v>
      </c>
      <c r="G274" s="423">
        <v>4216</v>
      </c>
      <c r="H274" s="419" t="s">
        <v>1071</v>
      </c>
      <c r="I274" s="419" t="s">
        <v>782</v>
      </c>
      <c r="J274" s="420">
        <v>9750</v>
      </c>
      <c r="K274" s="421"/>
      <c r="L274" s="424">
        <f>L273+Table16[[#This Row],[المدين (إيداع)]]-Table16[[#This Row],[الدائن (السحب)]]</f>
        <v>296254.16999999993</v>
      </c>
    </row>
    <row r="275" spans="1:12" ht="23.25" hidden="1">
      <c r="A275" s="412">
        <f>SUBTOTAL(3,$E$8:E275)</f>
        <v>0</v>
      </c>
      <c r="B275" s="394">
        <v>42895</v>
      </c>
      <c r="C275" s="419" t="s">
        <v>744</v>
      </c>
      <c r="D275" s="417" t="s">
        <v>984</v>
      </c>
      <c r="E275" s="419" t="s">
        <v>762</v>
      </c>
      <c r="F275" s="419" t="s">
        <v>763</v>
      </c>
      <c r="G275" s="423">
        <v>87546</v>
      </c>
      <c r="H275" s="419"/>
      <c r="I275" s="419" t="s">
        <v>987</v>
      </c>
      <c r="J275" s="420">
        <v>5400</v>
      </c>
      <c r="K275" s="421"/>
      <c r="L275" s="424">
        <f>L274+Table16[[#This Row],[المدين (إيداع)]]-Table16[[#This Row],[الدائن (السحب)]]</f>
        <v>301654.16999999993</v>
      </c>
    </row>
    <row r="276" spans="1:12" ht="23.25" hidden="1">
      <c r="A276" s="412">
        <f>SUBTOTAL(3,$E$8:E276)</f>
        <v>0</v>
      </c>
      <c r="B276" s="394">
        <v>42895</v>
      </c>
      <c r="C276" s="419" t="s">
        <v>744</v>
      </c>
      <c r="D276" s="417" t="s">
        <v>1009</v>
      </c>
      <c r="E276" s="419" t="s">
        <v>762</v>
      </c>
      <c r="F276" s="419" t="s">
        <v>763</v>
      </c>
      <c r="G276" s="423">
        <v>653</v>
      </c>
      <c r="H276" s="419"/>
      <c r="I276" s="419" t="s">
        <v>857</v>
      </c>
      <c r="J276" s="420">
        <v>900</v>
      </c>
      <c r="K276" s="421"/>
      <c r="L276" s="424">
        <f>L275+Table16[[#This Row],[المدين (إيداع)]]-Table16[[#This Row],[الدائن (السحب)]]</f>
        <v>302554.16999999993</v>
      </c>
    </row>
    <row r="277" spans="1:12" ht="23.25" hidden="1">
      <c r="A277" s="412">
        <f>SUBTOTAL(3,$E$8:E277)</f>
        <v>0</v>
      </c>
      <c r="B277" s="394">
        <v>42895</v>
      </c>
      <c r="C277" s="419" t="s">
        <v>744</v>
      </c>
      <c r="D277" s="417" t="s">
        <v>992</v>
      </c>
      <c r="E277" s="419" t="s">
        <v>1072</v>
      </c>
      <c r="F277" s="419" t="s">
        <v>763</v>
      </c>
      <c r="G277" s="423">
        <v>1664</v>
      </c>
      <c r="H277" s="419" t="s">
        <v>1073</v>
      </c>
      <c r="I277" s="419" t="s">
        <v>761</v>
      </c>
      <c r="J277" s="420">
        <v>1200</v>
      </c>
      <c r="K277" s="421"/>
      <c r="L277" s="424">
        <f>L276+Table16[[#This Row],[المدين (إيداع)]]-Table16[[#This Row],[الدائن (السحب)]]</f>
        <v>303754.16999999993</v>
      </c>
    </row>
    <row r="278" spans="1:12" ht="23.25" hidden="1">
      <c r="A278" s="412">
        <f>SUBTOTAL(3,$E$8:E278)</f>
        <v>0</v>
      </c>
      <c r="B278" s="394">
        <v>42895</v>
      </c>
      <c r="C278" s="419" t="s">
        <v>744</v>
      </c>
      <c r="D278" s="417" t="s">
        <v>840</v>
      </c>
      <c r="E278" s="419" t="s">
        <v>762</v>
      </c>
      <c r="F278" s="419" t="s">
        <v>763</v>
      </c>
      <c r="G278" s="423">
        <v>3025</v>
      </c>
      <c r="H278" s="419" t="s">
        <v>1074</v>
      </c>
      <c r="I278" s="419" t="s">
        <v>842</v>
      </c>
      <c r="J278" s="420">
        <v>3600</v>
      </c>
      <c r="K278" s="421"/>
      <c r="L278" s="424">
        <f>L277+Table16[[#This Row],[المدين (إيداع)]]-Table16[[#This Row],[الدائن (السحب)]]</f>
        <v>307354.16999999993</v>
      </c>
    </row>
    <row r="279" spans="1:12" ht="23.25" hidden="1">
      <c r="A279" s="412">
        <f>SUBTOTAL(3,$E$8:E279)</f>
        <v>0</v>
      </c>
      <c r="B279" s="394">
        <v>42895</v>
      </c>
      <c r="C279" s="419" t="s">
        <v>744</v>
      </c>
      <c r="D279" s="417" t="s">
        <v>1041</v>
      </c>
      <c r="E279" s="419" t="s">
        <v>762</v>
      </c>
      <c r="F279" s="419" t="s">
        <v>763</v>
      </c>
      <c r="G279" s="423">
        <v>904152</v>
      </c>
      <c r="H279" s="419" t="s">
        <v>1075</v>
      </c>
      <c r="I279" s="419" t="s">
        <v>1076</v>
      </c>
      <c r="J279" s="420">
        <v>2700</v>
      </c>
      <c r="K279" s="421"/>
      <c r="L279" s="424">
        <f>L278+Table16[[#This Row],[المدين (إيداع)]]-Table16[[#This Row],[الدائن (السحب)]]</f>
        <v>310054.16999999993</v>
      </c>
    </row>
    <row r="280" spans="1:12" ht="23.25" hidden="1">
      <c r="A280" s="412">
        <f>SUBTOTAL(3,$E$8:E280)</f>
        <v>0</v>
      </c>
      <c r="B280" s="394">
        <v>42895</v>
      </c>
      <c r="C280" s="419" t="s">
        <v>744</v>
      </c>
      <c r="D280" s="417" t="s">
        <v>812</v>
      </c>
      <c r="E280" s="419" t="s">
        <v>762</v>
      </c>
      <c r="F280" s="419" t="s">
        <v>763</v>
      </c>
      <c r="G280" s="423">
        <v>66127609</v>
      </c>
      <c r="H280" s="419" t="s">
        <v>1077</v>
      </c>
      <c r="I280" s="419" t="s">
        <v>761</v>
      </c>
      <c r="J280" s="420">
        <v>855</v>
      </c>
      <c r="K280" s="421"/>
      <c r="L280" s="424">
        <f>L279+Table16[[#This Row],[المدين (إيداع)]]-Table16[[#This Row],[الدائن (السحب)]]</f>
        <v>310909.16999999993</v>
      </c>
    </row>
    <row r="281" spans="1:12" ht="23.25" hidden="1">
      <c r="A281" s="412">
        <f>SUBTOTAL(3,$E$8:E281)</f>
        <v>0</v>
      </c>
      <c r="B281" s="394">
        <v>42895</v>
      </c>
      <c r="C281" s="419" t="s">
        <v>744</v>
      </c>
      <c r="D281" s="417" t="s">
        <v>1015</v>
      </c>
      <c r="E281" s="419" t="s">
        <v>762</v>
      </c>
      <c r="F281" s="419" t="s">
        <v>763</v>
      </c>
      <c r="G281" s="423">
        <v>66322845</v>
      </c>
      <c r="H281" s="419"/>
      <c r="I281" s="419" t="s">
        <v>987</v>
      </c>
      <c r="J281" s="420">
        <v>1300</v>
      </c>
      <c r="K281" s="421"/>
      <c r="L281" s="424">
        <f>L280+Table16[[#This Row],[المدين (إيداع)]]-Table16[[#This Row],[الدائن (السحب)]]</f>
        <v>312209.16999999993</v>
      </c>
    </row>
    <row r="282" spans="1:12" ht="23.25" hidden="1">
      <c r="A282" s="412">
        <f>SUBTOTAL(3,$E$8:E282)</f>
        <v>0</v>
      </c>
      <c r="B282" s="394">
        <v>42895</v>
      </c>
      <c r="C282" s="419" t="s">
        <v>744</v>
      </c>
      <c r="D282" s="417" t="s">
        <v>992</v>
      </c>
      <c r="E282" s="419" t="s">
        <v>1078</v>
      </c>
      <c r="F282" s="419" t="s">
        <v>763</v>
      </c>
      <c r="G282" s="423">
        <v>66519084</v>
      </c>
      <c r="H282" s="419" t="s">
        <v>766</v>
      </c>
      <c r="I282" s="419" t="s">
        <v>761</v>
      </c>
      <c r="J282" s="420">
        <v>12800</v>
      </c>
      <c r="K282" s="421"/>
      <c r="L282" s="424">
        <f>L281+Table16[[#This Row],[المدين (إيداع)]]-Table16[[#This Row],[الدائن (السحب)]]</f>
        <v>325009.16999999993</v>
      </c>
    </row>
    <row r="283" spans="1:12" ht="23.25" hidden="1">
      <c r="A283" s="412">
        <f>SUBTOTAL(3,$E$8:E283)</f>
        <v>0</v>
      </c>
      <c r="B283" s="394">
        <v>42895</v>
      </c>
      <c r="C283" s="419" t="s">
        <v>744</v>
      </c>
      <c r="D283" s="417" t="s">
        <v>992</v>
      </c>
      <c r="E283" s="419" t="s">
        <v>1079</v>
      </c>
      <c r="F283" s="419" t="s">
        <v>763</v>
      </c>
      <c r="G283" s="423">
        <v>66519124</v>
      </c>
      <c r="H283" s="419" t="s">
        <v>766</v>
      </c>
      <c r="I283" s="419" t="s">
        <v>761</v>
      </c>
      <c r="J283" s="420">
        <v>15200</v>
      </c>
      <c r="K283" s="421"/>
      <c r="L283" s="424">
        <f>L282+Table16[[#This Row],[المدين (إيداع)]]-Table16[[#This Row],[الدائن (السحب)]]</f>
        <v>340209.16999999993</v>
      </c>
    </row>
    <row r="284" spans="1:12" ht="23.25" hidden="1">
      <c r="A284" s="412">
        <f>SUBTOTAL(3,$E$8:E284)</f>
        <v>0</v>
      </c>
      <c r="B284" s="394">
        <v>42896</v>
      </c>
      <c r="C284" s="419" t="s">
        <v>744</v>
      </c>
      <c r="D284" s="417" t="s">
        <v>815</v>
      </c>
      <c r="E284" s="419" t="s">
        <v>758</v>
      </c>
      <c r="F284" s="419" t="s">
        <v>758</v>
      </c>
      <c r="G284" s="423"/>
      <c r="H284" s="419" t="s">
        <v>1080</v>
      </c>
      <c r="I284" s="419" t="s">
        <v>771</v>
      </c>
      <c r="J284" s="420">
        <v>300</v>
      </c>
      <c r="K284" s="421"/>
      <c r="L284" s="424">
        <f>L283+Table16[[#This Row],[المدين (إيداع)]]-Table16[[#This Row],[الدائن (السحب)]]</f>
        <v>340509.16999999993</v>
      </c>
    </row>
    <row r="285" spans="1:12" ht="23.25" hidden="1">
      <c r="A285" s="412">
        <f>SUBTOTAL(3,$E$8:E285)</f>
        <v>0</v>
      </c>
      <c r="B285" s="394">
        <v>42897</v>
      </c>
      <c r="C285" s="419" t="s">
        <v>744</v>
      </c>
      <c r="D285" s="417" t="s">
        <v>577</v>
      </c>
      <c r="E285" s="419" t="s">
        <v>1081</v>
      </c>
      <c r="F285" s="419" t="s">
        <v>773</v>
      </c>
      <c r="G285" s="423">
        <v>288</v>
      </c>
      <c r="H285" s="419" t="s">
        <v>913</v>
      </c>
      <c r="I285" s="419" t="s">
        <v>1082</v>
      </c>
      <c r="J285" s="420"/>
      <c r="K285" s="421">
        <v>72667</v>
      </c>
      <c r="L285" s="424">
        <f>L284+Table16[[#This Row],[المدين (إيداع)]]-Table16[[#This Row],[الدائن (السحب)]]</f>
        <v>267842.16999999993</v>
      </c>
    </row>
    <row r="286" spans="1:12" ht="23.25" hidden="1">
      <c r="A286" s="412">
        <f>SUBTOTAL(3,$E$8:E286)</f>
        <v>0</v>
      </c>
      <c r="B286" s="394">
        <v>42897</v>
      </c>
      <c r="C286" s="419" t="s">
        <v>744</v>
      </c>
      <c r="D286" s="417" t="s">
        <v>1083</v>
      </c>
      <c r="E286" s="419" t="s">
        <v>855</v>
      </c>
      <c r="F286" s="419" t="s">
        <v>758</v>
      </c>
      <c r="G286" s="423"/>
      <c r="H286" s="419" t="s">
        <v>856</v>
      </c>
      <c r="I286" s="419" t="s">
        <v>857</v>
      </c>
      <c r="J286" s="420">
        <v>8000</v>
      </c>
      <c r="K286" s="421"/>
      <c r="L286" s="424">
        <f>L285+Table16[[#This Row],[المدين (إيداع)]]-Table16[[#This Row],[الدائن (السحب)]]</f>
        <v>275842.16999999993</v>
      </c>
    </row>
    <row r="287" spans="1:12" ht="23.25" hidden="1">
      <c r="A287" s="412">
        <f>SUBTOTAL(3,$E$8:E287)</f>
        <v>0</v>
      </c>
      <c r="B287" s="394">
        <v>42898</v>
      </c>
      <c r="C287" s="419" t="s">
        <v>744</v>
      </c>
      <c r="D287" s="417" t="s">
        <v>577</v>
      </c>
      <c r="E287" s="419" t="s">
        <v>1084</v>
      </c>
      <c r="F287" s="419" t="s">
        <v>773</v>
      </c>
      <c r="G287" s="423">
        <v>286</v>
      </c>
      <c r="H287" s="419" t="s">
        <v>1085</v>
      </c>
      <c r="I287" s="419"/>
      <c r="J287" s="420"/>
      <c r="K287" s="421">
        <v>54000</v>
      </c>
      <c r="L287" s="424">
        <f>L286+Table16[[#This Row],[المدين (إيداع)]]-Table16[[#This Row],[الدائن (السحب)]]</f>
        <v>221842.16999999993</v>
      </c>
    </row>
    <row r="288" spans="1:12" ht="23.25" hidden="1">
      <c r="A288" s="412">
        <f>SUBTOTAL(3,$E$8:E288)</f>
        <v>0</v>
      </c>
      <c r="B288" s="394">
        <v>42898</v>
      </c>
      <c r="C288" s="419" t="s">
        <v>744</v>
      </c>
      <c r="D288" s="417" t="s">
        <v>577</v>
      </c>
      <c r="E288" s="419" t="s">
        <v>1084</v>
      </c>
      <c r="F288" s="419" t="s">
        <v>773</v>
      </c>
      <c r="G288" s="423">
        <v>289</v>
      </c>
      <c r="H288" s="419" t="s">
        <v>1085</v>
      </c>
      <c r="I288" s="419"/>
      <c r="J288" s="420"/>
      <c r="K288" s="421">
        <v>30000</v>
      </c>
      <c r="L288" s="424">
        <f>L287+Table16[[#This Row],[المدين (إيداع)]]-Table16[[#This Row],[الدائن (السحب)]]</f>
        <v>191842.16999999993</v>
      </c>
    </row>
    <row r="289" spans="1:12" ht="23.25" hidden="1">
      <c r="A289" s="412">
        <f>SUBTOTAL(3,$E$8:E289)</f>
        <v>0</v>
      </c>
      <c r="B289" s="394">
        <v>42899</v>
      </c>
      <c r="C289" s="419" t="s">
        <v>744</v>
      </c>
      <c r="D289" s="417" t="s">
        <v>1086</v>
      </c>
      <c r="E289" s="419" t="s">
        <v>795</v>
      </c>
      <c r="F289" s="419" t="s">
        <v>758</v>
      </c>
      <c r="G289" s="423"/>
      <c r="H289" s="419" t="s">
        <v>796</v>
      </c>
      <c r="I289" s="419" t="s">
        <v>797</v>
      </c>
      <c r="J289" s="420">
        <v>10400</v>
      </c>
      <c r="K289" s="421"/>
      <c r="L289" s="424">
        <f>L288+Table16[[#This Row],[المدين (إيداع)]]-Table16[[#This Row],[الدائن (السحب)]]</f>
        <v>202242.16999999993</v>
      </c>
    </row>
    <row r="290" spans="1:12" ht="23.25" hidden="1">
      <c r="A290" s="412">
        <f>SUBTOTAL(3,$E$8:E290)</f>
        <v>0</v>
      </c>
      <c r="B290" s="394">
        <v>42899</v>
      </c>
      <c r="C290" s="419" t="s">
        <v>744</v>
      </c>
      <c r="D290" s="417" t="s">
        <v>1087</v>
      </c>
      <c r="E290" s="419" t="s">
        <v>758</v>
      </c>
      <c r="F290" s="419" t="s">
        <v>758</v>
      </c>
      <c r="G290" s="423"/>
      <c r="H290" s="419" t="s">
        <v>825</v>
      </c>
      <c r="I290" s="419" t="s">
        <v>974</v>
      </c>
      <c r="J290" s="420">
        <v>800</v>
      </c>
      <c r="K290" s="421"/>
      <c r="L290" s="424">
        <f>L289+Table16[[#This Row],[المدين (إيداع)]]-Table16[[#This Row],[الدائن (السحب)]]</f>
        <v>203042.16999999993</v>
      </c>
    </row>
    <row r="291" spans="1:12" ht="23.25" hidden="1">
      <c r="A291" s="412">
        <f>SUBTOTAL(3,$E$8:E291)</f>
        <v>0</v>
      </c>
      <c r="B291" s="394">
        <v>42900</v>
      </c>
      <c r="C291" s="419" t="s">
        <v>744</v>
      </c>
      <c r="D291" s="417" t="s">
        <v>1088</v>
      </c>
      <c r="E291" s="419" t="s">
        <v>879</v>
      </c>
      <c r="F291" s="419" t="s">
        <v>758</v>
      </c>
      <c r="G291" s="423"/>
      <c r="H291" s="419" t="s">
        <v>1057</v>
      </c>
      <c r="I291" s="419" t="s">
        <v>851</v>
      </c>
      <c r="J291" s="420">
        <v>20000</v>
      </c>
      <c r="K291" s="421"/>
      <c r="L291" s="424">
        <f>L290+Table16[[#This Row],[المدين (إيداع)]]-Table16[[#This Row],[الدائن (السحب)]]</f>
        <v>223042.16999999993</v>
      </c>
    </row>
    <row r="292" spans="1:12" ht="23.25" hidden="1">
      <c r="A292" s="412">
        <f>SUBTOTAL(3,$E$8:E292)</f>
        <v>0</v>
      </c>
      <c r="B292" s="394">
        <v>42900</v>
      </c>
      <c r="C292" s="419" t="s">
        <v>744</v>
      </c>
      <c r="D292" s="417" t="s">
        <v>1089</v>
      </c>
      <c r="E292" s="419" t="s">
        <v>758</v>
      </c>
      <c r="F292" s="419" t="s">
        <v>758</v>
      </c>
      <c r="G292" s="423"/>
      <c r="H292" s="419"/>
      <c r="I292" s="419"/>
      <c r="J292" s="420">
        <v>900</v>
      </c>
      <c r="K292" s="421"/>
      <c r="L292" s="424">
        <f>L291+Table16[[#This Row],[المدين (إيداع)]]-Table16[[#This Row],[الدائن (السحب)]]</f>
        <v>223942.16999999993</v>
      </c>
    </row>
    <row r="293" spans="1:12" ht="23.25" hidden="1">
      <c r="A293" s="412">
        <f>SUBTOTAL(3,$E$8:E293)</f>
        <v>0</v>
      </c>
      <c r="B293" s="394">
        <v>42900</v>
      </c>
      <c r="C293" s="419" t="s">
        <v>744</v>
      </c>
      <c r="D293" s="417" t="s">
        <v>1064</v>
      </c>
      <c r="E293" s="419" t="s">
        <v>758</v>
      </c>
      <c r="F293" s="419" t="s">
        <v>758</v>
      </c>
      <c r="G293" s="423"/>
      <c r="H293" s="419" t="s">
        <v>1090</v>
      </c>
      <c r="I293" s="419" t="s">
        <v>974</v>
      </c>
      <c r="J293" s="420">
        <v>2400</v>
      </c>
      <c r="K293" s="421"/>
      <c r="L293" s="424">
        <f>L292+Table16[[#This Row],[المدين (إيداع)]]-Table16[[#This Row],[الدائن (السحب)]]</f>
        <v>226342.16999999993</v>
      </c>
    </row>
    <row r="294" spans="1:12" ht="23.25" hidden="1">
      <c r="A294" s="412">
        <f>SUBTOTAL(3,$E$8:E294)</f>
        <v>0</v>
      </c>
      <c r="B294" s="394">
        <v>42901</v>
      </c>
      <c r="C294" s="419" t="s">
        <v>744</v>
      </c>
      <c r="D294" s="417" t="s">
        <v>812</v>
      </c>
      <c r="E294" s="419" t="s">
        <v>1091</v>
      </c>
      <c r="F294" s="419" t="s">
        <v>758</v>
      </c>
      <c r="G294" s="423"/>
      <c r="H294" s="419" t="s">
        <v>785</v>
      </c>
      <c r="I294" s="419" t="s">
        <v>761</v>
      </c>
      <c r="J294" s="420">
        <v>3500</v>
      </c>
      <c r="K294" s="421"/>
      <c r="L294" s="424">
        <f>L293+Table16[[#This Row],[المدين (إيداع)]]-Table16[[#This Row],[الدائن (السحب)]]</f>
        <v>229842.16999999993</v>
      </c>
    </row>
    <row r="295" spans="1:12" ht="23.25" hidden="1">
      <c r="A295" s="412">
        <f>SUBTOTAL(3,$E$8:E295)</f>
        <v>0</v>
      </c>
      <c r="B295" s="394">
        <v>42902</v>
      </c>
      <c r="C295" s="419" t="s">
        <v>744</v>
      </c>
      <c r="D295" s="417" t="s">
        <v>1088</v>
      </c>
      <c r="E295" s="419" t="s">
        <v>879</v>
      </c>
      <c r="F295" s="419" t="s">
        <v>758</v>
      </c>
      <c r="G295" s="423"/>
      <c r="H295" s="419" t="s">
        <v>1057</v>
      </c>
      <c r="I295" s="419" t="s">
        <v>851</v>
      </c>
      <c r="J295" s="420">
        <v>20000</v>
      </c>
      <c r="K295" s="421"/>
      <c r="L295" s="424">
        <f>L294+Table16[[#This Row],[المدين (إيداع)]]-Table16[[#This Row],[الدائن (السحب)]]</f>
        <v>249842.16999999993</v>
      </c>
    </row>
    <row r="296" spans="1:12" ht="23.25" hidden="1">
      <c r="A296" s="412">
        <f>SUBTOTAL(3,$E$8:E296)</f>
        <v>0</v>
      </c>
      <c r="B296" s="394">
        <v>42905</v>
      </c>
      <c r="C296" s="419" t="s">
        <v>744</v>
      </c>
      <c r="D296" s="417" t="s">
        <v>752</v>
      </c>
      <c r="E296" s="419" t="s">
        <v>753</v>
      </c>
      <c r="F296" s="419" t="s">
        <v>754</v>
      </c>
      <c r="G296" s="423" t="s">
        <v>1092</v>
      </c>
      <c r="H296" s="419" t="s">
        <v>1092</v>
      </c>
      <c r="I296" s="419" t="s">
        <v>754</v>
      </c>
      <c r="J296" s="420"/>
      <c r="K296" s="421">
        <v>25</v>
      </c>
      <c r="L296" s="424">
        <f>L295+Table16[[#This Row],[المدين (إيداع)]]-Table16[[#This Row],[الدائن (السحب)]]</f>
        <v>249817.16999999993</v>
      </c>
    </row>
    <row r="297" spans="1:12" ht="23.25" hidden="1">
      <c r="A297" s="412">
        <f>SUBTOTAL(3,$E$8:E297)</f>
        <v>0</v>
      </c>
      <c r="B297" s="394">
        <v>42905</v>
      </c>
      <c r="C297" s="419" t="s">
        <v>744</v>
      </c>
      <c r="D297" s="417" t="s">
        <v>1040</v>
      </c>
      <c r="E297" s="419" t="s">
        <v>777</v>
      </c>
      <c r="F297" s="419" t="s">
        <v>758</v>
      </c>
      <c r="G297" s="423"/>
      <c r="H297" s="419" t="s">
        <v>778</v>
      </c>
      <c r="I297" s="419" t="s">
        <v>811</v>
      </c>
      <c r="J297" s="420">
        <v>1200</v>
      </c>
      <c r="K297" s="421"/>
      <c r="L297" s="424">
        <f>L296+Table16[[#This Row],[المدين (إيداع)]]-Table16[[#This Row],[الدائن (السحب)]]</f>
        <v>251017.16999999993</v>
      </c>
    </row>
    <row r="298" spans="1:12" ht="23.25" hidden="1">
      <c r="A298" s="412">
        <f>SUBTOTAL(3,$E$8:E298)</f>
        <v>0</v>
      </c>
      <c r="B298" s="394">
        <v>42906</v>
      </c>
      <c r="C298" s="419" t="s">
        <v>744</v>
      </c>
      <c r="D298" s="417" t="s">
        <v>897</v>
      </c>
      <c r="E298" s="419" t="s">
        <v>758</v>
      </c>
      <c r="F298" s="419" t="s">
        <v>758</v>
      </c>
      <c r="G298" s="423"/>
      <c r="H298" s="419"/>
      <c r="I298" s="419" t="s">
        <v>771</v>
      </c>
      <c r="J298" s="420">
        <v>690</v>
      </c>
      <c r="K298" s="421"/>
      <c r="L298" s="424">
        <f>L297+Table16[[#This Row],[المدين (إيداع)]]-Table16[[#This Row],[الدائن (السحب)]]</f>
        <v>251707.16999999993</v>
      </c>
    </row>
    <row r="299" spans="1:12" ht="23.25" hidden="1">
      <c r="A299" s="412">
        <f>SUBTOTAL(3,$E$8:E299)</f>
        <v>0</v>
      </c>
      <c r="B299" s="394">
        <v>42908</v>
      </c>
      <c r="C299" s="419"/>
      <c r="D299" s="417" t="s">
        <v>1062</v>
      </c>
      <c r="E299" s="419" t="s">
        <v>1063</v>
      </c>
      <c r="F299" s="419" t="s">
        <v>1063</v>
      </c>
      <c r="G299" s="423">
        <v>174</v>
      </c>
      <c r="H299" s="419"/>
      <c r="I299" s="419"/>
      <c r="J299" s="420">
        <v>1500</v>
      </c>
      <c r="K299" s="421"/>
      <c r="L299" s="424">
        <f>L298+Table16[[#This Row],[المدين (إيداع)]]-Table16[[#This Row],[الدائن (السحب)]]</f>
        <v>253207.16999999993</v>
      </c>
    </row>
    <row r="300" spans="1:12" ht="23.25" hidden="1">
      <c r="A300" s="412">
        <f>SUBTOTAL(3,$E$8:E300)</f>
        <v>0</v>
      </c>
      <c r="B300" s="394">
        <v>42908</v>
      </c>
      <c r="C300" s="419"/>
      <c r="D300" s="417" t="s">
        <v>1062</v>
      </c>
      <c r="E300" s="419" t="s">
        <v>1063</v>
      </c>
      <c r="F300" s="419" t="s">
        <v>1063</v>
      </c>
      <c r="G300" s="423">
        <v>174</v>
      </c>
      <c r="H300" s="419"/>
      <c r="I300" s="419"/>
      <c r="J300" s="420"/>
      <c r="K300" s="421">
        <v>1500</v>
      </c>
      <c r="L300" s="424">
        <f>L299+Table16[[#This Row],[المدين (إيداع)]]-Table16[[#This Row],[الدائن (السحب)]]</f>
        <v>251707.16999999993</v>
      </c>
    </row>
    <row r="301" spans="1:12" ht="23.25" hidden="1">
      <c r="A301" s="412">
        <f>SUBTOTAL(3,$E$8:E301)</f>
        <v>0</v>
      </c>
      <c r="B301" s="394">
        <v>42908</v>
      </c>
      <c r="C301" s="419" t="s">
        <v>744</v>
      </c>
      <c r="D301" s="417" t="s">
        <v>1093</v>
      </c>
      <c r="E301" s="419" t="s">
        <v>758</v>
      </c>
      <c r="F301" s="419" t="s">
        <v>758</v>
      </c>
      <c r="G301" s="423"/>
      <c r="H301" s="419"/>
      <c r="I301" s="419" t="s">
        <v>1094</v>
      </c>
      <c r="J301" s="420">
        <v>3600</v>
      </c>
      <c r="K301" s="421"/>
      <c r="L301" s="424">
        <f>L300+Table16[[#This Row],[المدين (إيداع)]]-Table16[[#This Row],[الدائن (السحب)]]</f>
        <v>255307.16999999993</v>
      </c>
    </row>
    <row r="302" spans="1:12" ht="23.25" hidden="1">
      <c r="A302" s="412">
        <f>SUBTOTAL(3,$E$8:E302)</f>
        <v>0</v>
      </c>
      <c r="B302" s="394">
        <v>42909</v>
      </c>
      <c r="C302" s="419" t="s">
        <v>744</v>
      </c>
      <c r="D302" s="417" t="s">
        <v>1088</v>
      </c>
      <c r="E302" s="419" t="s">
        <v>879</v>
      </c>
      <c r="F302" s="419" t="s">
        <v>758</v>
      </c>
      <c r="G302" s="423"/>
      <c r="H302" s="419" t="s">
        <v>1057</v>
      </c>
      <c r="I302" s="419" t="s">
        <v>851</v>
      </c>
      <c r="J302" s="420">
        <v>19500</v>
      </c>
      <c r="K302" s="421"/>
      <c r="L302" s="424">
        <f>L301+Table16[[#This Row],[المدين (إيداع)]]-Table16[[#This Row],[الدائن (السحب)]]</f>
        <v>274807.16999999993</v>
      </c>
    </row>
    <row r="303" spans="1:12" ht="23.25" hidden="1">
      <c r="A303" s="412">
        <f>SUBTOTAL(3,$E$8:E303)</f>
        <v>0</v>
      </c>
      <c r="B303" s="394">
        <v>42909</v>
      </c>
      <c r="C303" s="419" t="s">
        <v>744</v>
      </c>
      <c r="D303" s="417" t="s">
        <v>1089</v>
      </c>
      <c r="E303" s="419" t="s">
        <v>762</v>
      </c>
      <c r="F303" s="419" t="s">
        <v>763</v>
      </c>
      <c r="G303" s="423">
        <v>67133458</v>
      </c>
      <c r="H303" s="419"/>
      <c r="I303" s="419"/>
      <c r="J303" s="420">
        <v>2600</v>
      </c>
      <c r="K303" s="421"/>
      <c r="L303" s="424">
        <f>L302+Table16[[#This Row],[المدين (إيداع)]]-Table16[[#This Row],[الدائن (السحب)]]</f>
        <v>277407.16999999993</v>
      </c>
    </row>
    <row r="304" spans="1:12" ht="23.25" hidden="1">
      <c r="A304" s="412">
        <f>SUBTOTAL(3,$E$8:E304)</f>
        <v>0</v>
      </c>
      <c r="B304" s="394">
        <v>42909</v>
      </c>
      <c r="C304" s="419" t="s">
        <v>744</v>
      </c>
      <c r="D304" s="417" t="s">
        <v>1089</v>
      </c>
      <c r="E304" s="419" t="s">
        <v>762</v>
      </c>
      <c r="F304" s="419" t="s">
        <v>763</v>
      </c>
      <c r="G304" s="423">
        <v>67143909</v>
      </c>
      <c r="H304" s="419"/>
      <c r="I304" s="419"/>
      <c r="J304" s="420">
        <v>1300</v>
      </c>
      <c r="K304" s="421"/>
      <c r="L304" s="424">
        <f>L303+Table16[[#This Row],[المدين (إيداع)]]-Table16[[#This Row],[الدائن (السحب)]]</f>
        <v>278707.16999999993</v>
      </c>
    </row>
    <row r="305" spans="1:12" ht="23.25" hidden="1">
      <c r="A305" s="412">
        <f>SUBTOTAL(3,$E$8:E305)</f>
        <v>0</v>
      </c>
      <c r="B305" s="394">
        <v>42909</v>
      </c>
      <c r="C305" s="419"/>
      <c r="D305" s="417" t="s">
        <v>1062</v>
      </c>
      <c r="E305" s="419" t="s">
        <v>762</v>
      </c>
      <c r="F305" s="419" t="s">
        <v>1063</v>
      </c>
      <c r="G305" s="423">
        <v>173</v>
      </c>
      <c r="H305" s="419"/>
      <c r="I305" s="419" t="s">
        <v>974</v>
      </c>
      <c r="J305" s="420">
        <v>900</v>
      </c>
      <c r="K305" s="421"/>
      <c r="L305" s="424">
        <f>L304+Table16[[#This Row],[المدين (إيداع)]]-Table16[[#This Row],[الدائن (السحب)]]</f>
        <v>279607.16999999993</v>
      </c>
    </row>
    <row r="306" spans="1:12" ht="23.25" hidden="1">
      <c r="A306" s="412">
        <f>SUBTOTAL(3,$E$8:E306)</f>
        <v>0</v>
      </c>
      <c r="B306" s="394">
        <v>42919</v>
      </c>
      <c r="C306" s="419" t="s">
        <v>744</v>
      </c>
      <c r="D306" s="417" t="s">
        <v>1093</v>
      </c>
      <c r="E306" s="419" t="s">
        <v>1095</v>
      </c>
      <c r="F306" s="419" t="s">
        <v>746</v>
      </c>
      <c r="G306" s="423"/>
      <c r="H306" s="419" t="s">
        <v>922</v>
      </c>
      <c r="I306" s="419" t="s">
        <v>820</v>
      </c>
      <c r="J306" s="420">
        <v>55000</v>
      </c>
      <c r="K306" s="421"/>
      <c r="L306" s="424">
        <f>L305+Table16[[#This Row],[المدين (إيداع)]]-Table16[[#This Row],[الدائن (السحب)]]</f>
        <v>334607.16999999993</v>
      </c>
    </row>
    <row r="307" spans="1:12" ht="23.25" hidden="1">
      <c r="A307" s="412">
        <f>SUBTOTAL(3,$E$8:E307)</f>
        <v>0</v>
      </c>
      <c r="B307" s="394">
        <v>42919</v>
      </c>
      <c r="C307" s="419" t="s">
        <v>744</v>
      </c>
      <c r="D307" s="417" t="s">
        <v>1096</v>
      </c>
      <c r="E307" s="419" t="s">
        <v>777</v>
      </c>
      <c r="F307" s="419" t="s">
        <v>758</v>
      </c>
      <c r="G307" s="423"/>
      <c r="H307" s="419" t="s">
        <v>778</v>
      </c>
      <c r="I307" s="419" t="s">
        <v>1097</v>
      </c>
      <c r="J307" s="420">
        <v>2100</v>
      </c>
      <c r="K307" s="421"/>
      <c r="L307" s="424">
        <f>L306+Table16[[#This Row],[المدين (إيداع)]]-Table16[[#This Row],[الدائن (السحب)]]</f>
        <v>336707.16999999993</v>
      </c>
    </row>
    <row r="308" spans="1:12" ht="23.25" hidden="1">
      <c r="A308" s="412">
        <f>SUBTOTAL(3,$E$8:E308)</f>
        <v>0</v>
      </c>
      <c r="B308" s="394">
        <v>42919</v>
      </c>
      <c r="C308" s="419" t="s">
        <v>744</v>
      </c>
      <c r="D308" s="417" t="s">
        <v>1096</v>
      </c>
      <c r="E308" s="419" t="s">
        <v>830</v>
      </c>
      <c r="F308" s="419" t="s">
        <v>758</v>
      </c>
      <c r="G308" s="423"/>
      <c r="H308" s="419" t="s">
        <v>831</v>
      </c>
      <c r="I308" s="419" t="s">
        <v>1098</v>
      </c>
      <c r="J308" s="420">
        <v>3200</v>
      </c>
      <c r="K308" s="421"/>
      <c r="L308" s="424">
        <f>L307+Table16[[#This Row],[المدين (إيداع)]]-Table16[[#This Row],[الدائن (السحب)]]</f>
        <v>339907.16999999993</v>
      </c>
    </row>
    <row r="309" spans="1:12" ht="23.25" hidden="1">
      <c r="A309" s="412">
        <f>SUBTOTAL(3,$E$8:E309)</f>
        <v>0</v>
      </c>
      <c r="B309" s="394">
        <v>42919</v>
      </c>
      <c r="C309" s="419" t="s">
        <v>744</v>
      </c>
      <c r="D309" s="417" t="s">
        <v>1099</v>
      </c>
      <c r="E309" s="419" t="s">
        <v>795</v>
      </c>
      <c r="F309" s="419" t="s">
        <v>758</v>
      </c>
      <c r="G309" s="423"/>
      <c r="H309" s="419" t="s">
        <v>796</v>
      </c>
      <c r="I309" s="419" t="s">
        <v>797</v>
      </c>
      <c r="J309" s="420">
        <v>110050</v>
      </c>
      <c r="K309" s="421"/>
      <c r="L309" s="424">
        <f>L308+Table16[[#This Row],[المدين (إيداع)]]-Table16[[#This Row],[الدائن (السحب)]]</f>
        <v>449957.16999999993</v>
      </c>
    </row>
    <row r="310" spans="1:12" ht="23.25" hidden="1">
      <c r="A310" s="412">
        <f>SUBTOTAL(3,$E$8:E310)</f>
        <v>0</v>
      </c>
      <c r="B310" s="394">
        <v>42925</v>
      </c>
      <c r="C310" s="419" t="s">
        <v>744</v>
      </c>
      <c r="D310" s="417" t="s">
        <v>1100</v>
      </c>
      <c r="E310" s="419" t="s">
        <v>758</v>
      </c>
      <c r="F310" s="419" t="s">
        <v>758</v>
      </c>
      <c r="G310" s="423"/>
      <c r="H310" s="419" t="s">
        <v>1101</v>
      </c>
      <c r="I310" s="419" t="s">
        <v>974</v>
      </c>
      <c r="J310" s="420">
        <v>4200</v>
      </c>
      <c r="K310" s="421"/>
      <c r="L310" s="424">
        <f>L309+Table16[[#This Row],[المدين (إيداع)]]-Table16[[#This Row],[الدائن (السحب)]]</f>
        <v>454157.16999999993</v>
      </c>
    </row>
    <row r="311" spans="1:12" ht="23.25" hidden="1">
      <c r="A311" s="412">
        <f>SUBTOTAL(3,$E$8:E311)</f>
        <v>0</v>
      </c>
      <c r="B311" s="394">
        <v>42926</v>
      </c>
      <c r="C311" s="419" t="s">
        <v>744</v>
      </c>
      <c r="D311" s="417" t="s">
        <v>812</v>
      </c>
      <c r="E311" s="419" t="s">
        <v>758</v>
      </c>
      <c r="F311" s="419" t="s">
        <v>758</v>
      </c>
      <c r="G311" s="423"/>
      <c r="H311" s="419" t="s">
        <v>1102</v>
      </c>
      <c r="I311" s="419" t="s">
        <v>761</v>
      </c>
      <c r="J311" s="420">
        <v>1520</v>
      </c>
      <c r="K311" s="421"/>
      <c r="L311" s="424">
        <f>L310+Table16[[#This Row],[المدين (إيداع)]]-Table16[[#This Row],[الدائن (السحب)]]</f>
        <v>455677.16999999993</v>
      </c>
    </row>
    <row r="312" spans="1:12" ht="23.25" hidden="1">
      <c r="A312" s="412">
        <f>SUBTOTAL(3,$E$8:E312)</f>
        <v>0</v>
      </c>
      <c r="B312" s="394">
        <v>42927</v>
      </c>
      <c r="C312" s="419" t="s">
        <v>744</v>
      </c>
      <c r="D312" s="417" t="s">
        <v>1096</v>
      </c>
      <c r="E312" s="419" t="s">
        <v>777</v>
      </c>
      <c r="F312" s="419" t="s">
        <v>758</v>
      </c>
      <c r="G312" s="423"/>
      <c r="H312" s="419" t="s">
        <v>778</v>
      </c>
      <c r="I312" s="419" t="s">
        <v>1097</v>
      </c>
      <c r="J312" s="420">
        <v>2800</v>
      </c>
      <c r="K312" s="421"/>
      <c r="L312" s="424">
        <f>L311+Table16[[#This Row],[المدين (إيداع)]]-Table16[[#This Row],[الدائن (السحب)]]</f>
        <v>458477.16999999993</v>
      </c>
    </row>
    <row r="313" spans="1:12" ht="23.25" hidden="1">
      <c r="A313" s="412">
        <f>SUBTOTAL(3,$E$8:E313)</f>
        <v>0</v>
      </c>
      <c r="B313" s="394">
        <v>42928</v>
      </c>
      <c r="C313" s="419" t="s">
        <v>744</v>
      </c>
      <c r="D313" s="417" t="s">
        <v>812</v>
      </c>
      <c r="E313" s="419" t="s">
        <v>1103</v>
      </c>
      <c r="F313" s="419" t="s">
        <v>758</v>
      </c>
      <c r="G313" s="423"/>
      <c r="H313" s="419" t="s">
        <v>789</v>
      </c>
      <c r="I313" s="419" t="s">
        <v>761</v>
      </c>
      <c r="J313" s="420">
        <v>900</v>
      </c>
      <c r="K313" s="421"/>
      <c r="L313" s="424">
        <f>L312+Table16[[#This Row],[المدين (إيداع)]]-Table16[[#This Row],[الدائن (السحب)]]</f>
        <v>459377.16999999993</v>
      </c>
    </row>
    <row r="314" spans="1:12" ht="23.25" hidden="1">
      <c r="A314" s="412">
        <f>SUBTOTAL(3,$E$8:E314)</f>
        <v>0</v>
      </c>
      <c r="B314" s="394">
        <v>42928</v>
      </c>
      <c r="C314" s="419" t="s">
        <v>744</v>
      </c>
      <c r="D314" s="417" t="s">
        <v>812</v>
      </c>
      <c r="E314" s="419" t="s">
        <v>1104</v>
      </c>
      <c r="F314" s="419" t="s">
        <v>758</v>
      </c>
      <c r="G314" s="423"/>
      <c r="H314" s="419" t="s">
        <v>1104</v>
      </c>
      <c r="I314" s="419" t="s">
        <v>761</v>
      </c>
      <c r="J314" s="420">
        <v>1350</v>
      </c>
      <c r="K314" s="421"/>
      <c r="L314" s="424">
        <f>L313+Table16[[#This Row],[المدين (إيداع)]]-Table16[[#This Row],[الدائن (السحب)]]</f>
        <v>460727.16999999993</v>
      </c>
    </row>
    <row r="315" spans="1:12" ht="23.25" hidden="1">
      <c r="A315" s="412">
        <f>SUBTOTAL(3,$E$8:E315)</f>
        <v>0</v>
      </c>
      <c r="B315" s="394">
        <v>42928</v>
      </c>
      <c r="C315" s="419" t="s">
        <v>744</v>
      </c>
      <c r="D315" s="417" t="s">
        <v>1105</v>
      </c>
      <c r="E315" s="419" t="s">
        <v>993</v>
      </c>
      <c r="F315" s="419" t="s">
        <v>758</v>
      </c>
      <c r="G315" s="423" t="s">
        <v>1106</v>
      </c>
      <c r="H315" s="419" t="s">
        <v>993</v>
      </c>
      <c r="I315" s="419" t="s">
        <v>761</v>
      </c>
      <c r="J315" s="420">
        <v>1800</v>
      </c>
      <c r="K315" s="421"/>
      <c r="L315" s="424">
        <f>L314+Table16[[#This Row],[المدين (إيداع)]]-Table16[[#This Row],[الدائن (السحب)]]</f>
        <v>462527.16999999993</v>
      </c>
    </row>
    <row r="316" spans="1:12" ht="23.25" hidden="1">
      <c r="A316" s="412">
        <f>SUBTOTAL(3,$E$8:E316)</f>
        <v>0</v>
      </c>
      <c r="B316" s="394">
        <v>42929</v>
      </c>
      <c r="C316" s="419" t="s">
        <v>744</v>
      </c>
      <c r="D316" s="417" t="s">
        <v>1107</v>
      </c>
      <c r="E316" s="419" t="s">
        <v>758</v>
      </c>
      <c r="F316" s="419" t="s">
        <v>758</v>
      </c>
      <c r="G316" s="423"/>
      <c r="H316" s="419" t="s">
        <v>775</v>
      </c>
      <c r="I316" s="419" t="s">
        <v>771</v>
      </c>
      <c r="J316" s="420">
        <v>300</v>
      </c>
      <c r="K316" s="421"/>
      <c r="L316" s="424">
        <f>L315+Table16[[#This Row],[المدين (إيداع)]]-Table16[[#This Row],[الدائن (السحب)]]</f>
        <v>462827.16999999993</v>
      </c>
    </row>
    <row r="317" spans="1:12" ht="23.25" hidden="1">
      <c r="A317" s="412">
        <f>SUBTOTAL(3,$E$8:E317)</f>
        <v>0</v>
      </c>
      <c r="B317" s="394">
        <v>42929</v>
      </c>
      <c r="C317" s="419" t="s">
        <v>744</v>
      </c>
      <c r="D317" s="417" t="s">
        <v>1105</v>
      </c>
      <c r="E317" s="419" t="s">
        <v>1108</v>
      </c>
      <c r="F317" s="419" t="s">
        <v>758</v>
      </c>
      <c r="G317" s="423" t="s">
        <v>1109</v>
      </c>
      <c r="H317" s="419" t="s">
        <v>1110</v>
      </c>
      <c r="I317" s="419" t="s">
        <v>761</v>
      </c>
      <c r="J317" s="420">
        <v>1800</v>
      </c>
      <c r="K317" s="421"/>
      <c r="L317" s="424">
        <f>L316+Table16[[#This Row],[المدين (إيداع)]]-Table16[[#This Row],[الدائن (السحب)]]</f>
        <v>464627.16999999993</v>
      </c>
    </row>
    <row r="318" spans="1:12" ht="23.25" hidden="1">
      <c r="A318" s="412">
        <f>SUBTOTAL(3,$E$8:E318)</f>
        <v>0</v>
      </c>
      <c r="B318" s="394">
        <v>42929</v>
      </c>
      <c r="C318" s="419" t="s">
        <v>744</v>
      </c>
      <c r="D318" s="417" t="s">
        <v>815</v>
      </c>
      <c r="E318" s="419" t="s">
        <v>758</v>
      </c>
      <c r="F318" s="419" t="s">
        <v>758</v>
      </c>
      <c r="G318" s="423"/>
      <c r="H318" s="419" t="s">
        <v>1111</v>
      </c>
      <c r="I318" s="419" t="s">
        <v>771</v>
      </c>
      <c r="J318" s="420">
        <v>300</v>
      </c>
      <c r="K318" s="421"/>
      <c r="L318" s="424">
        <f>L317+Table16[[#This Row],[المدين (إيداع)]]-Table16[[#This Row],[الدائن (السحب)]]</f>
        <v>464927.16999999993</v>
      </c>
    </row>
    <row r="319" spans="1:12" ht="23.25" hidden="1">
      <c r="A319" s="412">
        <f>SUBTOTAL(3,$E$8:E319)</f>
        <v>0</v>
      </c>
      <c r="B319" s="394">
        <v>42931</v>
      </c>
      <c r="C319" s="419" t="s">
        <v>744</v>
      </c>
      <c r="D319" s="417" t="s">
        <v>1107</v>
      </c>
      <c r="E319" s="419" t="s">
        <v>758</v>
      </c>
      <c r="F319" s="419" t="s">
        <v>758</v>
      </c>
      <c r="G319" s="423"/>
      <c r="H319" s="419" t="s">
        <v>1112</v>
      </c>
      <c r="I319" s="419" t="s">
        <v>771</v>
      </c>
      <c r="J319" s="420">
        <v>1200</v>
      </c>
      <c r="K319" s="421"/>
      <c r="L319" s="424">
        <f>L318+Table16[[#This Row],[المدين (إيداع)]]-Table16[[#This Row],[الدائن (السحب)]]</f>
        <v>466127.16999999993</v>
      </c>
    </row>
    <row r="320" spans="1:12" ht="23.25" hidden="1">
      <c r="A320" s="412">
        <f>SUBTOTAL(3,$E$8:E320)</f>
        <v>0</v>
      </c>
      <c r="B320" s="394">
        <v>42932</v>
      </c>
      <c r="C320" s="419" t="s">
        <v>744</v>
      </c>
      <c r="D320" s="417" t="s">
        <v>1113</v>
      </c>
      <c r="E320" s="419" t="s">
        <v>787</v>
      </c>
      <c r="F320" s="419" t="s">
        <v>758</v>
      </c>
      <c r="G320" s="423" t="s">
        <v>1114</v>
      </c>
      <c r="H320" s="419" t="s">
        <v>1115</v>
      </c>
      <c r="I320" s="419" t="s">
        <v>761</v>
      </c>
      <c r="J320" s="420">
        <v>900</v>
      </c>
      <c r="K320" s="421"/>
      <c r="L320" s="424">
        <f>L319+Table16[[#This Row],[المدين (إيداع)]]-Table16[[#This Row],[الدائن (السحب)]]</f>
        <v>467027.16999999993</v>
      </c>
    </row>
    <row r="321" spans="1:12" ht="23.25" hidden="1">
      <c r="A321" s="412">
        <f>SUBTOTAL(3,$E$8:E321)</f>
        <v>0</v>
      </c>
      <c r="B321" s="394">
        <v>42933</v>
      </c>
      <c r="C321" s="419" t="s">
        <v>744</v>
      </c>
      <c r="D321" s="417" t="s">
        <v>1113</v>
      </c>
      <c r="E321" s="419" t="s">
        <v>1116</v>
      </c>
      <c r="F321" s="419" t="s">
        <v>763</v>
      </c>
      <c r="G321" s="423">
        <v>1463</v>
      </c>
      <c r="H321" s="419" t="s">
        <v>1117</v>
      </c>
      <c r="I321" s="419" t="s">
        <v>761</v>
      </c>
      <c r="J321" s="420">
        <v>26133</v>
      </c>
      <c r="K321" s="421"/>
      <c r="L321" s="424">
        <f>L320+Table16[[#This Row],[المدين (إيداع)]]-Table16[[#This Row],[الدائن (السحب)]]</f>
        <v>493160.16999999993</v>
      </c>
    </row>
    <row r="322" spans="1:12" ht="23.25" hidden="1">
      <c r="A322" s="412">
        <f>SUBTOTAL(3,$E$8:E322)</f>
        <v>0</v>
      </c>
      <c r="B322" s="394">
        <v>42933</v>
      </c>
      <c r="C322" s="419" t="s">
        <v>744</v>
      </c>
      <c r="D322" s="417" t="s">
        <v>1107</v>
      </c>
      <c r="E322" s="419" t="s">
        <v>758</v>
      </c>
      <c r="F322" s="419" t="s">
        <v>758</v>
      </c>
      <c r="G322" s="423"/>
      <c r="H322" s="419" t="s">
        <v>1118</v>
      </c>
      <c r="I322" s="419" t="s">
        <v>771</v>
      </c>
      <c r="J322" s="420">
        <v>600</v>
      </c>
      <c r="K322" s="421"/>
      <c r="L322" s="424">
        <f>L321+Table16[[#This Row],[المدين (إيداع)]]-Table16[[#This Row],[الدائن (السحب)]]</f>
        <v>493760.16999999993</v>
      </c>
    </row>
    <row r="323" spans="1:12" ht="23.25" hidden="1">
      <c r="A323" s="412">
        <f>SUBTOTAL(3,$E$8:E323)</f>
        <v>0</v>
      </c>
      <c r="B323" s="394">
        <v>42934</v>
      </c>
      <c r="C323" s="419" t="s">
        <v>744</v>
      </c>
      <c r="D323" s="417" t="s">
        <v>1096</v>
      </c>
      <c r="E323" s="419" t="s">
        <v>758</v>
      </c>
      <c r="F323" s="419" t="s">
        <v>758</v>
      </c>
      <c r="G323" s="423"/>
      <c r="H323" s="419" t="s">
        <v>1119</v>
      </c>
      <c r="I323" s="419" t="s">
        <v>1097</v>
      </c>
      <c r="J323" s="420">
        <v>900</v>
      </c>
      <c r="K323" s="421"/>
      <c r="L323" s="424">
        <f>L322+Table16[[#This Row],[المدين (إيداع)]]-Table16[[#This Row],[الدائن (السحب)]]</f>
        <v>494660.16999999993</v>
      </c>
    </row>
    <row r="324" spans="1:12" ht="23.25" hidden="1">
      <c r="A324" s="412">
        <f>SUBTOTAL(3,$E$8:E324)</f>
        <v>0</v>
      </c>
      <c r="B324" s="394">
        <v>42934</v>
      </c>
      <c r="C324" s="419" t="s">
        <v>744</v>
      </c>
      <c r="D324" s="417" t="s">
        <v>1120</v>
      </c>
      <c r="E324" s="419" t="s">
        <v>762</v>
      </c>
      <c r="F324" s="419" t="s">
        <v>763</v>
      </c>
      <c r="G324" s="423">
        <v>726</v>
      </c>
      <c r="H324" s="419"/>
      <c r="I324" s="419"/>
      <c r="J324" s="420">
        <v>3000</v>
      </c>
      <c r="K324" s="421"/>
      <c r="L324" s="424">
        <f>L323+Table16[[#This Row],[المدين (إيداع)]]-Table16[[#This Row],[الدائن (السحب)]]</f>
        <v>497660.16999999993</v>
      </c>
    </row>
    <row r="325" spans="1:12" ht="23.25" hidden="1">
      <c r="A325" s="412">
        <f>SUBTOTAL(3,$E$8:E325)</f>
        <v>0</v>
      </c>
      <c r="B325" s="394">
        <v>42934</v>
      </c>
      <c r="C325" s="419" t="s">
        <v>744</v>
      </c>
      <c r="D325" s="417" t="s">
        <v>752</v>
      </c>
      <c r="E325" s="419" t="s">
        <v>753</v>
      </c>
      <c r="F325" s="419" t="s">
        <v>754</v>
      </c>
      <c r="G325" s="423"/>
      <c r="H325" s="419" t="s">
        <v>1092</v>
      </c>
      <c r="I325" s="419" t="s">
        <v>754</v>
      </c>
      <c r="J325" s="420"/>
      <c r="K325" s="421">
        <v>25</v>
      </c>
      <c r="L325" s="424">
        <f>L324+Table16[[#This Row],[المدين (إيداع)]]-Table16[[#This Row],[الدائن (السحب)]]</f>
        <v>497635.16999999993</v>
      </c>
    </row>
    <row r="326" spans="1:12" ht="23.25" hidden="1">
      <c r="A326" s="412">
        <f>SUBTOTAL(3,$E$8:E326)</f>
        <v>0</v>
      </c>
      <c r="B326" s="394">
        <v>42934</v>
      </c>
      <c r="C326" s="419" t="s">
        <v>744</v>
      </c>
      <c r="D326" s="417" t="s">
        <v>1121</v>
      </c>
      <c r="E326" s="419" t="s">
        <v>777</v>
      </c>
      <c r="F326" s="419" t="s">
        <v>758</v>
      </c>
      <c r="G326" s="423"/>
      <c r="H326" s="419" t="s">
        <v>778</v>
      </c>
      <c r="I326" s="419" t="s">
        <v>811</v>
      </c>
      <c r="J326" s="420">
        <v>1000</v>
      </c>
      <c r="K326" s="421"/>
      <c r="L326" s="424">
        <f>L325+Table16[[#This Row],[المدين (إيداع)]]-Table16[[#This Row],[الدائن (السحب)]]</f>
        <v>498635.16999999993</v>
      </c>
    </row>
    <row r="327" spans="1:12" ht="23.25" hidden="1">
      <c r="A327" s="412">
        <f>SUBTOTAL(3,$E$8:E327)</f>
        <v>0</v>
      </c>
      <c r="B327" s="394">
        <v>42934</v>
      </c>
      <c r="C327" s="419" t="s">
        <v>744</v>
      </c>
      <c r="D327" s="417" t="s">
        <v>1105</v>
      </c>
      <c r="E327" s="419" t="s">
        <v>787</v>
      </c>
      <c r="F327" s="419" t="s">
        <v>758</v>
      </c>
      <c r="G327" s="423" t="s">
        <v>1122</v>
      </c>
      <c r="H327" s="419" t="s">
        <v>789</v>
      </c>
      <c r="I327" s="419" t="s">
        <v>761</v>
      </c>
      <c r="J327" s="420">
        <v>9200</v>
      </c>
      <c r="K327" s="421"/>
      <c r="L327" s="424">
        <f>L326+Table16[[#This Row],[المدين (إيداع)]]-Table16[[#This Row],[الدائن (السحب)]]</f>
        <v>507835.16999999993</v>
      </c>
    </row>
    <row r="328" spans="1:12" ht="23.25" hidden="1">
      <c r="A328" s="412">
        <f>SUBTOTAL(3,$E$8:E328)</f>
        <v>0</v>
      </c>
      <c r="B328" s="394">
        <v>42935</v>
      </c>
      <c r="C328" s="419" t="s">
        <v>744</v>
      </c>
      <c r="D328" s="417" t="s">
        <v>1050</v>
      </c>
      <c r="E328" s="419" t="s">
        <v>758</v>
      </c>
      <c r="F328" s="419" t="s">
        <v>758</v>
      </c>
      <c r="G328" s="423"/>
      <c r="H328" s="419" t="s">
        <v>1123</v>
      </c>
      <c r="I328" s="419" t="s">
        <v>974</v>
      </c>
      <c r="J328" s="420">
        <v>10992</v>
      </c>
      <c r="K328" s="421"/>
      <c r="L328" s="424">
        <f>L327+Table16[[#This Row],[المدين (إيداع)]]-Table16[[#This Row],[الدائن (السحب)]]</f>
        <v>518827.16999999993</v>
      </c>
    </row>
    <row r="329" spans="1:12" ht="23.25" hidden="1">
      <c r="A329" s="412">
        <f>SUBTOTAL(3,$E$8:E329)</f>
        <v>0</v>
      </c>
      <c r="B329" s="394">
        <v>42936</v>
      </c>
      <c r="C329" s="419" t="s">
        <v>744</v>
      </c>
      <c r="D329" s="417" t="s">
        <v>1100</v>
      </c>
      <c r="E329" s="419" t="s">
        <v>762</v>
      </c>
      <c r="F329" s="419" t="s">
        <v>763</v>
      </c>
      <c r="G329" s="423">
        <v>3524</v>
      </c>
      <c r="H329" s="419" t="s">
        <v>1124</v>
      </c>
      <c r="I329" s="419" t="s">
        <v>974</v>
      </c>
      <c r="J329" s="420">
        <v>15750</v>
      </c>
      <c r="K329" s="421"/>
      <c r="L329" s="424">
        <f>L328+Table16[[#This Row],[المدين (إيداع)]]-Table16[[#This Row],[الدائن (السحب)]]</f>
        <v>534577.16999999993</v>
      </c>
    </row>
    <row r="330" spans="1:12" ht="23.25" hidden="1">
      <c r="A330" s="412">
        <f>SUBTOTAL(3,$E$8:E330)</f>
        <v>0</v>
      </c>
      <c r="B330" s="394">
        <v>42936</v>
      </c>
      <c r="C330" s="419" t="s">
        <v>744</v>
      </c>
      <c r="D330" s="417" t="s">
        <v>1100</v>
      </c>
      <c r="E330" s="419" t="s">
        <v>762</v>
      </c>
      <c r="F330" s="419" t="s">
        <v>763</v>
      </c>
      <c r="G330" s="423">
        <v>2146</v>
      </c>
      <c r="H330" s="419" t="s">
        <v>1125</v>
      </c>
      <c r="I330" s="419" t="s">
        <v>974</v>
      </c>
      <c r="J330" s="420">
        <v>2100</v>
      </c>
      <c r="K330" s="421"/>
      <c r="L330" s="424">
        <f>L329+Table16[[#This Row],[المدين (إيداع)]]-Table16[[#This Row],[الدائن (السحب)]]</f>
        <v>536677.16999999993</v>
      </c>
    </row>
    <row r="331" spans="1:12" ht="23.25" hidden="1">
      <c r="A331" s="412">
        <f>SUBTOTAL(3,$E$8:E331)</f>
        <v>0</v>
      </c>
      <c r="B331" s="394">
        <v>42936</v>
      </c>
      <c r="C331" s="419" t="s">
        <v>744</v>
      </c>
      <c r="D331" s="417" t="s">
        <v>1105</v>
      </c>
      <c r="E331" s="419" t="s">
        <v>1126</v>
      </c>
      <c r="F331" s="419" t="s">
        <v>763</v>
      </c>
      <c r="G331" s="423">
        <v>5565</v>
      </c>
      <c r="H331" s="419" t="s">
        <v>806</v>
      </c>
      <c r="I331" s="419" t="s">
        <v>761</v>
      </c>
      <c r="J331" s="420">
        <v>1500</v>
      </c>
      <c r="K331" s="421"/>
      <c r="L331" s="424">
        <f>L330+Table16[[#This Row],[المدين (إيداع)]]-Table16[[#This Row],[الدائن (السحب)]]</f>
        <v>538177.16999999993</v>
      </c>
    </row>
    <row r="332" spans="1:12" ht="23.25" hidden="1">
      <c r="A332" s="412">
        <f>SUBTOTAL(3,$E$8:E332)</f>
        <v>0</v>
      </c>
      <c r="B332" s="394">
        <v>42936</v>
      </c>
      <c r="C332" s="419" t="s">
        <v>744</v>
      </c>
      <c r="D332" s="417" t="s">
        <v>1105</v>
      </c>
      <c r="E332" s="419" t="s">
        <v>1127</v>
      </c>
      <c r="F332" s="419" t="s">
        <v>763</v>
      </c>
      <c r="G332" s="423">
        <v>5575</v>
      </c>
      <c r="H332" s="419" t="s">
        <v>806</v>
      </c>
      <c r="I332" s="419" t="s">
        <v>761</v>
      </c>
      <c r="J332" s="420">
        <v>1500</v>
      </c>
      <c r="K332" s="421"/>
      <c r="L332" s="424">
        <f>L331+Table16[[#This Row],[المدين (إيداع)]]-Table16[[#This Row],[الدائن (السحب)]]</f>
        <v>539677.16999999993</v>
      </c>
    </row>
    <row r="333" spans="1:12" ht="23.25" hidden="1">
      <c r="A333" s="412">
        <f>SUBTOTAL(3,$E$8:E333)</f>
        <v>0</v>
      </c>
      <c r="B333" s="394">
        <v>42936</v>
      </c>
      <c r="C333" s="419" t="s">
        <v>744</v>
      </c>
      <c r="D333" s="417" t="s">
        <v>1105</v>
      </c>
      <c r="E333" s="419" t="s">
        <v>1128</v>
      </c>
      <c r="F333" s="419" t="s">
        <v>763</v>
      </c>
      <c r="G333" s="423">
        <v>77630</v>
      </c>
      <c r="H333" s="419" t="s">
        <v>809</v>
      </c>
      <c r="I333" s="419" t="s">
        <v>761</v>
      </c>
      <c r="J333" s="420">
        <v>8400</v>
      </c>
      <c r="K333" s="421"/>
      <c r="L333" s="424">
        <f>L332+Table16[[#This Row],[المدين (إيداع)]]-Table16[[#This Row],[الدائن (السحب)]]</f>
        <v>548077.16999999993</v>
      </c>
    </row>
    <row r="334" spans="1:12" ht="23.25" hidden="1">
      <c r="A334" s="412">
        <f>SUBTOTAL(3,$E$8:E334)</f>
        <v>0</v>
      </c>
      <c r="B334" s="394">
        <v>42936</v>
      </c>
      <c r="C334" s="419" t="s">
        <v>744</v>
      </c>
      <c r="D334" s="417" t="s">
        <v>1113</v>
      </c>
      <c r="E334" s="419" t="s">
        <v>1129</v>
      </c>
      <c r="F334" s="419" t="s">
        <v>763</v>
      </c>
      <c r="G334" s="423">
        <v>2408</v>
      </c>
      <c r="H334" s="419" t="s">
        <v>767</v>
      </c>
      <c r="I334" s="419" t="s">
        <v>761</v>
      </c>
      <c r="J334" s="420">
        <v>3600</v>
      </c>
      <c r="K334" s="421"/>
      <c r="L334" s="424">
        <f>L333+Table16[[#This Row],[المدين (إيداع)]]-Table16[[#This Row],[الدائن (السحب)]]</f>
        <v>551677.16999999993</v>
      </c>
    </row>
    <row r="335" spans="1:12" ht="23.25" hidden="1">
      <c r="A335" s="412">
        <f>SUBTOTAL(3,$E$8:E335)</f>
        <v>0</v>
      </c>
      <c r="B335" s="394">
        <v>42936</v>
      </c>
      <c r="C335" s="419" t="s">
        <v>744</v>
      </c>
      <c r="D335" s="417" t="s">
        <v>1041</v>
      </c>
      <c r="E335" s="419" t="s">
        <v>762</v>
      </c>
      <c r="F335" s="419" t="s">
        <v>763</v>
      </c>
      <c r="G335" s="423">
        <v>66427560</v>
      </c>
      <c r="H335" s="419"/>
      <c r="I335" s="419" t="s">
        <v>987</v>
      </c>
      <c r="J335" s="420">
        <v>1300</v>
      </c>
      <c r="K335" s="421"/>
      <c r="L335" s="424">
        <f>L334+Table16[[#This Row],[المدين (إيداع)]]-Table16[[#This Row],[الدائن (السحب)]]</f>
        <v>552977.16999999993</v>
      </c>
    </row>
    <row r="336" spans="1:12" ht="23.25" hidden="1">
      <c r="A336" s="412">
        <f>SUBTOTAL(3,$E$8:E336)</f>
        <v>0</v>
      </c>
      <c r="B336" s="394">
        <v>42936</v>
      </c>
      <c r="C336" s="419" t="s">
        <v>744</v>
      </c>
      <c r="D336" s="417" t="s">
        <v>1105</v>
      </c>
      <c r="E336" s="419" t="s">
        <v>1130</v>
      </c>
      <c r="F336" s="419" t="s">
        <v>763</v>
      </c>
      <c r="G336" s="423">
        <v>66519175</v>
      </c>
      <c r="H336" s="419" t="s">
        <v>766</v>
      </c>
      <c r="I336" s="419" t="s">
        <v>761</v>
      </c>
      <c r="J336" s="420">
        <v>15200</v>
      </c>
      <c r="K336" s="421"/>
      <c r="L336" s="424">
        <f>L335+Table16[[#This Row],[المدين (إيداع)]]-Table16[[#This Row],[الدائن (السحب)]]</f>
        <v>568177.16999999993</v>
      </c>
    </row>
    <row r="337" spans="1:12" ht="23.25" hidden="1">
      <c r="A337" s="412">
        <f>SUBTOTAL(3,$E$8:E337)</f>
        <v>0</v>
      </c>
      <c r="B337" s="394">
        <v>42936</v>
      </c>
      <c r="C337" s="419" t="s">
        <v>744</v>
      </c>
      <c r="D337" s="417" t="s">
        <v>1100</v>
      </c>
      <c r="E337" s="419" t="s">
        <v>762</v>
      </c>
      <c r="F337" s="419" t="s">
        <v>763</v>
      </c>
      <c r="G337" s="423">
        <v>189</v>
      </c>
      <c r="H337" s="419" t="s">
        <v>1048</v>
      </c>
      <c r="I337" s="419" t="s">
        <v>974</v>
      </c>
      <c r="J337" s="420">
        <v>1950</v>
      </c>
      <c r="K337" s="421"/>
      <c r="L337" s="424">
        <f>L336+Table16[[#This Row],[المدين (إيداع)]]-Table16[[#This Row],[الدائن (السحب)]]</f>
        <v>570127.16999999993</v>
      </c>
    </row>
    <row r="338" spans="1:12" ht="23.25" hidden="1">
      <c r="A338" s="412">
        <f>SUBTOTAL(3,$E$8:E338)</f>
        <v>0</v>
      </c>
      <c r="B338" s="394">
        <v>42936</v>
      </c>
      <c r="C338" s="419" t="s">
        <v>744</v>
      </c>
      <c r="D338" s="417" t="s">
        <v>1029</v>
      </c>
      <c r="E338" s="419" t="s">
        <v>758</v>
      </c>
      <c r="F338" s="419" t="s">
        <v>758</v>
      </c>
      <c r="G338" s="423"/>
      <c r="H338" s="419" t="s">
        <v>1131</v>
      </c>
      <c r="I338" s="419" t="s">
        <v>771</v>
      </c>
      <c r="J338" s="420">
        <v>500</v>
      </c>
      <c r="K338" s="421"/>
      <c r="L338" s="424">
        <f>L337+Table16[[#This Row],[المدين (إيداع)]]-Table16[[#This Row],[الدائن (السحب)]]</f>
        <v>570627.16999999993</v>
      </c>
    </row>
    <row r="339" spans="1:12" ht="23.25" hidden="1">
      <c r="A339" s="412">
        <f>SUBTOTAL(3,$E$8:E339)</f>
        <v>0</v>
      </c>
      <c r="B339" s="394">
        <v>42940</v>
      </c>
      <c r="C339" s="419" t="s">
        <v>744</v>
      </c>
      <c r="D339" s="417" t="s">
        <v>577</v>
      </c>
      <c r="E339" s="419" t="s">
        <v>1132</v>
      </c>
      <c r="F339" s="419" t="s">
        <v>773</v>
      </c>
      <c r="G339" s="423">
        <v>292</v>
      </c>
      <c r="H339" s="419"/>
      <c r="I339" s="419"/>
      <c r="J339" s="420"/>
      <c r="K339" s="421">
        <v>340000</v>
      </c>
      <c r="L339" s="424">
        <f>L338+Table16[[#This Row],[المدين (إيداع)]]-Table16[[#This Row],[الدائن (السحب)]]</f>
        <v>230627.16999999993</v>
      </c>
    </row>
    <row r="340" spans="1:12" ht="23.25" hidden="1">
      <c r="A340" s="412">
        <f>SUBTOTAL(3,$E$8:E340)</f>
        <v>0</v>
      </c>
      <c r="B340" s="394">
        <v>42940</v>
      </c>
      <c r="C340" s="419" t="s">
        <v>744</v>
      </c>
      <c r="D340" s="417" t="s">
        <v>1041</v>
      </c>
      <c r="E340" s="419" t="s">
        <v>1133</v>
      </c>
      <c r="F340" s="419" t="s">
        <v>763</v>
      </c>
      <c r="G340" s="423">
        <v>653</v>
      </c>
      <c r="H340" s="419" t="s">
        <v>1134</v>
      </c>
      <c r="I340" s="419" t="s">
        <v>1076</v>
      </c>
      <c r="J340" s="420">
        <v>7000</v>
      </c>
      <c r="K340" s="421"/>
      <c r="L340" s="424">
        <f>L339+Table16[[#This Row],[المدين (إيداع)]]-Table16[[#This Row],[الدائن (السحب)]]</f>
        <v>237627.16999999993</v>
      </c>
    </row>
    <row r="341" spans="1:12" ht="23.25" hidden="1">
      <c r="A341" s="412">
        <f>SUBTOTAL(3,$E$8:E341)</f>
        <v>0</v>
      </c>
      <c r="B341" s="394">
        <v>42940</v>
      </c>
      <c r="C341" s="419" t="s">
        <v>744</v>
      </c>
      <c r="D341" s="417" t="s">
        <v>768</v>
      </c>
      <c r="E341" s="419" t="s">
        <v>762</v>
      </c>
      <c r="F341" s="419" t="s">
        <v>763</v>
      </c>
      <c r="G341" s="423">
        <v>9</v>
      </c>
      <c r="H341" s="419"/>
      <c r="I341" s="419" t="s">
        <v>1135</v>
      </c>
      <c r="J341" s="420">
        <v>40000</v>
      </c>
      <c r="K341" s="421"/>
      <c r="L341" s="424">
        <f>L340+Table16[[#This Row],[المدين (إيداع)]]-Table16[[#This Row],[الدائن (السحب)]]</f>
        <v>277627.16999999993</v>
      </c>
    </row>
    <row r="342" spans="1:12" ht="23.25" hidden="1">
      <c r="A342" s="412">
        <f>SUBTOTAL(3,$E$8:E342)</f>
        <v>0</v>
      </c>
      <c r="B342" s="394">
        <v>42940</v>
      </c>
      <c r="C342" s="419" t="s">
        <v>744</v>
      </c>
      <c r="D342" s="417" t="s">
        <v>1100</v>
      </c>
      <c r="E342" s="419" t="s">
        <v>762</v>
      </c>
      <c r="F342" s="419" t="s">
        <v>763</v>
      </c>
      <c r="G342" s="423"/>
      <c r="H342" s="419" t="s">
        <v>825</v>
      </c>
      <c r="I342" s="419" t="s">
        <v>974</v>
      </c>
      <c r="J342" s="420">
        <v>800</v>
      </c>
      <c r="K342" s="421"/>
      <c r="L342" s="424">
        <f>L341+Table16[[#This Row],[المدين (إيداع)]]-Table16[[#This Row],[الدائن (السحب)]]</f>
        <v>278427.16999999993</v>
      </c>
    </row>
    <row r="343" spans="1:12" ht="23.25" hidden="1">
      <c r="A343" s="412">
        <f>SUBTOTAL(3,$E$8:E343)</f>
        <v>0</v>
      </c>
      <c r="B343" s="394">
        <v>42940</v>
      </c>
      <c r="C343" s="419" t="s">
        <v>744</v>
      </c>
      <c r="D343" s="417" t="s">
        <v>1136</v>
      </c>
      <c r="E343" s="419" t="s">
        <v>758</v>
      </c>
      <c r="F343" s="419" t="s">
        <v>758</v>
      </c>
      <c r="G343" s="423"/>
      <c r="H343" s="419" t="s">
        <v>891</v>
      </c>
      <c r="I343" s="419" t="s">
        <v>771</v>
      </c>
      <c r="J343" s="420">
        <v>1200</v>
      </c>
      <c r="K343" s="421"/>
      <c r="L343" s="424">
        <f>L342+Table16[[#This Row],[المدين (إيداع)]]-Table16[[#This Row],[الدائن (السحب)]]</f>
        <v>279627.16999999993</v>
      </c>
    </row>
    <row r="344" spans="1:12" ht="23.25" hidden="1">
      <c r="A344" s="412">
        <f>SUBTOTAL(3,$E$8:E344)</f>
        <v>0</v>
      </c>
      <c r="B344" s="394">
        <v>42940</v>
      </c>
      <c r="C344" s="419" t="s">
        <v>744</v>
      </c>
      <c r="D344" s="417" t="s">
        <v>1088</v>
      </c>
      <c r="E344" s="419" t="s">
        <v>879</v>
      </c>
      <c r="F344" s="419" t="s">
        <v>758</v>
      </c>
      <c r="G344" s="423"/>
      <c r="H344" s="419" t="s">
        <v>1057</v>
      </c>
      <c r="I344" s="419" t="s">
        <v>851</v>
      </c>
      <c r="J344" s="420">
        <v>20000</v>
      </c>
      <c r="K344" s="421"/>
      <c r="L344" s="424">
        <f>L343+Table16[[#This Row],[المدين (إيداع)]]-Table16[[#This Row],[الدائن (السحب)]]</f>
        <v>299627.16999999993</v>
      </c>
    </row>
    <row r="345" spans="1:12" ht="23.25" hidden="1">
      <c r="A345" s="412">
        <f>SUBTOTAL(3,$E$8:E345)</f>
        <v>0</v>
      </c>
      <c r="B345" s="394">
        <v>42942</v>
      </c>
      <c r="C345" s="419" t="s">
        <v>744</v>
      </c>
      <c r="D345" s="417" t="s">
        <v>1088</v>
      </c>
      <c r="E345" s="419" t="s">
        <v>879</v>
      </c>
      <c r="F345" s="419" t="s">
        <v>758</v>
      </c>
      <c r="G345" s="423"/>
      <c r="H345" s="419" t="s">
        <v>1057</v>
      </c>
      <c r="I345" s="419" t="s">
        <v>851</v>
      </c>
      <c r="J345" s="420">
        <v>16050</v>
      </c>
      <c r="K345" s="421"/>
      <c r="L345" s="424">
        <f>L344+Table16[[#This Row],[المدين (إيداع)]]-Table16[[#This Row],[الدائن (السحب)]]</f>
        <v>315677.16999999993</v>
      </c>
    </row>
    <row r="346" spans="1:12" ht="23.25" hidden="1">
      <c r="A346" s="412">
        <f>SUBTOTAL(3,$E$8:E346)</f>
        <v>0</v>
      </c>
      <c r="B346" s="394">
        <v>42942</v>
      </c>
      <c r="C346" s="419" t="s">
        <v>744</v>
      </c>
      <c r="D346" s="417" t="s">
        <v>848</v>
      </c>
      <c r="E346" s="419" t="s">
        <v>879</v>
      </c>
      <c r="F346" s="419" t="s">
        <v>758</v>
      </c>
      <c r="G346" s="423"/>
      <c r="H346" s="419" t="s">
        <v>1137</v>
      </c>
      <c r="I346" s="419" t="s">
        <v>1138</v>
      </c>
      <c r="J346" s="420">
        <v>300</v>
      </c>
      <c r="K346" s="421"/>
      <c r="L346" s="424">
        <f>L345+Table16[[#This Row],[المدين (إيداع)]]-Table16[[#This Row],[الدائن (السحب)]]</f>
        <v>315977.16999999993</v>
      </c>
    </row>
    <row r="347" spans="1:12" ht="23.25" hidden="1">
      <c r="A347" s="412">
        <f>SUBTOTAL(3,$E$8:E347)</f>
        <v>0</v>
      </c>
      <c r="B347" s="394">
        <v>42942</v>
      </c>
      <c r="C347" s="419" t="s">
        <v>744</v>
      </c>
      <c r="D347" s="417" t="s">
        <v>848</v>
      </c>
      <c r="E347" s="419" t="s">
        <v>879</v>
      </c>
      <c r="F347" s="419" t="s">
        <v>758</v>
      </c>
      <c r="G347" s="423"/>
      <c r="H347" s="419" t="s">
        <v>1008</v>
      </c>
      <c r="I347" s="419" t="s">
        <v>851</v>
      </c>
      <c r="J347" s="420">
        <v>538</v>
      </c>
      <c r="K347" s="421"/>
      <c r="L347" s="424">
        <f>L346+Table16[[#This Row],[المدين (إيداع)]]-Table16[[#This Row],[الدائن (السحب)]]</f>
        <v>316515.16999999993</v>
      </c>
    </row>
    <row r="348" spans="1:12" ht="23.25" hidden="1">
      <c r="A348" s="412">
        <f>SUBTOTAL(3,$E$8:E348)</f>
        <v>0</v>
      </c>
      <c r="B348" s="394">
        <v>42942</v>
      </c>
      <c r="C348" s="419" t="s">
        <v>744</v>
      </c>
      <c r="D348" s="417" t="s">
        <v>1139</v>
      </c>
      <c r="E348" s="419" t="s">
        <v>1140</v>
      </c>
      <c r="F348" s="419" t="s">
        <v>758</v>
      </c>
      <c r="G348" s="423"/>
      <c r="H348" s="419" t="s">
        <v>1141</v>
      </c>
      <c r="I348" s="419"/>
      <c r="J348" s="420">
        <v>90000</v>
      </c>
      <c r="K348" s="421"/>
      <c r="L348" s="424">
        <f>L347+Table16[[#This Row],[المدين (إيداع)]]-Table16[[#This Row],[الدائن (السحب)]]</f>
        <v>406515.16999999993</v>
      </c>
    </row>
    <row r="349" spans="1:12" ht="23.25" hidden="1">
      <c r="A349" s="412">
        <f>SUBTOTAL(3,$E$8:E349)</f>
        <v>0</v>
      </c>
      <c r="B349" s="394">
        <v>42943</v>
      </c>
      <c r="C349" s="419" t="s">
        <v>744</v>
      </c>
      <c r="D349" s="417" t="s">
        <v>867</v>
      </c>
      <c r="E349" s="419" t="s">
        <v>868</v>
      </c>
      <c r="F349" s="419" t="s">
        <v>868</v>
      </c>
      <c r="G349" s="423" t="s">
        <v>1142</v>
      </c>
      <c r="H349" s="419"/>
      <c r="I349" s="419"/>
      <c r="J349" s="420"/>
      <c r="K349" s="421">
        <v>750</v>
      </c>
      <c r="L349" s="424">
        <f>L348+Table16[[#This Row],[المدين (إيداع)]]-Table16[[#This Row],[الدائن (السحب)]]</f>
        <v>405765.16999999993</v>
      </c>
    </row>
    <row r="350" spans="1:12" ht="23.25" hidden="1">
      <c r="A350" s="412">
        <f>SUBTOTAL(3,$E$8:E350)</f>
        <v>0</v>
      </c>
      <c r="B350" s="394">
        <v>42943</v>
      </c>
      <c r="C350" s="419" t="s">
        <v>744</v>
      </c>
      <c r="D350" s="417" t="s">
        <v>867</v>
      </c>
      <c r="E350" s="419" t="s">
        <v>869</v>
      </c>
      <c r="F350" s="419" t="s">
        <v>869</v>
      </c>
      <c r="G350" s="423" t="s">
        <v>1142</v>
      </c>
      <c r="H350" s="419"/>
      <c r="I350" s="419"/>
      <c r="J350" s="420"/>
      <c r="K350" s="421">
        <v>80000</v>
      </c>
      <c r="L350" s="424">
        <f>L349+Table16[[#This Row],[المدين (إيداع)]]-Table16[[#This Row],[الدائن (السحب)]]</f>
        <v>325765.16999999993</v>
      </c>
    </row>
    <row r="351" spans="1:12" ht="23.25" hidden="1">
      <c r="A351" s="412">
        <f>SUBTOTAL(3,$E$8:E351)</f>
        <v>0</v>
      </c>
      <c r="B351" s="394">
        <v>42946</v>
      </c>
      <c r="C351" s="419" t="s">
        <v>744</v>
      </c>
      <c r="D351" s="417" t="s">
        <v>848</v>
      </c>
      <c r="E351" s="419" t="s">
        <v>879</v>
      </c>
      <c r="F351" s="419" t="s">
        <v>758</v>
      </c>
      <c r="G351" s="423"/>
      <c r="H351" s="419" t="s">
        <v>1143</v>
      </c>
      <c r="I351" s="419" t="s">
        <v>851</v>
      </c>
      <c r="J351" s="420">
        <v>20000</v>
      </c>
      <c r="K351" s="421"/>
      <c r="L351" s="424">
        <f>L350+Table16[[#This Row],[المدين (إيداع)]]-Table16[[#This Row],[الدائن (السحب)]]</f>
        <v>345765.16999999993</v>
      </c>
    </row>
    <row r="352" spans="1:12" ht="23.25" hidden="1">
      <c r="A352" s="412">
        <f>SUBTOTAL(3,$E$8:E352)</f>
        <v>0</v>
      </c>
      <c r="B352" s="394">
        <v>42946</v>
      </c>
      <c r="C352" s="419" t="s">
        <v>744</v>
      </c>
      <c r="D352" s="417" t="s">
        <v>1144</v>
      </c>
      <c r="E352" s="419" t="s">
        <v>855</v>
      </c>
      <c r="F352" s="419" t="s">
        <v>758</v>
      </c>
      <c r="G352" s="423"/>
      <c r="H352" s="419" t="s">
        <v>856</v>
      </c>
      <c r="I352" s="419" t="s">
        <v>857</v>
      </c>
      <c r="J352" s="420">
        <v>8000</v>
      </c>
      <c r="K352" s="421"/>
      <c r="L352" s="424">
        <f>L351+Table16[[#This Row],[المدين (إيداع)]]-Table16[[#This Row],[الدائن (السحب)]]</f>
        <v>353765.16999999993</v>
      </c>
    </row>
    <row r="353" spans="1:12" ht="23.25" hidden="1">
      <c r="A353" s="412">
        <f>SUBTOTAL(3,$E$8:E353)</f>
        <v>0</v>
      </c>
      <c r="B353" s="394">
        <v>42946</v>
      </c>
      <c r="C353" s="419" t="s">
        <v>744</v>
      </c>
      <c r="D353" s="417" t="s">
        <v>848</v>
      </c>
      <c r="E353" s="419" t="s">
        <v>879</v>
      </c>
      <c r="F353" s="419" t="s">
        <v>758</v>
      </c>
      <c r="G353" s="423"/>
      <c r="H353" s="419" t="s">
        <v>1143</v>
      </c>
      <c r="I353" s="419" t="s">
        <v>851</v>
      </c>
      <c r="J353" s="420">
        <v>20000</v>
      </c>
      <c r="K353" s="421"/>
      <c r="L353" s="424">
        <f>L352+Table16[[#This Row],[المدين (إيداع)]]-Table16[[#This Row],[الدائن (السحب)]]</f>
        <v>373765.16999999993</v>
      </c>
    </row>
    <row r="354" spans="1:12" ht="23.25" hidden="1">
      <c r="A354" s="412">
        <f>SUBTOTAL(3,$E$8:E354)</f>
        <v>0</v>
      </c>
      <c r="B354" s="394">
        <v>42947</v>
      </c>
      <c r="C354" s="419" t="s">
        <v>744</v>
      </c>
      <c r="D354" s="417" t="s">
        <v>1107</v>
      </c>
      <c r="E354" s="419" t="s">
        <v>758</v>
      </c>
      <c r="F354" s="419" t="s">
        <v>758</v>
      </c>
      <c r="G354" s="423"/>
      <c r="H354" s="419"/>
      <c r="I354" s="419" t="s">
        <v>771</v>
      </c>
      <c r="J354" s="420">
        <v>700</v>
      </c>
      <c r="K354" s="421"/>
      <c r="L354" s="424">
        <f>L353+Table16[[#This Row],[المدين (إيداع)]]-Table16[[#This Row],[الدائن (السحب)]]</f>
        <v>374465.16999999993</v>
      </c>
    </row>
    <row r="355" spans="1:12" ht="23.25" hidden="1">
      <c r="A355" s="412">
        <f>SUBTOTAL(3,$E$8:E355)</f>
        <v>0</v>
      </c>
      <c r="B355" s="394">
        <v>42947</v>
      </c>
      <c r="C355" s="419" t="s">
        <v>744</v>
      </c>
      <c r="D355" s="417" t="s">
        <v>815</v>
      </c>
      <c r="E355" s="419" t="s">
        <v>758</v>
      </c>
      <c r="F355" s="419" t="s">
        <v>758</v>
      </c>
      <c r="G355" s="423"/>
      <c r="H355" s="419"/>
      <c r="I355" s="419" t="s">
        <v>771</v>
      </c>
      <c r="J355" s="420">
        <v>300</v>
      </c>
      <c r="K355" s="421"/>
      <c r="L355" s="424">
        <f>L354+Table16[[#This Row],[المدين (إيداع)]]-Table16[[#This Row],[الدائن (السحب)]]</f>
        <v>374765.16999999993</v>
      </c>
    </row>
    <row r="356" spans="1:12" ht="23.25" hidden="1">
      <c r="A356" s="412">
        <f>SUBTOTAL(3,$E$8:E356)</f>
        <v>0</v>
      </c>
      <c r="B356" s="394">
        <v>42947</v>
      </c>
      <c r="C356" s="419" t="s">
        <v>744</v>
      </c>
      <c r="D356" s="417" t="s">
        <v>577</v>
      </c>
      <c r="E356" s="419" t="s">
        <v>773</v>
      </c>
      <c r="F356" s="419" t="s">
        <v>773</v>
      </c>
      <c r="G356" s="423">
        <v>294</v>
      </c>
      <c r="H356" s="419" t="s">
        <v>1085</v>
      </c>
      <c r="I356" s="419"/>
      <c r="J356" s="420"/>
      <c r="K356" s="421">
        <v>90000</v>
      </c>
      <c r="L356" s="424">
        <f>L355+Table16[[#This Row],[المدين (إيداع)]]-Table16[[#This Row],[الدائن (السحب)]]</f>
        <v>284765.16999999993</v>
      </c>
    </row>
    <row r="357" spans="1:12" ht="23.25" hidden="1">
      <c r="A357" s="412">
        <f>SUBTOTAL(3,$E$8:E357)</f>
        <v>0</v>
      </c>
      <c r="B357" s="394">
        <v>42950</v>
      </c>
      <c r="C357" s="419" t="s">
        <v>744</v>
      </c>
      <c r="D357" s="417" t="s">
        <v>1145</v>
      </c>
      <c r="E357" s="419" t="s">
        <v>1063</v>
      </c>
      <c r="F357" s="419" t="s">
        <v>1063</v>
      </c>
      <c r="G357" s="423">
        <v>1012</v>
      </c>
      <c r="H357" s="419"/>
      <c r="I357" s="419"/>
      <c r="J357" s="420"/>
      <c r="K357" s="421">
        <v>3000</v>
      </c>
      <c r="L357" s="424">
        <f>L356+Table16[[#This Row],[المدين (إيداع)]]-Table16[[#This Row],[الدائن (السحب)]]</f>
        <v>281765.16999999993</v>
      </c>
    </row>
    <row r="358" spans="1:12" ht="23.25" hidden="1">
      <c r="A358" s="412">
        <f>SUBTOTAL(3,$E$8:E358)</f>
        <v>0</v>
      </c>
      <c r="B358" s="394">
        <v>42950</v>
      </c>
      <c r="C358" s="419" t="s">
        <v>744</v>
      </c>
      <c r="D358" s="417" t="s">
        <v>1145</v>
      </c>
      <c r="E358" s="419" t="s">
        <v>762</v>
      </c>
      <c r="F358" s="419" t="s">
        <v>763</v>
      </c>
      <c r="G358" s="423">
        <v>1012</v>
      </c>
      <c r="H358" s="419"/>
      <c r="I358" s="419"/>
      <c r="J358" s="420">
        <v>3000</v>
      </c>
      <c r="K358" s="421"/>
      <c r="L358" s="424">
        <f>L357+Table16[[#This Row],[المدين (إيداع)]]-Table16[[#This Row],[الدائن (السحب)]]</f>
        <v>284765.16999999993</v>
      </c>
    </row>
    <row r="359" spans="1:12" ht="23.25" hidden="1">
      <c r="A359" s="412">
        <f>SUBTOTAL(3,$E$8:E359)</f>
        <v>0</v>
      </c>
      <c r="B359" s="394">
        <v>42950</v>
      </c>
      <c r="C359" s="419" t="s">
        <v>744</v>
      </c>
      <c r="D359" s="417" t="s">
        <v>1146</v>
      </c>
      <c r="E359" s="419" t="s">
        <v>830</v>
      </c>
      <c r="F359" s="419" t="s">
        <v>758</v>
      </c>
      <c r="G359" s="423"/>
      <c r="H359" s="419" t="s">
        <v>831</v>
      </c>
      <c r="I359" s="419" t="s">
        <v>1147</v>
      </c>
      <c r="J359" s="420">
        <v>3200</v>
      </c>
      <c r="K359" s="421"/>
      <c r="L359" s="424">
        <f>L358+Table16[[#This Row],[المدين (إيداع)]]-Table16[[#This Row],[الدائن (السحب)]]</f>
        <v>287965.16999999993</v>
      </c>
    </row>
    <row r="360" spans="1:12" ht="23.25" hidden="1">
      <c r="A360" s="412">
        <f>SUBTOTAL(3,$E$8:E360)</f>
        <v>0</v>
      </c>
      <c r="B360" s="394">
        <v>42950</v>
      </c>
      <c r="C360" s="419" t="s">
        <v>744</v>
      </c>
      <c r="D360" s="417" t="s">
        <v>1148</v>
      </c>
      <c r="E360" s="419" t="s">
        <v>777</v>
      </c>
      <c r="F360" s="419" t="s">
        <v>758</v>
      </c>
      <c r="G360" s="423"/>
      <c r="H360" s="419" t="s">
        <v>778</v>
      </c>
      <c r="I360" s="419" t="s">
        <v>1149</v>
      </c>
      <c r="J360" s="420">
        <v>3200</v>
      </c>
      <c r="K360" s="421"/>
      <c r="L360" s="424">
        <f>L359+Table16[[#This Row],[المدين (إيداع)]]-Table16[[#This Row],[الدائن (السحب)]]</f>
        <v>291165.16999999993</v>
      </c>
    </row>
    <row r="361" spans="1:12" ht="23.25" hidden="1">
      <c r="A361" s="412">
        <f>SUBTOTAL(3,$E$8:E361)</f>
        <v>0</v>
      </c>
      <c r="B361" s="394">
        <v>42951</v>
      </c>
      <c r="C361" s="419" t="s">
        <v>744</v>
      </c>
      <c r="D361" s="417" t="s">
        <v>1145</v>
      </c>
      <c r="E361" s="419" t="s">
        <v>762</v>
      </c>
      <c r="F361" s="419" t="s">
        <v>763</v>
      </c>
      <c r="G361" s="423">
        <v>6892</v>
      </c>
      <c r="H361" s="419"/>
      <c r="I361" s="419" t="s">
        <v>811</v>
      </c>
      <c r="J361" s="420">
        <v>2100</v>
      </c>
      <c r="K361" s="421"/>
      <c r="L361" s="424">
        <f>L360+Table16[[#This Row],[المدين (إيداع)]]-Table16[[#This Row],[الدائن (السحب)]]</f>
        <v>293265.16999999993</v>
      </c>
    </row>
    <row r="362" spans="1:12" ht="23.25" hidden="1">
      <c r="A362" s="412">
        <f>SUBTOTAL(3,$E$8:E362)</f>
        <v>0</v>
      </c>
      <c r="B362" s="394">
        <v>42951</v>
      </c>
      <c r="C362" s="419" t="s">
        <v>744</v>
      </c>
      <c r="D362" s="417" t="s">
        <v>1145</v>
      </c>
      <c r="E362" s="419" t="s">
        <v>762</v>
      </c>
      <c r="F362" s="419" t="s">
        <v>763</v>
      </c>
      <c r="G362" s="423">
        <v>28802</v>
      </c>
      <c r="H362" s="419"/>
      <c r="I362" s="419" t="s">
        <v>811</v>
      </c>
      <c r="J362" s="420">
        <v>750</v>
      </c>
      <c r="K362" s="421"/>
      <c r="L362" s="424">
        <f>L361+Table16[[#This Row],[المدين (إيداع)]]-Table16[[#This Row],[الدائن (السحب)]]</f>
        <v>294015.16999999993</v>
      </c>
    </row>
    <row r="363" spans="1:12" ht="23.25" hidden="1">
      <c r="A363" s="412">
        <f>SUBTOTAL(3,$E$8:E363)</f>
        <v>0</v>
      </c>
      <c r="B363" s="394">
        <v>42951</v>
      </c>
      <c r="C363" s="419" t="s">
        <v>744</v>
      </c>
      <c r="D363" s="417" t="s">
        <v>1145</v>
      </c>
      <c r="E363" s="419" t="s">
        <v>762</v>
      </c>
      <c r="F363" s="419" t="s">
        <v>763</v>
      </c>
      <c r="G363" s="423">
        <v>899</v>
      </c>
      <c r="H363" s="419"/>
      <c r="I363" s="419" t="s">
        <v>811</v>
      </c>
      <c r="J363" s="420">
        <v>3000</v>
      </c>
      <c r="K363" s="421"/>
      <c r="L363" s="424">
        <f>L362+Table16[[#This Row],[المدين (إيداع)]]-Table16[[#This Row],[الدائن (السحب)]]</f>
        <v>297015.16999999993</v>
      </c>
    </row>
    <row r="364" spans="1:12" ht="23.25" hidden="1">
      <c r="A364" s="412">
        <f>SUBTOTAL(3,$E$8:E364)</f>
        <v>0</v>
      </c>
      <c r="B364" s="394">
        <v>42953</v>
      </c>
      <c r="C364" s="419" t="s">
        <v>744</v>
      </c>
      <c r="D364" s="417" t="s">
        <v>897</v>
      </c>
      <c r="E364" s="419" t="s">
        <v>758</v>
      </c>
      <c r="F364" s="419" t="s">
        <v>758</v>
      </c>
      <c r="G364" s="423"/>
      <c r="H364" s="419" t="s">
        <v>955</v>
      </c>
      <c r="I364" s="419" t="s">
        <v>771</v>
      </c>
      <c r="J364" s="420">
        <v>300</v>
      </c>
      <c r="K364" s="421"/>
      <c r="L364" s="424">
        <f>L363+Table16[[#This Row],[المدين (إيداع)]]-Table16[[#This Row],[الدائن (السحب)]]</f>
        <v>297315.16999999993</v>
      </c>
    </row>
    <row r="365" spans="1:12" ht="23.25" hidden="1">
      <c r="A365" s="412">
        <f>SUBTOTAL(3,$E$8:E365)</f>
        <v>0</v>
      </c>
      <c r="B365" s="394">
        <v>42953</v>
      </c>
      <c r="C365" s="419" t="s">
        <v>744</v>
      </c>
      <c r="D365" s="417" t="s">
        <v>752</v>
      </c>
      <c r="E365" s="419" t="s">
        <v>753</v>
      </c>
      <c r="F365" s="419" t="s">
        <v>754</v>
      </c>
      <c r="G365" s="423"/>
      <c r="H365" s="419" t="s">
        <v>755</v>
      </c>
      <c r="I365" s="419" t="s">
        <v>754</v>
      </c>
      <c r="J365" s="420"/>
      <c r="K365" s="421">
        <v>25</v>
      </c>
      <c r="L365" s="424">
        <f>L364+Table16[[#This Row],[المدين (إيداع)]]-Table16[[#This Row],[الدائن (السحب)]]</f>
        <v>297290.16999999993</v>
      </c>
    </row>
    <row r="366" spans="1:12" ht="23.25" hidden="1">
      <c r="A366" s="412">
        <f>SUBTOTAL(3,$E$8:E366)</f>
        <v>0</v>
      </c>
      <c r="B366" s="394">
        <v>42955</v>
      </c>
      <c r="C366" s="419" t="s">
        <v>744</v>
      </c>
      <c r="D366" s="417" t="s">
        <v>897</v>
      </c>
      <c r="E366" s="419" t="s">
        <v>758</v>
      </c>
      <c r="F366" s="419" t="s">
        <v>758</v>
      </c>
      <c r="G366" s="423"/>
      <c r="H366" s="419" t="s">
        <v>943</v>
      </c>
      <c r="I366" s="419" t="s">
        <v>771</v>
      </c>
      <c r="J366" s="420">
        <v>855</v>
      </c>
      <c r="K366" s="421"/>
      <c r="L366" s="424">
        <f>L365+Table16[[#This Row],[المدين (إيداع)]]-Table16[[#This Row],[الدائن (السحب)]]</f>
        <v>298145.16999999993</v>
      </c>
    </row>
    <row r="367" spans="1:12" ht="23.25" hidden="1">
      <c r="A367" s="412">
        <f>SUBTOTAL(3,$E$8:E367)</f>
        <v>0</v>
      </c>
      <c r="B367" s="394">
        <v>42957</v>
      </c>
      <c r="C367" s="419" t="s">
        <v>744</v>
      </c>
      <c r="D367" s="417" t="s">
        <v>1150</v>
      </c>
      <c r="E367" s="419" t="s">
        <v>762</v>
      </c>
      <c r="F367" s="419" t="s">
        <v>763</v>
      </c>
      <c r="G367" s="423">
        <v>3252</v>
      </c>
      <c r="H367" s="419" t="s">
        <v>996</v>
      </c>
      <c r="I367" s="419" t="s">
        <v>842</v>
      </c>
      <c r="J367" s="420">
        <v>3150</v>
      </c>
      <c r="K367" s="421"/>
      <c r="L367" s="424">
        <f>L366+Table16[[#This Row],[المدين (إيداع)]]-Table16[[#This Row],[الدائن (السحب)]]</f>
        <v>301295.16999999993</v>
      </c>
    </row>
    <row r="368" spans="1:12" ht="23.25" hidden="1">
      <c r="A368" s="412">
        <f>SUBTOTAL(3,$E$8:E368)</f>
        <v>0</v>
      </c>
      <c r="B368" s="394">
        <v>42957</v>
      </c>
      <c r="C368" s="419" t="s">
        <v>744</v>
      </c>
      <c r="D368" s="417" t="s">
        <v>1150</v>
      </c>
      <c r="E368" s="419" t="s">
        <v>762</v>
      </c>
      <c r="F368" s="419" t="s">
        <v>763</v>
      </c>
      <c r="G368" s="423">
        <v>97</v>
      </c>
      <c r="H368" s="419" t="s">
        <v>1151</v>
      </c>
      <c r="I368" s="419" t="s">
        <v>842</v>
      </c>
      <c r="J368" s="420">
        <v>25450</v>
      </c>
      <c r="K368" s="421"/>
      <c r="L368" s="424">
        <f>L367+Table16[[#This Row],[المدين (إيداع)]]-Table16[[#This Row],[الدائن (السحب)]]</f>
        <v>326745.16999999993</v>
      </c>
    </row>
    <row r="369" spans="1:12" ht="23.25" hidden="1">
      <c r="A369" s="412">
        <f>SUBTOTAL(3,$E$8:E369)</f>
        <v>0</v>
      </c>
      <c r="B369" s="394">
        <v>42957</v>
      </c>
      <c r="C369" s="419" t="s">
        <v>744</v>
      </c>
      <c r="D369" s="417" t="s">
        <v>1152</v>
      </c>
      <c r="E369" s="419" t="s">
        <v>1153</v>
      </c>
      <c r="F369" s="419" t="s">
        <v>763</v>
      </c>
      <c r="G369" s="423">
        <v>66519212</v>
      </c>
      <c r="H369" s="419" t="s">
        <v>766</v>
      </c>
      <c r="I369" s="419" t="s">
        <v>761</v>
      </c>
      <c r="J369" s="420">
        <v>16400</v>
      </c>
      <c r="K369" s="421"/>
      <c r="L369" s="424">
        <f>L368+Table16[[#This Row],[المدين (إيداع)]]-Table16[[#This Row],[الدائن (السحب)]]</f>
        <v>343145.16999999993</v>
      </c>
    </row>
    <row r="370" spans="1:12" ht="23.25" hidden="1">
      <c r="A370" s="412">
        <f>SUBTOTAL(3,$E$8:E370)</f>
        <v>0</v>
      </c>
      <c r="B370" s="394">
        <v>42957</v>
      </c>
      <c r="C370" s="419" t="s">
        <v>744</v>
      </c>
      <c r="D370" s="417" t="s">
        <v>1154</v>
      </c>
      <c r="E370" s="419" t="s">
        <v>758</v>
      </c>
      <c r="F370" s="419" t="s">
        <v>758</v>
      </c>
      <c r="G370" s="423"/>
      <c r="H370" s="419"/>
      <c r="I370" s="419" t="s">
        <v>771</v>
      </c>
      <c r="J370" s="420">
        <v>250</v>
      </c>
      <c r="K370" s="421"/>
      <c r="L370" s="424">
        <f>L369+Table16[[#This Row],[المدين (إيداع)]]-Table16[[#This Row],[الدائن (السحب)]]</f>
        <v>343395.16999999993</v>
      </c>
    </row>
    <row r="371" spans="1:12" ht="23.25" hidden="1">
      <c r="A371" s="412">
        <f>SUBTOTAL(3,$E$8:E371)</f>
        <v>0</v>
      </c>
      <c r="B371" s="394">
        <v>42959</v>
      </c>
      <c r="C371" s="419" t="s">
        <v>744</v>
      </c>
      <c r="D371" s="417" t="s">
        <v>848</v>
      </c>
      <c r="E371" s="419" t="s">
        <v>879</v>
      </c>
      <c r="F371" s="419" t="s">
        <v>758</v>
      </c>
      <c r="G371" s="423"/>
      <c r="H371" s="419" t="s">
        <v>1143</v>
      </c>
      <c r="I371" s="419" t="s">
        <v>851</v>
      </c>
      <c r="J371" s="420">
        <v>20000</v>
      </c>
      <c r="K371" s="421"/>
      <c r="L371" s="424">
        <f>L370+Table16[[#This Row],[المدين (إيداع)]]-Table16[[#This Row],[الدائن (السحب)]]</f>
        <v>363395.16999999993</v>
      </c>
    </row>
    <row r="372" spans="1:12" ht="23.25" hidden="1">
      <c r="A372" s="412">
        <f>SUBTOTAL(3,$E$8:E372)</f>
        <v>0</v>
      </c>
      <c r="B372" s="394">
        <v>42960</v>
      </c>
      <c r="C372" s="419" t="s">
        <v>744</v>
      </c>
      <c r="D372" s="417" t="s">
        <v>848</v>
      </c>
      <c r="E372" s="419" t="s">
        <v>879</v>
      </c>
      <c r="F372" s="419" t="s">
        <v>758</v>
      </c>
      <c r="G372" s="423"/>
      <c r="H372" s="419" t="s">
        <v>1143</v>
      </c>
      <c r="I372" s="419" t="s">
        <v>851</v>
      </c>
      <c r="J372" s="420">
        <v>16000</v>
      </c>
      <c r="K372" s="421"/>
      <c r="L372" s="424">
        <f>L371+Table16[[#This Row],[المدين (إيداع)]]-Table16[[#This Row],[الدائن (السحب)]]</f>
        <v>379395.16999999993</v>
      </c>
    </row>
    <row r="373" spans="1:12" ht="23.25" hidden="1">
      <c r="A373" s="412">
        <f>SUBTOTAL(3,$E$8:E373)</f>
        <v>0</v>
      </c>
      <c r="B373" s="394">
        <v>42960</v>
      </c>
      <c r="C373" s="419" t="s">
        <v>744</v>
      </c>
      <c r="D373" s="417" t="s">
        <v>1155</v>
      </c>
      <c r="E373" s="419" t="s">
        <v>1035</v>
      </c>
      <c r="F373" s="419" t="s">
        <v>758</v>
      </c>
      <c r="G373" s="423"/>
      <c r="H373" s="419" t="s">
        <v>775</v>
      </c>
      <c r="I373" s="419" t="s">
        <v>771</v>
      </c>
      <c r="J373" s="420">
        <v>300</v>
      </c>
      <c r="K373" s="421"/>
      <c r="L373" s="424">
        <f>L372+Table16[[#This Row],[المدين (إيداع)]]-Table16[[#This Row],[الدائن (السحب)]]</f>
        <v>379695.16999999993</v>
      </c>
    </row>
    <row r="374" spans="1:12" ht="23.25" hidden="1">
      <c r="A374" s="412">
        <f>SUBTOTAL(3,$E$8:E374)</f>
        <v>0</v>
      </c>
      <c r="B374" s="394">
        <v>42960</v>
      </c>
      <c r="C374" s="419" t="s">
        <v>744</v>
      </c>
      <c r="D374" s="417" t="s">
        <v>1155</v>
      </c>
      <c r="E374" s="419" t="s">
        <v>1035</v>
      </c>
      <c r="F374" s="419" t="s">
        <v>758</v>
      </c>
      <c r="G374" s="423"/>
      <c r="H374" s="419" t="s">
        <v>1156</v>
      </c>
      <c r="I374" s="419" t="s">
        <v>771</v>
      </c>
      <c r="J374" s="420">
        <v>2500</v>
      </c>
      <c r="K374" s="421"/>
      <c r="L374" s="424">
        <f>L373+Table16[[#This Row],[المدين (إيداع)]]-Table16[[#This Row],[الدائن (السحب)]]</f>
        <v>382195.16999999993</v>
      </c>
    </row>
    <row r="375" spans="1:12" ht="23.25" hidden="1">
      <c r="A375" s="412">
        <f>SUBTOTAL(3,$E$8:E375)</f>
        <v>0</v>
      </c>
      <c r="B375" s="394">
        <v>42961</v>
      </c>
      <c r="C375" s="419" t="s">
        <v>744</v>
      </c>
      <c r="D375" s="417" t="s">
        <v>1157</v>
      </c>
      <c r="E375" s="419" t="s">
        <v>849</v>
      </c>
      <c r="F375" s="419" t="s">
        <v>758</v>
      </c>
      <c r="G375" s="423"/>
      <c r="H375" s="419" t="s">
        <v>1158</v>
      </c>
      <c r="I375" s="419" t="s">
        <v>851</v>
      </c>
      <c r="J375" s="420">
        <v>98000</v>
      </c>
      <c r="K375" s="421"/>
      <c r="L375" s="424">
        <f>L374+Table16[[#This Row],[المدين (إيداع)]]-Table16[[#This Row],[الدائن (السحب)]]</f>
        <v>480195.16999999993</v>
      </c>
    </row>
    <row r="376" spans="1:12" ht="23.25" hidden="1">
      <c r="A376" s="412">
        <f>SUBTOTAL(3,$E$8:E376)</f>
        <v>0</v>
      </c>
      <c r="B376" s="394">
        <v>42961</v>
      </c>
      <c r="C376" s="419" t="s">
        <v>744</v>
      </c>
      <c r="D376" s="417" t="s">
        <v>1159</v>
      </c>
      <c r="E376" s="419" t="s">
        <v>855</v>
      </c>
      <c r="F376" s="419" t="s">
        <v>758</v>
      </c>
      <c r="G376" s="423"/>
      <c r="H376" s="419" t="s">
        <v>856</v>
      </c>
      <c r="I376" s="419" t="s">
        <v>857</v>
      </c>
      <c r="J376" s="420">
        <v>8000</v>
      </c>
      <c r="K376" s="421"/>
      <c r="L376" s="424">
        <f>L375+Table16[[#This Row],[المدين (إيداع)]]-Table16[[#This Row],[الدائن (السحب)]]</f>
        <v>488195.16999999993</v>
      </c>
    </row>
    <row r="377" spans="1:12" ht="23.25" hidden="1">
      <c r="A377" s="412">
        <f>SUBTOTAL(3,$E$8:E377)</f>
        <v>0</v>
      </c>
      <c r="B377" s="394">
        <v>42961</v>
      </c>
      <c r="C377" s="419" t="s">
        <v>744</v>
      </c>
      <c r="D377" s="417" t="s">
        <v>1155</v>
      </c>
      <c r="E377" s="419" t="s">
        <v>758</v>
      </c>
      <c r="F377" s="419" t="s">
        <v>758</v>
      </c>
      <c r="G377" s="423"/>
      <c r="H377" s="419" t="s">
        <v>1160</v>
      </c>
      <c r="I377" s="419" t="s">
        <v>771</v>
      </c>
      <c r="J377" s="420">
        <v>350</v>
      </c>
      <c r="K377" s="421"/>
      <c r="L377" s="424">
        <f>L376+Table16[[#This Row],[المدين (إيداع)]]-Table16[[#This Row],[الدائن (السحب)]]</f>
        <v>488545.16999999993</v>
      </c>
    </row>
    <row r="378" spans="1:12" ht="23.25" hidden="1">
      <c r="A378" s="412">
        <f>SUBTOTAL(3,$E$8:E378)</f>
        <v>0</v>
      </c>
      <c r="B378" s="394">
        <v>42961</v>
      </c>
      <c r="C378" s="419" t="s">
        <v>744</v>
      </c>
      <c r="D378" s="417" t="s">
        <v>1121</v>
      </c>
      <c r="E378" s="419" t="s">
        <v>777</v>
      </c>
      <c r="F378" s="419" t="s">
        <v>758</v>
      </c>
      <c r="G378" s="423"/>
      <c r="H378" s="419" t="s">
        <v>778</v>
      </c>
      <c r="I378" s="419" t="s">
        <v>811</v>
      </c>
      <c r="J378" s="420">
        <v>1000</v>
      </c>
      <c r="K378" s="421"/>
      <c r="L378" s="424">
        <f>L377+Table16[[#This Row],[المدين (إيداع)]]-Table16[[#This Row],[الدائن (السحب)]]</f>
        <v>489545.16999999993</v>
      </c>
    </row>
    <row r="379" spans="1:12" ht="23.25" hidden="1">
      <c r="A379" s="412">
        <f>SUBTOTAL(3,$E$8:E379)</f>
        <v>0</v>
      </c>
      <c r="B379" s="394">
        <v>42961</v>
      </c>
      <c r="C379" s="419" t="s">
        <v>744</v>
      </c>
      <c r="D379" s="417" t="s">
        <v>1155</v>
      </c>
      <c r="E379" s="419" t="s">
        <v>758</v>
      </c>
      <c r="F379" s="419" t="s">
        <v>758</v>
      </c>
      <c r="G379" s="423"/>
      <c r="H379" s="419" t="s">
        <v>1161</v>
      </c>
      <c r="I379" s="419" t="s">
        <v>771</v>
      </c>
      <c r="J379" s="420">
        <v>300</v>
      </c>
      <c r="K379" s="421"/>
      <c r="L379" s="424">
        <f>L378+Table16[[#This Row],[المدين (إيداع)]]-Table16[[#This Row],[الدائن (السحب)]]</f>
        <v>489845.16999999993</v>
      </c>
    </row>
    <row r="380" spans="1:12" ht="23.25" hidden="1">
      <c r="A380" s="412">
        <f>SUBTOTAL(3,$E$8:E380)</f>
        <v>0</v>
      </c>
      <c r="B380" s="394">
        <v>42962</v>
      </c>
      <c r="C380" s="419" t="s">
        <v>744</v>
      </c>
      <c r="D380" s="417" t="s">
        <v>1155</v>
      </c>
      <c r="E380" s="419" t="s">
        <v>746</v>
      </c>
      <c r="F380" s="419" t="s">
        <v>746</v>
      </c>
      <c r="G380" s="423"/>
      <c r="H380" s="419" t="s">
        <v>1162</v>
      </c>
      <c r="I380" s="419" t="s">
        <v>771</v>
      </c>
      <c r="J380" s="420">
        <v>300</v>
      </c>
      <c r="K380" s="421"/>
      <c r="L380" s="424">
        <f>L379+Table16[[#This Row],[المدين (إيداع)]]-Table16[[#This Row],[الدائن (السحب)]]</f>
        <v>490145.16999999993</v>
      </c>
    </row>
    <row r="381" spans="1:12" ht="23.25" hidden="1">
      <c r="A381" s="412">
        <f>SUBTOTAL(3,$E$8:E381)</f>
        <v>0</v>
      </c>
      <c r="B381" s="394">
        <v>42962</v>
      </c>
      <c r="C381" s="419" t="s">
        <v>744</v>
      </c>
      <c r="D381" s="417" t="s">
        <v>1050</v>
      </c>
      <c r="E381" s="419" t="s">
        <v>758</v>
      </c>
      <c r="F381" s="419" t="s">
        <v>758</v>
      </c>
      <c r="G381" s="423"/>
      <c r="H381" s="419" t="s">
        <v>1163</v>
      </c>
      <c r="I381" s="419" t="s">
        <v>974</v>
      </c>
      <c r="J381" s="420">
        <v>1200</v>
      </c>
      <c r="K381" s="421"/>
      <c r="L381" s="424">
        <f>L380+Table16[[#This Row],[المدين (إيداع)]]-Table16[[#This Row],[الدائن (السحب)]]</f>
        <v>491345.16999999993</v>
      </c>
    </row>
    <row r="382" spans="1:12" ht="23.25" hidden="1">
      <c r="A382" s="412">
        <f>SUBTOTAL(3,$E$8:E382)</f>
        <v>0</v>
      </c>
      <c r="B382" s="394">
        <v>42963</v>
      </c>
      <c r="C382" s="419" t="s">
        <v>744</v>
      </c>
      <c r="D382" s="417" t="s">
        <v>1050</v>
      </c>
      <c r="E382" s="419" t="s">
        <v>758</v>
      </c>
      <c r="F382" s="419" t="s">
        <v>758</v>
      </c>
      <c r="G382" s="423"/>
      <c r="H382" s="419" t="s">
        <v>1164</v>
      </c>
      <c r="I382" s="419" t="s">
        <v>974</v>
      </c>
      <c r="J382" s="420">
        <v>42000</v>
      </c>
      <c r="K382" s="421"/>
      <c r="L382" s="424">
        <f>L381+Table16[[#This Row],[المدين (إيداع)]]-Table16[[#This Row],[الدائن (السحب)]]</f>
        <v>533345.16999999993</v>
      </c>
    </row>
    <row r="383" spans="1:12" ht="23.25" hidden="1">
      <c r="A383" s="412">
        <f>SUBTOTAL(3,$E$8:E383)</f>
        <v>0</v>
      </c>
      <c r="B383" s="394">
        <v>42964</v>
      </c>
      <c r="C383" s="419" t="s">
        <v>744</v>
      </c>
      <c r="D383" s="417" t="s">
        <v>1165</v>
      </c>
      <c r="E383" s="419" t="s">
        <v>1166</v>
      </c>
      <c r="F383" s="419" t="s">
        <v>758</v>
      </c>
      <c r="G383" s="423"/>
      <c r="H383" s="419" t="s">
        <v>1167</v>
      </c>
      <c r="I383" s="419" t="s">
        <v>811</v>
      </c>
      <c r="J383" s="420">
        <v>1800</v>
      </c>
      <c r="K383" s="421"/>
      <c r="L383" s="424">
        <f>L382+Table16[[#This Row],[المدين (إيداع)]]-Table16[[#This Row],[الدائن (السحب)]]</f>
        <v>535145.16999999993</v>
      </c>
    </row>
    <row r="384" spans="1:12" ht="23.25" hidden="1">
      <c r="A384" s="412">
        <f>SUBTOTAL(3,$E$8:E384)</f>
        <v>0</v>
      </c>
      <c r="B384" s="394">
        <v>42967</v>
      </c>
      <c r="C384" s="419" t="s">
        <v>744</v>
      </c>
      <c r="D384" s="417" t="s">
        <v>1050</v>
      </c>
      <c r="E384" s="419" t="s">
        <v>758</v>
      </c>
      <c r="F384" s="419" t="s">
        <v>758</v>
      </c>
      <c r="G384" s="423"/>
      <c r="H384" s="419" t="s">
        <v>1061</v>
      </c>
      <c r="I384" s="419" t="s">
        <v>974</v>
      </c>
      <c r="J384" s="420">
        <v>21350</v>
      </c>
      <c r="K384" s="421"/>
      <c r="L384" s="424">
        <f>L383+Table16[[#This Row],[المدين (إيداع)]]-Table16[[#This Row],[الدائن (السحب)]]</f>
        <v>556495.16999999993</v>
      </c>
    </row>
    <row r="385" spans="1:12" ht="23.25" hidden="1">
      <c r="A385" s="412">
        <f>SUBTOTAL(3,$E$8:E385)</f>
        <v>0</v>
      </c>
      <c r="B385" s="394">
        <v>42968</v>
      </c>
      <c r="C385" s="419" t="s">
        <v>744</v>
      </c>
      <c r="D385" s="417" t="s">
        <v>1168</v>
      </c>
      <c r="E385" s="419" t="s">
        <v>773</v>
      </c>
      <c r="F385" s="419" t="s">
        <v>773</v>
      </c>
      <c r="G385" s="423">
        <v>296</v>
      </c>
      <c r="H385" s="419" t="s">
        <v>1169</v>
      </c>
      <c r="I385" s="419"/>
      <c r="J385" s="420"/>
      <c r="K385" s="421">
        <v>16500</v>
      </c>
      <c r="L385" s="424">
        <f>L384+Table16[[#This Row],[المدين (إيداع)]]-Table16[[#This Row],[الدائن (السحب)]]</f>
        <v>539995.16999999993</v>
      </c>
    </row>
    <row r="386" spans="1:12" ht="23.25" hidden="1">
      <c r="A386" s="412">
        <f>SUBTOTAL(3,$E$8:E386)</f>
        <v>0</v>
      </c>
      <c r="B386" s="394">
        <v>42968</v>
      </c>
      <c r="C386" s="419" t="s">
        <v>744</v>
      </c>
      <c r="D386" s="417" t="s">
        <v>1155</v>
      </c>
      <c r="E386" s="419" t="s">
        <v>758</v>
      </c>
      <c r="F386" s="419" t="s">
        <v>758</v>
      </c>
      <c r="G386" s="423"/>
      <c r="H386" s="419" t="s">
        <v>1170</v>
      </c>
      <c r="I386" s="419" t="s">
        <v>771</v>
      </c>
      <c r="J386" s="420">
        <v>1050</v>
      </c>
      <c r="K386" s="421"/>
      <c r="L386" s="424">
        <f>L385+Table16[[#This Row],[المدين (إيداع)]]-Table16[[#This Row],[الدائن (السحب)]]</f>
        <v>541045.16999999993</v>
      </c>
    </row>
    <row r="387" spans="1:12" ht="23.25" hidden="1">
      <c r="A387" s="412">
        <f>SUBTOTAL(3,$E$8:E387)</f>
        <v>0</v>
      </c>
      <c r="B387" s="394">
        <v>42970</v>
      </c>
      <c r="C387" s="419" t="s">
        <v>744</v>
      </c>
      <c r="D387" s="417" t="s">
        <v>1171</v>
      </c>
      <c r="E387" s="419" t="s">
        <v>1132</v>
      </c>
      <c r="F387" s="419" t="s">
        <v>773</v>
      </c>
      <c r="G387" s="423">
        <v>299</v>
      </c>
      <c r="H387" s="419" t="s">
        <v>91</v>
      </c>
      <c r="I387" s="419" t="s">
        <v>1172</v>
      </c>
      <c r="J387" s="420"/>
      <c r="K387" s="421">
        <v>128368</v>
      </c>
      <c r="L387" s="424">
        <f>L386+Table16[[#This Row],[المدين (إيداع)]]-Table16[[#This Row],[الدائن (السحب)]]</f>
        <v>412677.16999999993</v>
      </c>
    </row>
    <row r="388" spans="1:12" ht="23.25" hidden="1">
      <c r="A388" s="412">
        <f>SUBTOTAL(3,$E$8:E388)</f>
        <v>0</v>
      </c>
      <c r="B388" s="394">
        <v>42971</v>
      </c>
      <c r="C388" s="419" t="s">
        <v>744</v>
      </c>
      <c r="D388" s="417" t="s">
        <v>1173</v>
      </c>
      <c r="E388" s="419" t="s">
        <v>762</v>
      </c>
      <c r="F388" s="419" t="s">
        <v>763</v>
      </c>
      <c r="G388" s="423">
        <v>10896</v>
      </c>
      <c r="H388" s="419"/>
      <c r="I388" s="419" t="s">
        <v>857</v>
      </c>
      <c r="J388" s="420">
        <v>750</v>
      </c>
      <c r="K388" s="421"/>
      <c r="L388" s="424">
        <f>L387+Table16[[#This Row],[المدين (إيداع)]]-Table16[[#This Row],[الدائن (السحب)]]</f>
        <v>413427.16999999993</v>
      </c>
    </row>
    <row r="389" spans="1:12" ht="23.25" hidden="1">
      <c r="A389" s="412">
        <f>SUBTOTAL(3,$E$8:E389)</f>
        <v>0</v>
      </c>
      <c r="B389" s="394">
        <v>42971</v>
      </c>
      <c r="C389" s="419" t="s">
        <v>744</v>
      </c>
      <c r="D389" s="417" t="s">
        <v>1174</v>
      </c>
      <c r="E389" s="419" t="s">
        <v>762</v>
      </c>
      <c r="F389" s="419" t="s">
        <v>763</v>
      </c>
      <c r="G389" s="423">
        <v>3059</v>
      </c>
      <c r="H389" s="419" t="s">
        <v>1175</v>
      </c>
      <c r="I389" s="419" t="s">
        <v>748</v>
      </c>
      <c r="J389" s="420">
        <v>3000</v>
      </c>
      <c r="K389" s="421"/>
      <c r="L389" s="424">
        <f>L388+Table16[[#This Row],[المدين (إيداع)]]-Table16[[#This Row],[الدائن (السحب)]]</f>
        <v>416427.16999999993</v>
      </c>
    </row>
    <row r="390" spans="1:12" ht="23.25" hidden="1">
      <c r="A390" s="412">
        <f>SUBTOTAL(3,$E$8:E390)</f>
        <v>0</v>
      </c>
      <c r="B390" s="394">
        <v>42971</v>
      </c>
      <c r="C390" s="419" t="s">
        <v>744</v>
      </c>
      <c r="D390" s="417" t="s">
        <v>1083</v>
      </c>
      <c r="E390" s="419" t="s">
        <v>762</v>
      </c>
      <c r="F390" s="419" t="s">
        <v>763</v>
      </c>
      <c r="G390" s="423"/>
      <c r="H390" s="419"/>
      <c r="I390" s="419" t="s">
        <v>857</v>
      </c>
      <c r="J390" s="420">
        <v>900</v>
      </c>
      <c r="K390" s="421"/>
      <c r="L390" s="424">
        <f>L389+Table16[[#This Row],[المدين (إيداع)]]-Table16[[#This Row],[الدائن (السحب)]]</f>
        <v>417327.16999999993</v>
      </c>
    </row>
    <row r="391" spans="1:12" ht="23.25" hidden="1">
      <c r="A391" s="412">
        <f>SUBTOTAL(3,$E$8:E391)</f>
        <v>0</v>
      </c>
      <c r="B391" s="394">
        <v>42971</v>
      </c>
      <c r="C391" s="419" t="s">
        <v>744</v>
      </c>
      <c r="D391" s="417" t="s">
        <v>1050</v>
      </c>
      <c r="E391" s="419" t="s">
        <v>762</v>
      </c>
      <c r="F391" s="419" t="s">
        <v>763</v>
      </c>
      <c r="G391" s="423">
        <v>806876</v>
      </c>
      <c r="H391" s="419" t="s">
        <v>1176</v>
      </c>
      <c r="I391" s="419" t="s">
        <v>1177</v>
      </c>
      <c r="J391" s="420">
        <v>2400</v>
      </c>
      <c r="K391" s="421"/>
      <c r="L391" s="424">
        <f>L390+Table16[[#This Row],[المدين (إيداع)]]-Table16[[#This Row],[الدائن (السحب)]]</f>
        <v>419727.16999999993</v>
      </c>
    </row>
    <row r="392" spans="1:12" ht="23.25" hidden="1">
      <c r="A392" s="412">
        <f>SUBTOTAL(3,$E$8:E392)</f>
        <v>0</v>
      </c>
      <c r="B392" s="394">
        <v>42971</v>
      </c>
      <c r="C392" s="419" t="s">
        <v>744</v>
      </c>
      <c r="D392" s="417" t="s">
        <v>815</v>
      </c>
      <c r="E392" s="419" t="s">
        <v>758</v>
      </c>
      <c r="F392" s="419" t="s">
        <v>758</v>
      </c>
      <c r="G392" s="423"/>
      <c r="H392" s="419" t="s">
        <v>1178</v>
      </c>
      <c r="I392" s="419" t="s">
        <v>771</v>
      </c>
      <c r="J392" s="420">
        <v>350</v>
      </c>
      <c r="K392" s="421"/>
      <c r="L392" s="424">
        <f>L391+Table16[[#This Row],[المدين (إيداع)]]-Table16[[#This Row],[الدائن (السحب)]]</f>
        <v>420077.16999999993</v>
      </c>
    </row>
    <row r="393" spans="1:12" ht="23.25" hidden="1">
      <c r="A393" s="412">
        <f>SUBTOTAL(3,$E$8:E393)</f>
        <v>0</v>
      </c>
      <c r="B393" s="394">
        <v>42974</v>
      </c>
      <c r="C393" s="419" t="s">
        <v>744</v>
      </c>
      <c r="D393" s="417" t="s">
        <v>1050</v>
      </c>
      <c r="E393" s="419" t="s">
        <v>758</v>
      </c>
      <c r="F393" s="419" t="s">
        <v>758</v>
      </c>
      <c r="G393" s="423"/>
      <c r="H393" s="419" t="s">
        <v>1179</v>
      </c>
      <c r="I393" s="419" t="s">
        <v>974</v>
      </c>
      <c r="J393" s="420">
        <v>2220</v>
      </c>
      <c r="K393" s="421"/>
      <c r="L393" s="424">
        <f>L392+Table16[[#This Row],[المدين (إيداع)]]-Table16[[#This Row],[الدائن (السحب)]]</f>
        <v>422297.16999999993</v>
      </c>
    </row>
    <row r="394" spans="1:12" ht="23.25" hidden="1">
      <c r="A394" s="412">
        <f>SUBTOTAL(3,$E$8:E394)</f>
        <v>0</v>
      </c>
      <c r="B394" s="394">
        <v>42974</v>
      </c>
      <c r="C394" s="419" t="s">
        <v>744</v>
      </c>
      <c r="D394" s="417" t="s">
        <v>1157</v>
      </c>
      <c r="E394" s="419" t="s">
        <v>879</v>
      </c>
      <c r="F394" s="419" t="s">
        <v>758</v>
      </c>
      <c r="G394" s="423"/>
      <c r="H394" s="419" t="s">
        <v>1158</v>
      </c>
      <c r="I394" s="419" t="s">
        <v>851</v>
      </c>
      <c r="J394" s="420">
        <v>8404</v>
      </c>
      <c r="K394" s="421"/>
      <c r="L394" s="424">
        <f>L393+Table16[[#This Row],[المدين (إيداع)]]-Table16[[#This Row],[الدائن (السحب)]]</f>
        <v>430701.16999999993</v>
      </c>
    </row>
    <row r="395" spans="1:12" ht="23.25" hidden="1">
      <c r="A395" s="412">
        <f>SUBTOTAL(3,$E$8:E395)</f>
        <v>0</v>
      </c>
      <c r="B395" s="394">
        <v>42975</v>
      </c>
      <c r="C395" s="419" t="s">
        <v>744</v>
      </c>
      <c r="D395" s="417" t="s">
        <v>1180</v>
      </c>
      <c r="E395" s="419" t="s">
        <v>746</v>
      </c>
      <c r="F395" s="419" t="s">
        <v>746</v>
      </c>
      <c r="G395" s="423"/>
      <c r="H395" s="419" t="s">
        <v>922</v>
      </c>
      <c r="I395" s="419" t="s">
        <v>820</v>
      </c>
      <c r="J395" s="420">
        <v>50000</v>
      </c>
      <c r="K395" s="421"/>
      <c r="L395" s="424">
        <f>L394+Table16[[#This Row],[المدين (إيداع)]]-Table16[[#This Row],[الدائن (السحب)]]</f>
        <v>480701.16999999993</v>
      </c>
    </row>
    <row r="396" spans="1:12" ht="23.25" hidden="1">
      <c r="A396" s="412">
        <f>SUBTOTAL(3,$E$8:E396)</f>
        <v>0</v>
      </c>
      <c r="B396" s="394">
        <v>42975</v>
      </c>
      <c r="C396" s="419" t="s">
        <v>744</v>
      </c>
      <c r="D396" s="417" t="s">
        <v>752</v>
      </c>
      <c r="E396" s="419" t="s">
        <v>753</v>
      </c>
      <c r="F396" s="419" t="s">
        <v>754</v>
      </c>
      <c r="G396" s="423"/>
      <c r="H396" s="419" t="s">
        <v>755</v>
      </c>
      <c r="I396" s="419" t="s">
        <v>754</v>
      </c>
      <c r="J396" s="420"/>
      <c r="K396" s="421">
        <v>25</v>
      </c>
      <c r="L396" s="424">
        <f>L395+Table16[[#This Row],[المدين (إيداع)]]-Table16[[#This Row],[الدائن (السحب)]]</f>
        <v>480676.16999999993</v>
      </c>
    </row>
    <row r="397" spans="1:12" ht="23.25" hidden="1">
      <c r="A397" s="412">
        <f>SUBTOTAL(3,$E$8:E397)</f>
        <v>0</v>
      </c>
      <c r="B397" s="394">
        <v>42975</v>
      </c>
      <c r="C397" s="419" t="s">
        <v>744</v>
      </c>
      <c r="D397" s="417" t="s">
        <v>1157</v>
      </c>
      <c r="E397" s="419" t="s">
        <v>879</v>
      </c>
      <c r="F397" s="419" t="s">
        <v>758</v>
      </c>
      <c r="G397" s="423"/>
      <c r="H397" s="419" t="s">
        <v>1181</v>
      </c>
      <c r="I397" s="419" t="s">
        <v>851</v>
      </c>
      <c r="J397" s="420">
        <v>20000</v>
      </c>
      <c r="K397" s="421"/>
      <c r="L397" s="424">
        <f>L396+Table16[[#This Row],[المدين (إيداع)]]-Table16[[#This Row],[الدائن (السحب)]]</f>
        <v>500676.16999999993</v>
      </c>
    </row>
    <row r="398" spans="1:12" ht="23.25" hidden="1">
      <c r="A398" s="412">
        <f>SUBTOTAL(3,$E$8:E398)</f>
        <v>0</v>
      </c>
      <c r="B398" s="394">
        <v>42975</v>
      </c>
      <c r="C398" s="419" t="s">
        <v>744</v>
      </c>
      <c r="D398" s="417" t="s">
        <v>1182</v>
      </c>
      <c r="E398" s="419" t="s">
        <v>773</v>
      </c>
      <c r="F398" s="419" t="s">
        <v>773</v>
      </c>
      <c r="G398" s="423">
        <v>298</v>
      </c>
      <c r="H398" s="419" t="s">
        <v>792</v>
      </c>
      <c r="I398" s="419" t="s">
        <v>793</v>
      </c>
      <c r="J398" s="420"/>
      <c r="K398" s="421">
        <v>31680</v>
      </c>
      <c r="L398" s="424">
        <f>L397+Table16[[#This Row],[المدين (إيداع)]]-Table16[[#This Row],[الدائن (السحب)]]</f>
        <v>468996.16999999993</v>
      </c>
    </row>
    <row r="399" spans="1:12" ht="23.25" hidden="1">
      <c r="A399" s="412">
        <f>SUBTOTAL(3,$E$8:E399)</f>
        <v>0</v>
      </c>
      <c r="B399" s="394">
        <v>42976</v>
      </c>
      <c r="C399" s="419" t="s">
        <v>744</v>
      </c>
      <c r="D399" s="417" t="s">
        <v>1049</v>
      </c>
      <c r="E399" s="419" t="s">
        <v>758</v>
      </c>
      <c r="F399" s="419" t="s">
        <v>758</v>
      </c>
      <c r="G399" s="423"/>
      <c r="H399" s="419" t="s">
        <v>1183</v>
      </c>
      <c r="I399" s="419" t="s">
        <v>1184</v>
      </c>
      <c r="J399" s="420">
        <v>2000</v>
      </c>
      <c r="K399" s="421"/>
      <c r="L399" s="424">
        <f>L398+Table16[[#This Row],[المدين (إيداع)]]-Table16[[#This Row],[الدائن (السحب)]]</f>
        <v>470996.16999999993</v>
      </c>
    </row>
    <row r="400" spans="1:12" ht="23.25" hidden="1">
      <c r="A400" s="412">
        <f>SUBTOTAL(3,$E$8:E400)</f>
        <v>0</v>
      </c>
      <c r="B400" s="394">
        <v>42976</v>
      </c>
      <c r="C400" s="419" t="s">
        <v>744</v>
      </c>
      <c r="D400" s="417" t="s">
        <v>1049</v>
      </c>
      <c r="E400" s="419" t="s">
        <v>758</v>
      </c>
      <c r="F400" s="419" t="s">
        <v>758</v>
      </c>
      <c r="G400" s="423"/>
      <c r="H400" s="419" t="s">
        <v>1183</v>
      </c>
      <c r="I400" s="419" t="s">
        <v>1184</v>
      </c>
      <c r="J400" s="420">
        <v>6000</v>
      </c>
      <c r="K400" s="421"/>
      <c r="L400" s="424">
        <f>L399+Table16[[#This Row],[المدين (إيداع)]]-Table16[[#This Row],[الدائن (السحب)]]</f>
        <v>476996.16999999993</v>
      </c>
    </row>
    <row r="401" spans="1:12" ht="23.25" hidden="1">
      <c r="A401" s="412">
        <f>SUBTOTAL(3,$E$8:E401)</f>
        <v>0</v>
      </c>
      <c r="B401" s="394">
        <v>42976</v>
      </c>
      <c r="C401" s="419" t="s">
        <v>744</v>
      </c>
      <c r="D401" s="417" t="s">
        <v>1185</v>
      </c>
      <c r="E401" s="419" t="s">
        <v>758</v>
      </c>
      <c r="F401" s="419" t="s">
        <v>758</v>
      </c>
      <c r="G401" s="423"/>
      <c r="H401" s="419" t="s">
        <v>1186</v>
      </c>
      <c r="I401" s="419" t="s">
        <v>987</v>
      </c>
      <c r="J401" s="420">
        <v>1200</v>
      </c>
      <c r="K401" s="421"/>
      <c r="L401" s="424">
        <f>L400+Table16[[#This Row],[المدين (إيداع)]]-Table16[[#This Row],[الدائن (السحب)]]</f>
        <v>478196.16999999993</v>
      </c>
    </row>
    <row r="402" spans="1:12" ht="23.25" hidden="1">
      <c r="A402" s="412">
        <f>SUBTOTAL(3,$E$8:E402)</f>
        <v>0</v>
      </c>
      <c r="B402" s="394">
        <v>42977</v>
      </c>
      <c r="C402" s="419" t="s">
        <v>744</v>
      </c>
      <c r="D402" s="417" t="s">
        <v>1155</v>
      </c>
      <c r="E402" s="419" t="s">
        <v>758</v>
      </c>
      <c r="F402" s="419" t="s">
        <v>758</v>
      </c>
      <c r="G402" s="423"/>
      <c r="H402" s="419"/>
      <c r="I402" s="419" t="s">
        <v>771</v>
      </c>
      <c r="J402" s="420">
        <v>400</v>
      </c>
      <c r="K402" s="421"/>
      <c r="L402" s="424">
        <f>L401+Table16[[#This Row],[المدين (إيداع)]]-Table16[[#This Row],[الدائن (السحب)]]</f>
        <v>478596.16999999993</v>
      </c>
    </row>
    <row r="403" spans="1:12" ht="23.25" hidden="1">
      <c r="A403" s="412">
        <f>SUBTOTAL(3,$E$8:E403)</f>
        <v>0</v>
      </c>
      <c r="B403" s="394">
        <v>42977</v>
      </c>
      <c r="C403" s="419" t="s">
        <v>744</v>
      </c>
      <c r="D403" s="417" t="s">
        <v>1187</v>
      </c>
      <c r="E403" s="419" t="s">
        <v>773</v>
      </c>
      <c r="F403" s="419" t="s">
        <v>773</v>
      </c>
      <c r="G403" s="423">
        <v>297</v>
      </c>
      <c r="H403" s="419" t="s">
        <v>1085</v>
      </c>
      <c r="I403" s="419"/>
      <c r="J403" s="420"/>
      <c r="K403" s="421">
        <v>60000</v>
      </c>
      <c r="L403" s="424">
        <f>L402+Table16[[#This Row],[المدين (إيداع)]]-Table16[[#This Row],[الدائن (السحب)]]</f>
        <v>418596.16999999993</v>
      </c>
    </row>
    <row r="404" spans="1:12" ht="23.25" hidden="1">
      <c r="A404" s="412">
        <f>SUBTOTAL(3,$E$8:E404)</f>
        <v>0</v>
      </c>
      <c r="B404" s="394">
        <v>42977</v>
      </c>
      <c r="C404" s="419" t="s">
        <v>744</v>
      </c>
      <c r="D404" s="417" t="s">
        <v>1155</v>
      </c>
      <c r="E404" s="419" t="s">
        <v>758</v>
      </c>
      <c r="F404" s="419" t="s">
        <v>758</v>
      </c>
      <c r="G404" s="423"/>
      <c r="H404" s="419" t="s">
        <v>1188</v>
      </c>
      <c r="I404" s="419" t="s">
        <v>771</v>
      </c>
      <c r="J404" s="420">
        <v>600</v>
      </c>
      <c r="K404" s="421"/>
      <c r="L404" s="424">
        <f>L403+Table16[[#This Row],[المدين (إيداع)]]-Table16[[#This Row],[الدائن (السحب)]]</f>
        <v>419196.16999999993</v>
      </c>
    </row>
    <row r="405" spans="1:12" ht="23.25" hidden="1">
      <c r="A405" s="412">
        <f>SUBTOTAL(3,$E$8:E405)</f>
        <v>0</v>
      </c>
      <c r="B405" s="394">
        <v>42980</v>
      </c>
      <c r="C405" s="419" t="s">
        <v>744</v>
      </c>
      <c r="D405" s="417" t="s">
        <v>1157</v>
      </c>
      <c r="E405" s="419" t="s">
        <v>879</v>
      </c>
      <c r="F405" s="419" t="s">
        <v>758</v>
      </c>
      <c r="G405" s="423"/>
      <c r="H405" s="419" t="s">
        <v>1181</v>
      </c>
      <c r="I405" s="419" t="s">
        <v>851</v>
      </c>
      <c r="J405" s="420">
        <v>20000</v>
      </c>
      <c r="K405" s="421"/>
      <c r="L405" s="424">
        <f>L404+Table16[[#This Row],[المدين (إيداع)]]-Table16[[#This Row],[الدائن (السحب)]]</f>
        <v>439196.16999999993</v>
      </c>
    </row>
    <row r="406" spans="1:12" ht="23.25" hidden="1">
      <c r="A406" s="412">
        <f>SUBTOTAL(3,$E$8:E406)</f>
        <v>0</v>
      </c>
      <c r="B406" s="394">
        <v>42980</v>
      </c>
      <c r="C406" s="419" t="s">
        <v>744</v>
      </c>
      <c r="D406" s="417" t="s">
        <v>1157</v>
      </c>
      <c r="E406" s="419" t="s">
        <v>879</v>
      </c>
      <c r="F406" s="419" t="s">
        <v>758</v>
      </c>
      <c r="G406" s="423"/>
      <c r="H406" s="419" t="s">
        <v>1181</v>
      </c>
      <c r="I406" s="419" t="s">
        <v>851</v>
      </c>
      <c r="J406" s="420">
        <v>20000</v>
      </c>
      <c r="K406" s="421"/>
      <c r="L406" s="424">
        <f>L405+Table16[[#This Row],[المدين (إيداع)]]-Table16[[#This Row],[الدائن (السحب)]]</f>
        <v>459196.16999999993</v>
      </c>
    </row>
    <row r="407" spans="1:12" ht="23.25" hidden="1">
      <c r="A407" s="412">
        <f>SUBTOTAL(3,$E$8:E407)</f>
        <v>0</v>
      </c>
      <c r="B407" s="394">
        <v>42982</v>
      </c>
      <c r="C407" s="419" t="s">
        <v>744</v>
      </c>
      <c r="D407" s="417" t="s">
        <v>1157</v>
      </c>
      <c r="E407" s="419" t="s">
        <v>879</v>
      </c>
      <c r="F407" s="419" t="s">
        <v>758</v>
      </c>
      <c r="G407" s="423"/>
      <c r="H407" s="419" t="s">
        <v>1181</v>
      </c>
      <c r="I407" s="419" t="s">
        <v>851</v>
      </c>
      <c r="J407" s="420">
        <v>20000</v>
      </c>
      <c r="K407" s="421"/>
      <c r="L407" s="424">
        <f>L406+Table16[[#This Row],[المدين (إيداع)]]-Table16[[#This Row],[الدائن (السحب)]]</f>
        <v>479196.16999999993</v>
      </c>
    </row>
    <row r="408" spans="1:12" ht="23.25" hidden="1">
      <c r="A408" s="412">
        <f>SUBTOTAL(3,$E$8:E408)</f>
        <v>0</v>
      </c>
      <c r="B408" s="394">
        <v>42983</v>
      </c>
      <c r="C408" s="419" t="s">
        <v>744</v>
      </c>
      <c r="D408" s="417" t="s">
        <v>1189</v>
      </c>
      <c r="E408" s="419" t="s">
        <v>758</v>
      </c>
      <c r="F408" s="419" t="s">
        <v>758</v>
      </c>
      <c r="G408" s="423"/>
      <c r="H408" s="419" t="s">
        <v>1190</v>
      </c>
      <c r="I408" s="419" t="s">
        <v>771</v>
      </c>
      <c r="J408" s="420">
        <v>2000</v>
      </c>
      <c r="K408" s="421"/>
      <c r="L408" s="424">
        <f>L407+Table16[[#This Row],[المدين (إيداع)]]-Table16[[#This Row],[الدائن (السحب)]]</f>
        <v>481196.16999999993</v>
      </c>
    </row>
    <row r="409" spans="1:12" ht="23.25" hidden="1">
      <c r="A409" s="412">
        <f>SUBTOTAL(3,$E$8:E409)</f>
        <v>0</v>
      </c>
      <c r="B409" s="394">
        <v>42984</v>
      </c>
      <c r="C409" s="419" t="s">
        <v>744</v>
      </c>
      <c r="D409" s="417" t="s">
        <v>971</v>
      </c>
      <c r="E409" s="419" t="s">
        <v>795</v>
      </c>
      <c r="F409" s="419" t="s">
        <v>758</v>
      </c>
      <c r="G409" s="423"/>
      <c r="H409" s="419" t="s">
        <v>796</v>
      </c>
      <c r="I409" s="419" t="s">
        <v>797</v>
      </c>
      <c r="J409" s="420">
        <v>64200</v>
      </c>
      <c r="K409" s="421"/>
      <c r="L409" s="424">
        <f>L408+Table16[[#This Row],[المدين (إيداع)]]-Table16[[#This Row],[الدائن (السحب)]]</f>
        <v>545396.16999999993</v>
      </c>
    </row>
    <row r="410" spans="1:12" ht="23.25" hidden="1">
      <c r="A410" s="412">
        <f>SUBTOTAL(3,$E$8:E410)</f>
        <v>0</v>
      </c>
      <c r="B410" s="394">
        <v>42984</v>
      </c>
      <c r="C410" s="419" t="s">
        <v>744</v>
      </c>
      <c r="D410" s="417" t="s">
        <v>971</v>
      </c>
      <c r="E410" s="419" t="s">
        <v>795</v>
      </c>
      <c r="F410" s="419" t="s">
        <v>758</v>
      </c>
      <c r="G410" s="423"/>
      <c r="H410" s="419" t="s">
        <v>796</v>
      </c>
      <c r="I410" s="419" t="s">
        <v>797</v>
      </c>
      <c r="J410" s="420">
        <v>39200</v>
      </c>
      <c r="K410" s="421"/>
      <c r="L410" s="424">
        <f>L409+Table16[[#This Row],[المدين (إيداع)]]-Table16[[#This Row],[الدائن (السحب)]]</f>
        <v>584596.16999999993</v>
      </c>
    </row>
    <row r="411" spans="1:12" ht="23.25" hidden="1">
      <c r="A411" s="412">
        <f>SUBTOTAL(3,$E$8:E411)</f>
        <v>0</v>
      </c>
      <c r="B411" s="394">
        <v>42984</v>
      </c>
      <c r="C411" s="419" t="s">
        <v>744</v>
      </c>
      <c r="D411" s="417" t="s">
        <v>1157</v>
      </c>
      <c r="E411" s="419" t="s">
        <v>879</v>
      </c>
      <c r="F411" s="419" t="s">
        <v>758</v>
      </c>
      <c r="G411" s="423"/>
      <c r="H411" s="419" t="s">
        <v>1181</v>
      </c>
      <c r="I411" s="419" t="s">
        <v>851</v>
      </c>
      <c r="J411" s="420">
        <v>19000</v>
      </c>
      <c r="K411" s="421"/>
      <c r="L411" s="424">
        <f>L410+Table16[[#This Row],[المدين (إيداع)]]-Table16[[#This Row],[الدائن (السحب)]]</f>
        <v>603596.16999999993</v>
      </c>
    </row>
    <row r="412" spans="1:12" ht="23.25" hidden="1">
      <c r="A412" s="412">
        <f>SUBTOTAL(3,$E$8:E412)</f>
        <v>0</v>
      </c>
      <c r="B412" s="394">
        <v>42985</v>
      </c>
      <c r="C412" s="419" t="s">
        <v>744</v>
      </c>
      <c r="D412" s="417" t="s">
        <v>1165</v>
      </c>
      <c r="E412" s="419" t="s">
        <v>1166</v>
      </c>
      <c r="F412" s="419" t="s">
        <v>758</v>
      </c>
      <c r="G412" s="423"/>
      <c r="H412" s="419" t="s">
        <v>1191</v>
      </c>
      <c r="I412" s="419" t="s">
        <v>811</v>
      </c>
      <c r="J412" s="420">
        <v>300</v>
      </c>
      <c r="K412" s="421"/>
      <c r="L412" s="424">
        <f>L411+Table16[[#This Row],[المدين (إيداع)]]-Table16[[#This Row],[الدائن (السحب)]]</f>
        <v>603896.16999999993</v>
      </c>
    </row>
    <row r="413" spans="1:12" ht="23.25" hidden="1">
      <c r="A413" s="412">
        <f>SUBTOTAL(3,$E$8:E413)</f>
        <v>0</v>
      </c>
      <c r="B413" s="394">
        <v>42991</v>
      </c>
      <c r="C413" s="419" t="s">
        <v>744</v>
      </c>
      <c r="D413" s="417" t="s">
        <v>1192</v>
      </c>
      <c r="E413" s="419" t="s">
        <v>762</v>
      </c>
      <c r="F413" s="419" t="s">
        <v>763</v>
      </c>
      <c r="G413" s="423">
        <v>1236</v>
      </c>
      <c r="H413" s="419"/>
      <c r="I413" s="419" t="s">
        <v>811</v>
      </c>
      <c r="J413" s="420">
        <v>750</v>
      </c>
      <c r="K413" s="421"/>
      <c r="L413" s="424">
        <f>L412+Table16[[#This Row],[المدين (إيداع)]]-Table16[[#This Row],[الدائن (السحب)]]</f>
        <v>604646.16999999993</v>
      </c>
    </row>
    <row r="414" spans="1:12" ht="23.25" hidden="1">
      <c r="A414" s="412">
        <f>SUBTOTAL(3,$E$8:E414)</f>
        <v>0</v>
      </c>
      <c r="B414" s="394">
        <v>42991</v>
      </c>
      <c r="C414" s="419" t="s">
        <v>744</v>
      </c>
      <c r="D414" s="417" t="s">
        <v>1192</v>
      </c>
      <c r="E414" s="419" t="s">
        <v>762</v>
      </c>
      <c r="F414" s="419" t="s">
        <v>763</v>
      </c>
      <c r="G414" s="423">
        <v>1444</v>
      </c>
      <c r="H414" s="419"/>
      <c r="I414" s="419"/>
      <c r="J414" s="420">
        <v>2400</v>
      </c>
      <c r="K414" s="421"/>
      <c r="L414" s="424">
        <f>L413+Table16[[#This Row],[المدين (إيداع)]]-Table16[[#This Row],[الدائن (السحب)]]</f>
        <v>607046.16999999993</v>
      </c>
    </row>
    <row r="415" spans="1:12" ht="23.25" hidden="1">
      <c r="A415" s="412">
        <f>SUBTOTAL(3,$E$8:E415)</f>
        <v>0</v>
      </c>
      <c r="B415" s="394">
        <v>42991</v>
      </c>
      <c r="C415" s="419" t="s">
        <v>744</v>
      </c>
      <c r="D415" s="417" t="s">
        <v>1193</v>
      </c>
      <c r="E415" s="419" t="s">
        <v>758</v>
      </c>
      <c r="F415" s="419" t="s">
        <v>758</v>
      </c>
      <c r="G415" s="423"/>
      <c r="H415" s="419" t="s">
        <v>1179</v>
      </c>
      <c r="I415" s="419" t="s">
        <v>987</v>
      </c>
      <c r="J415" s="420">
        <v>1110</v>
      </c>
      <c r="K415" s="421"/>
      <c r="L415" s="424">
        <f>L414+Table16[[#This Row],[المدين (إيداع)]]-Table16[[#This Row],[الدائن (السحب)]]</f>
        <v>608156.16999999993</v>
      </c>
    </row>
    <row r="416" spans="1:12" ht="23.25" hidden="1">
      <c r="A416" s="412">
        <f>SUBTOTAL(3,$E$8:E416)</f>
        <v>0</v>
      </c>
      <c r="B416" s="394">
        <v>42991</v>
      </c>
      <c r="C416" s="419" t="s">
        <v>744</v>
      </c>
      <c r="D416" s="417" t="s">
        <v>752</v>
      </c>
      <c r="E416" s="419" t="s">
        <v>753</v>
      </c>
      <c r="F416" s="419" t="s">
        <v>754</v>
      </c>
      <c r="G416" s="423"/>
      <c r="H416" s="419" t="s">
        <v>755</v>
      </c>
      <c r="I416" s="419" t="s">
        <v>754</v>
      </c>
      <c r="J416" s="420"/>
      <c r="K416" s="421">
        <v>25</v>
      </c>
      <c r="L416" s="424">
        <f>L415+Table16[[#This Row],[المدين (إيداع)]]-Table16[[#This Row],[الدائن (السحب)]]</f>
        <v>608131.16999999993</v>
      </c>
    </row>
    <row r="417" spans="1:12" ht="23.25" hidden="1">
      <c r="A417" s="412">
        <f>SUBTOTAL(3,$E$8:E417)</f>
        <v>0</v>
      </c>
      <c r="B417" s="394">
        <v>42992</v>
      </c>
      <c r="C417" s="419" t="s">
        <v>744</v>
      </c>
      <c r="D417" s="417" t="s">
        <v>867</v>
      </c>
      <c r="E417" s="419" t="s">
        <v>773</v>
      </c>
      <c r="F417" s="419" t="s">
        <v>773</v>
      </c>
      <c r="G417" s="423">
        <v>300</v>
      </c>
      <c r="H417" s="419" t="s">
        <v>852</v>
      </c>
      <c r="I417" s="419"/>
      <c r="J417" s="420"/>
      <c r="K417" s="421">
        <v>250000</v>
      </c>
      <c r="L417" s="424">
        <f>L416+Table16[[#This Row],[المدين (إيداع)]]-Table16[[#This Row],[الدائن (السحب)]]</f>
        <v>358131.16999999993</v>
      </c>
    </row>
    <row r="418" spans="1:12" ht="23.25" hidden="1">
      <c r="A418" s="412">
        <f>SUBTOTAL(3,$E$8:E418)</f>
        <v>0</v>
      </c>
      <c r="B418" s="394">
        <v>42992</v>
      </c>
      <c r="C418" s="419" t="s">
        <v>744</v>
      </c>
      <c r="D418" s="417" t="s">
        <v>1157</v>
      </c>
      <c r="E418" s="419" t="s">
        <v>879</v>
      </c>
      <c r="F418" s="419" t="s">
        <v>758</v>
      </c>
      <c r="G418" s="423"/>
      <c r="H418" s="419" t="s">
        <v>1194</v>
      </c>
      <c r="I418" s="419" t="s">
        <v>851</v>
      </c>
      <c r="J418" s="420">
        <v>20000</v>
      </c>
      <c r="K418" s="421"/>
      <c r="L418" s="424">
        <f>L417+Table16[[#This Row],[المدين (إيداع)]]-Table16[[#This Row],[الدائن (السحب)]]</f>
        <v>378131.16999999993</v>
      </c>
    </row>
    <row r="419" spans="1:12" ht="23.25" hidden="1">
      <c r="A419" s="412">
        <f>SUBTOTAL(3,$E$8:E419)</f>
        <v>0</v>
      </c>
      <c r="B419" s="394">
        <v>42995</v>
      </c>
      <c r="C419" s="419" t="s">
        <v>744</v>
      </c>
      <c r="D419" s="417" t="s">
        <v>971</v>
      </c>
      <c r="E419" s="419" t="s">
        <v>758</v>
      </c>
      <c r="F419" s="419" t="s">
        <v>758</v>
      </c>
      <c r="G419" s="423"/>
      <c r="H419" s="419" t="s">
        <v>62</v>
      </c>
      <c r="I419" s="419" t="s">
        <v>974</v>
      </c>
      <c r="J419" s="420">
        <v>78000</v>
      </c>
      <c r="K419" s="421"/>
      <c r="L419" s="424">
        <f>L418+Table16[[#This Row],[المدين (إيداع)]]-Table16[[#This Row],[الدائن (السحب)]]</f>
        <v>456131.16999999993</v>
      </c>
    </row>
    <row r="420" spans="1:12" ht="23.25" hidden="1">
      <c r="A420" s="412">
        <f>SUBTOTAL(3,$E$8:E420)</f>
        <v>0</v>
      </c>
      <c r="B420" s="394">
        <v>42995</v>
      </c>
      <c r="C420" s="419" t="s">
        <v>744</v>
      </c>
      <c r="D420" s="417" t="s">
        <v>1157</v>
      </c>
      <c r="E420" s="419" t="s">
        <v>879</v>
      </c>
      <c r="F420" s="419" t="s">
        <v>758</v>
      </c>
      <c r="G420" s="423"/>
      <c r="H420" s="419" t="s">
        <v>1194</v>
      </c>
      <c r="I420" s="419" t="s">
        <v>851</v>
      </c>
      <c r="J420" s="420">
        <v>20000</v>
      </c>
      <c r="K420" s="421"/>
      <c r="L420" s="424">
        <f>L419+Table16[[#This Row],[المدين (إيداع)]]-Table16[[#This Row],[الدائن (السحب)]]</f>
        <v>476131.16999999993</v>
      </c>
    </row>
    <row r="421" spans="1:12" ht="23.25" hidden="1">
      <c r="A421" s="412">
        <f>SUBTOTAL(3,$E$8:E421)</f>
        <v>0</v>
      </c>
      <c r="B421" s="394">
        <v>42997</v>
      </c>
      <c r="C421" s="419" t="s">
        <v>744</v>
      </c>
      <c r="D421" s="417" t="s">
        <v>1195</v>
      </c>
      <c r="E421" s="419" t="s">
        <v>762</v>
      </c>
      <c r="F421" s="419" t="s">
        <v>763</v>
      </c>
      <c r="G421" s="423">
        <v>78</v>
      </c>
      <c r="H421" s="430" t="s">
        <v>1196</v>
      </c>
      <c r="I421" s="419" t="s">
        <v>842</v>
      </c>
      <c r="J421" s="420">
        <v>6000</v>
      </c>
      <c r="K421" s="421"/>
      <c r="L421" s="424">
        <f>L420+Table16[[#This Row],[المدين (إيداع)]]-Table16[[#This Row],[الدائن (السحب)]]</f>
        <v>482131.16999999993</v>
      </c>
    </row>
    <row r="422" spans="1:12" ht="23.25" hidden="1">
      <c r="A422" s="412">
        <f>SUBTOTAL(3,$E$8:E422)</f>
        <v>0</v>
      </c>
      <c r="B422" s="394">
        <v>42997</v>
      </c>
      <c r="C422" s="419" t="s">
        <v>744</v>
      </c>
      <c r="D422" s="417" t="s">
        <v>1195</v>
      </c>
      <c r="E422" s="419" t="s">
        <v>762</v>
      </c>
      <c r="F422" s="419" t="s">
        <v>763</v>
      </c>
      <c r="G422" s="423">
        <v>5620</v>
      </c>
      <c r="H422" s="430" t="s">
        <v>1197</v>
      </c>
      <c r="I422" s="419" t="s">
        <v>842</v>
      </c>
      <c r="J422" s="420">
        <v>3400</v>
      </c>
      <c r="K422" s="421"/>
      <c r="L422" s="424">
        <f>L421+Table16[[#This Row],[المدين (إيداع)]]-Table16[[#This Row],[الدائن (السحب)]]</f>
        <v>485531.16999999993</v>
      </c>
    </row>
    <row r="423" spans="1:12" ht="23.25" hidden="1">
      <c r="A423" s="412">
        <f>SUBTOTAL(3,$E$8:E423)</f>
        <v>0</v>
      </c>
      <c r="B423" s="394">
        <v>42997</v>
      </c>
      <c r="C423" s="419" t="s">
        <v>744</v>
      </c>
      <c r="D423" s="417" t="s">
        <v>1041</v>
      </c>
      <c r="E423" s="419" t="s">
        <v>1198</v>
      </c>
      <c r="F423" s="419" t="s">
        <v>763</v>
      </c>
      <c r="G423" s="423">
        <v>4192</v>
      </c>
      <c r="H423" s="419" t="s">
        <v>1199</v>
      </c>
      <c r="I423" s="419" t="s">
        <v>1200</v>
      </c>
      <c r="J423" s="420">
        <v>3150</v>
      </c>
      <c r="K423" s="421"/>
      <c r="L423" s="424">
        <f>L422+Table16[[#This Row],[المدين (إيداع)]]-Table16[[#This Row],[الدائن (السحب)]]</f>
        <v>488681.16999999993</v>
      </c>
    </row>
    <row r="424" spans="1:12" ht="23.25" hidden="1">
      <c r="A424" s="412">
        <f>SUBTOTAL(3,$E$8:E424)</f>
        <v>0</v>
      </c>
      <c r="B424" s="394">
        <v>42997</v>
      </c>
      <c r="C424" s="419" t="s">
        <v>744</v>
      </c>
      <c r="D424" s="417" t="s">
        <v>1050</v>
      </c>
      <c r="E424" s="419" t="s">
        <v>762</v>
      </c>
      <c r="F424" s="419" t="s">
        <v>763</v>
      </c>
      <c r="G424" s="423">
        <v>4742</v>
      </c>
      <c r="H424" s="419" t="s">
        <v>860</v>
      </c>
      <c r="I424" s="419" t="s">
        <v>974</v>
      </c>
      <c r="J424" s="420">
        <v>7750</v>
      </c>
      <c r="K424" s="421"/>
      <c r="L424" s="424">
        <f>L423+Table16[[#This Row],[المدين (إيداع)]]-Table16[[#This Row],[الدائن (السحب)]]</f>
        <v>496431.16999999993</v>
      </c>
    </row>
    <row r="425" spans="1:12" ht="23.25" hidden="1">
      <c r="A425" s="412">
        <f>SUBTOTAL(3,$E$8:E425)</f>
        <v>0</v>
      </c>
      <c r="B425" s="394">
        <v>42997</v>
      </c>
      <c r="C425" s="419" t="s">
        <v>744</v>
      </c>
      <c r="D425" s="417" t="s">
        <v>752</v>
      </c>
      <c r="E425" s="419" t="s">
        <v>753</v>
      </c>
      <c r="F425" s="419" t="s">
        <v>754</v>
      </c>
      <c r="G425" s="423"/>
      <c r="H425" s="419" t="s">
        <v>755</v>
      </c>
      <c r="I425" s="419" t="s">
        <v>754</v>
      </c>
      <c r="J425" s="420"/>
      <c r="K425" s="421">
        <v>25</v>
      </c>
      <c r="L425" s="424">
        <f>L424+Table16[[#This Row],[المدين (إيداع)]]-Table16[[#This Row],[الدائن (السحب)]]</f>
        <v>496406.16999999993</v>
      </c>
    </row>
    <row r="426" spans="1:12" ht="23.25" hidden="1">
      <c r="A426" s="412">
        <f>SUBTOTAL(3,$E$8:E426)</f>
        <v>0</v>
      </c>
      <c r="B426" s="394">
        <v>42997</v>
      </c>
      <c r="C426" s="419" t="s">
        <v>744</v>
      </c>
      <c r="D426" s="417" t="s">
        <v>1201</v>
      </c>
      <c r="E426" s="419" t="s">
        <v>777</v>
      </c>
      <c r="F426" s="419" t="s">
        <v>758</v>
      </c>
      <c r="G426" s="423"/>
      <c r="H426" s="419" t="s">
        <v>778</v>
      </c>
      <c r="I426" s="419" t="s">
        <v>1202</v>
      </c>
      <c r="J426" s="420">
        <v>3700</v>
      </c>
      <c r="K426" s="421"/>
      <c r="L426" s="424">
        <f>L425+Table16[[#This Row],[المدين (إيداع)]]-Table16[[#This Row],[الدائن (السحب)]]</f>
        <v>500106.16999999993</v>
      </c>
    </row>
    <row r="427" spans="1:12" ht="23.25" hidden="1">
      <c r="A427" s="412">
        <f>SUBTOTAL(3,$E$8:E427)</f>
        <v>0</v>
      </c>
      <c r="B427" s="394">
        <v>42998</v>
      </c>
      <c r="C427" s="419" t="s">
        <v>744</v>
      </c>
      <c r="D427" s="417" t="s">
        <v>1203</v>
      </c>
      <c r="E427" s="419" t="s">
        <v>773</v>
      </c>
      <c r="F427" s="419" t="s">
        <v>773</v>
      </c>
      <c r="G427" s="423">
        <v>354</v>
      </c>
      <c r="H427" s="419" t="s">
        <v>883</v>
      </c>
      <c r="I427" s="419" t="s">
        <v>1204</v>
      </c>
      <c r="J427" s="420"/>
      <c r="K427" s="421">
        <v>195000</v>
      </c>
      <c r="L427" s="424">
        <f>L426+Table16[[#This Row],[المدين (إيداع)]]-Table16[[#This Row],[الدائن (السحب)]]</f>
        <v>305106.16999999993</v>
      </c>
    </row>
    <row r="428" spans="1:12" ht="23.25" hidden="1">
      <c r="A428" s="412">
        <f>SUBTOTAL(3,$E$8:E428)</f>
        <v>0</v>
      </c>
      <c r="B428" s="394">
        <v>42998</v>
      </c>
      <c r="C428" s="419" t="s">
        <v>744</v>
      </c>
      <c r="D428" s="417" t="s">
        <v>1205</v>
      </c>
      <c r="E428" s="419" t="s">
        <v>795</v>
      </c>
      <c r="F428" s="419" t="s">
        <v>758</v>
      </c>
      <c r="G428" s="423"/>
      <c r="H428" s="419" t="s">
        <v>796</v>
      </c>
      <c r="I428" s="419" t="s">
        <v>797</v>
      </c>
      <c r="J428" s="420">
        <v>55800</v>
      </c>
      <c r="K428" s="421"/>
      <c r="L428" s="424">
        <f>L427+Table16[[#This Row],[المدين (إيداع)]]-Table16[[#This Row],[الدائن (السحب)]]</f>
        <v>360906.16999999993</v>
      </c>
    </row>
    <row r="429" spans="1:12" ht="23.25" hidden="1">
      <c r="A429" s="412">
        <f>SUBTOTAL(3,$E$8:E429)</f>
        <v>0</v>
      </c>
      <c r="B429" s="394">
        <v>42998</v>
      </c>
      <c r="C429" s="419" t="s">
        <v>744</v>
      </c>
      <c r="D429" s="417" t="s">
        <v>971</v>
      </c>
      <c r="E429" s="419" t="s">
        <v>1103</v>
      </c>
      <c r="F429" s="419" t="s">
        <v>758</v>
      </c>
      <c r="G429" s="423"/>
      <c r="H429" s="419" t="s">
        <v>789</v>
      </c>
      <c r="I429" s="419" t="s">
        <v>1177</v>
      </c>
      <c r="J429" s="420">
        <v>900</v>
      </c>
      <c r="K429" s="421"/>
      <c r="L429" s="424">
        <f>L428+Table16[[#This Row],[المدين (إيداع)]]-Table16[[#This Row],[الدائن (السحب)]]</f>
        <v>361806.16999999993</v>
      </c>
    </row>
    <row r="430" spans="1:12" ht="23.25" hidden="1">
      <c r="A430" s="412">
        <f>SUBTOTAL(3,$E$8:E430)</f>
        <v>0</v>
      </c>
      <c r="B430" s="394">
        <v>42998</v>
      </c>
      <c r="C430" s="419" t="s">
        <v>744</v>
      </c>
      <c r="D430" s="417" t="s">
        <v>635</v>
      </c>
      <c r="E430" s="419" t="s">
        <v>773</v>
      </c>
      <c r="F430" s="419" t="s">
        <v>773</v>
      </c>
      <c r="G430" s="423">
        <v>351</v>
      </c>
      <c r="H430" s="419" t="s">
        <v>1206</v>
      </c>
      <c r="I430" s="419" t="s">
        <v>1207</v>
      </c>
      <c r="J430" s="420"/>
      <c r="K430" s="421">
        <v>65000</v>
      </c>
      <c r="L430" s="424">
        <f>L429+Table16[[#This Row],[المدين (إيداع)]]-Table16[[#This Row],[الدائن (السحب)]]</f>
        <v>296806.16999999993</v>
      </c>
    </row>
    <row r="431" spans="1:12" ht="23.25" hidden="1">
      <c r="A431" s="412">
        <f>SUBTOTAL(3,$E$8:E431)</f>
        <v>0</v>
      </c>
      <c r="B431" s="394">
        <v>42999</v>
      </c>
      <c r="C431" s="419" t="s">
        <v>744</v>
      </c>
      <c r="D431" s="417" t="s">
        <v>1208</v>
      </c>
      <c r="E431" s="419" t="s">
        <v>773</v>
      </c>
      <c r="F431" s="419" t="s">
        <v>773</v>
      </c>
      <c r="G431" s="423">
        <v>356</v>
      </c>
      <c r="H431" s="419" t="s">
        <v>91</v>
      </c>
      <c r="I431" s="419" t="s">
        <v>1204</v>
      </c>
      <c r="J431" s="420"/>
      <c r="K431" s="421">
        <v>128000</v>
      </c>
      <c r="L431" s="424">
        <f>L430+Table16[[#This Row],[المدين (إيداع)]]-Table16[[#This Row],[الدائن (السحب)]]</f>
        <v>168806.16999999993</v>
      </c>
    </row>
    <row r="432" spans="1:12" ht="23.25" hidden="1">
      <c r="A432" s="412">
        <f>SUBTOTAL(3,$E$8:E432)</f>
        <v>0</v>
      </c>
      <c r="B432" s="394">
        <v>42999</v>
      </c>
      <c r="C432" s="419" t="s">
        <v>744</v>
      </c>
      <c r="D432" s="417" t="s">
        <v>1189</v>
      </c>
      <c r="E432" s="419" t="s">
        <v>758</v>
      </c>
      <c r="F432" s="419" t="s">
        <v>758</v>
      </c>
      <c r="G432" s="423"/>
      <c r="H432" s="419" t="s">
        <v>1131</v>
      </c>
      <c r="I432" s="419" t="s">
        <v>771</v>
      </c>
      <c r="J432" s="420">
        <v>1250</v>
      </c>
      <c r="K432" s="421"/>
      <c r="L432" s="424">
        <f>L431+Table16[[#This Row],[المدين (إيداع)]]-Table16[[#This Row],[الدائن (السحب)]]</f>
        <v>170056.16999999993</v>
      </c>
    </row>
    <row r="433" spans="1:12" ht="23.25" hidden="1">
      <c r="A433" s="412">
        <f>SUBTOTAL(3,$E$8:E433)</f>
        <v>0</v>
      </c>
      <c r="B433" s="394">
        <v>43004</v>
      </c>
      <c r="C433" s="419" t="s">
        <v>744</v>
      </c>
      <c r="D433" s="417" t="s">
        <v>1201</v>
      </c>
      <c r="E433" s="419" t="s">
        <v>758</v>
      </c>
      <c r="F433" s="419" t="s">
        <v>758</v>
      </c>
      <c r="G433" s="423"/>
      <c r="H433" s="419" t="s">
        <v>1209</v>
      </c>
      <c r="I433" s="419" t="s">
        <v>1202</v>
      </c>
      <c r="J433" s="420">
        <v>300</v>
      </c>
      <c r="K433" s="421"/>
      <c r="L433" s="424">
        <f>L432+Table16[[#This Row],[المدين (إيداع)]]-Table16[[#This Row],[الدائن (السحب)]]</f>
        <v>170356.16999999993</v>
      </c>
    </row>
    <row r="434" spans="1:12" ht="23.25" hidden="1">
      <c r="A434" s="412">
        <f>SUBTOTAL(3,$E$8:E434)</f>
        <v>0</v>
      </c>
      <c r="B434" s="394">
        <v>43004</v>
      </c>
      <c r="C434" s="419" t="s">
        <v>744</v>
      </c>
      <c r="D434" s="417" t="s">
        <v>1201</v>
      </c>
      <c r="E434" s="419" t="s">
        <v>758</v>
      </c>
      <c r="F434" s="419" t="s">
        <v>758</v>
      </c>
      <c r="G434" s="423"/>
      <c r="H434" s="419" t="s">
        <v>1209</v>
      </c>
      <c r="I434" s="419" t="s">
        <v>1202</v>
      </c>
      <c r="J434" s="420">
        <v>300</v>
      </c>
      <c r="K434" s="421"/>
      <c r="L434" s="424">
        <f>L433+Table16[[#This Row],[المدين (إيداع)]]-Table16[[#This Row],[الدائن (السحب)]]</f>
        <v>170656.16999999993</v>
      </c>
    </row>
    <row r="435" spans="1:12" ht="23.25" hidden="1">
      <c r="A435" s="412">
        <f>SUBTOTAL(3,$E$8:E435)</f>
        <v>0</v>
      </c>
      <c r="B435" s="394">
        <v>43004</v>
      </c>
      <c r="C435" s="419" t="s">
        <v>744</v>
      </c>
      <c r="D435" s="417" t="s">
        <v>1201</v>
      </c>
      <c r="E435" s="419" t="s">
        <v>758</v>
      </c>
      <c r="F435" s="419" t="s">
        <v>758</v>
      </c>
      <c r="G435" s="423"/>
      <c r="H435" s="419" t="s">
        <v>1209</v>
      </c>
      <c r="I435" s="419" t="s">
        <v>1202</v>
      </c>
      <c r="J435" s="420">
        <v>300</v>
      </c>
      <c r="K435" s="421"/>
      <c r="L435" s="424">
        <f>L434+Table16[[#This Row],[المدين (إيداع)]]-Table16[[#This Row],[الدائن (السحب)]]</f>
        <v>170956.16999999993</v>
      </c>
    </row>
    <row r="436" spans="1:12" ht="23.25" hidden="1">
      <c r="A436" s="412">
        <f>SUBTOTAL(3,$E$8:E436)</f>
        <v>0</v>
      </c>
      <c r="B436" s="394">
        <v>43004</v>
      </c>
      <c r="C436" s="419" t="s">
        <v>744</v>
      </c>
      <c r="D436" s="417" t="s">
        <v>1201</v>
      </c>
      <c r="E436" s="419" t="s">
        <v>758</v>
      </c>
      <c r="F436" s="419" t="s">
        <v>758</v>
      </c>
      <c r="G436" s="423"/>
      <c r="H436" s="419" t="s">
        <v>1209</v>
      </c>
      <c r="I436" s="419" t="s">
        <v>1202</v>
      </c>
      <c r="J436" s="420">
        <v>300</v>
      </c>
      <c r="K436" s="421"/>
      <c r="L436" s="424">
        <f>L435+Table16[[#This Row],[المدين (إيداع)]]-Table16[[#This Row],[الدائن (السحب)]]</f>
        <v>171256.16999999993</v>
      </c>
    </row>
    <row r="437" spans="1:12" ht="23.25" hidden="1">
      <c r="A437" s="412">
        <f>SUBTOTAL(3,$E$8:E437)</f>
        <v>0</v>
      </c>
      <c r="B437" s="394">
        <v>43005</v>
      </c>
      <c r="C437" s="419" t="s">
        <v>744</v>
      </c>
      <c r="D437" s="417" t="s">
        <v>1210</v>
      </c>
      <c r="E437" s="419" t="s">
        <v>1063</v>
      </c>
      <c r="F437" s="419" t="s">
        <v>1063</v>
      </c>
      <c r="G437" s="423">
        <v>280</v>
      </c>
      <c r="H437" s="419" t="s">
        <v>91</v>
      </c>
      <c r="I437" s="419"/>
      <c r="J437" s="420"/>
      <c r="K437" s="421">
        <v>25000</v>
      </c>
      <c r="L437" s="424">
        <f>L436+Table16[[#This Row],[المدين (إيداع)]]-Table16[[#This Row],[الدائن (السحب)]]</f>
        <v>146256.16999999993</v>
      </c>
    </row>
    <row r="438" spans="1:12" ht="23.25" hidden="1">
      <c r="A438" s="412">
        <f>SUBTOTAL(3,$E$8:E438)</f>
        <v>0</v>
      </c>
      <c r="B438" s="394">
        <v>43005</v>
      </c>
      <c r="C438" s="419" t="s">
        <v>744</v>
      </c>
      <c r="D438" s="417" t="s">
        <v>1210</v>
      </c>
      <c r="E438" s="419" t="s">
        <v>762</v>
      </c>
      <c r="F438" s="419" t="s">
        <v>763</v>
      </c>
      <c r="G438" s="423">
        <v>280</v>
      </c>
      <c r="H438" s="419" t="s">
        <v>91</v>
      </c>
      <c r="I438" s="419"/>
      <c r="J438" s="420">
        <v>25000</v>
      </c>
      <c r="K438" s="421"/>
      <c r="L438" s="424">
        <f>L437+Table16[[#This Row],[المدين (إيداع)]]-Table16[[#This Row],[الدائن (السحب)]]</f>
        <v>171256.16999999993</v>
      </c>
    </row>
    <row r="439" spans="1:12" ht="23.25" hidden="1">
      <c r="A439" s="412">
        <f>SUBTOTAL(3,$E$8:E439)</f>
        <v>0</v>
      </c>
      <c r="B439" s="394">
        <v>43005</v>
      </c>
      <c r="C439" s="419" t="s">
        <v>744</v>
      </c>
      <c r="D439" s="417" t="s">
        <v>1211</v>
      </c>
      <c r="E439" s="419" t="s">
        <v>762</v>
      </c>
      <c r="F439" s="419" t="s">
        <v>763</v>
      </c>
      <c r="G439" s="423">
        <v>7140</v>
      </c>
      <c r="H439" s="419"/>
      <c r="I439" s="419" t="s">
        <v>811</v>
      </c>
      <c r="J439" s="420">
        <v>2100</v>
      </c>
      <c r="K439" s="421"/>
      <c r="L439" s="424">
        <f>L438+Table16[[#This Row],[المدين (إيداع)]]-Table16[[#This Row],[الدائن (السحب)]]</f>
        <v>173356.16999999993</v>
      </c>
    </row>
    <row r="440" spans="1:12" ht="23.25" hidden="1">
      <c r="A440" s="412">
        <f>SUBTOTAL(3,$E$8:E440)</f>
        <v>0</v>
      </c>
      <c r="B440" s="394">
        <v>43005</v>
      </c>
      <c r="C440" s="419" t="s">
        <v>744</v>
      </c>
      <c r="D440" s="417" t="s">
        <v>1211</v>
      </c>
      <c r="E440" s="419" t="s">
        <v>762</v>
      </c>
      <c r="F440" s="419" t="s">
        <v>763</v>
      </c>
      <c r="G440" s="423">
        <v>1241</v>
      </c>
      <c r="H440" s="419"/>
      <c r="I440" s="419" t="s">
        <v>811</v>
      </c>
      <c r="J440" s="420">
        <v>3000</v>
      </c>
      <c r="K440" s="421"/>
      <c r="L440" s="424">
        <f>L439+Table16[[#This Row],[المدين (إيداع)]]-Table16[[#This Row],[الدائن (السحب)]]</f>
        <v>176356.16999999993</v>
      </c>
    </row>
    <row r="441" spans="1:12" ht="23.25" hidden="1">
      <c r="A441" s="412">
        <f>SUBTOTAL(3,$E$8:E441)</f>
        <v>0</v>
      </c>
      <c r="B441" s="394">
        <v>43006</v>
      </c>
      <c r="C441" s="419" t="s">
        <v>744</v>
      </c>
      <c r="D441" s="417" t="s">
        <v>971</v>
      </c>
      <c r="E441" s="419" t="s">
        <v>762</v>
      </c>
      <c r="F441" s="419" t="s">
        <v>763</v>
      </c>
      <c r="G441" s="423">
        <v>670</v>
      </c>
      <c r="H441" s="419" t="s">
        <v>1212</v>
      </c>
      <c r="I441" s="419" t="s">
        <v>1177</v>
      </c>
      <c r="J441" s="420">
        <v>7000</v>
      </c>
      <c r="K441" s="421"/>
      <c r="L441" s="424">
        <f>L440+Table16[[#This Row],[المدين (إيداع)]]-Table16[[#This Row],[الدائن (السحب)]]</f>
        <v>183356.16999999993</v>
      </c>
    </row>
    <row r="442" spans="1:12" ht="42" hidden="1">
      <c r="A442" s="412">
        <f>SUBTOTAL(3,$E$8:E442)</f>
        <v>0</v>
      </c>
      <c r="B442" s="394">
        <v>43006</v>
      </c>
      <c r="C442" s="419" t="s">
        <v>744</v>
      </c>
      <c r="D442" s="417" t="s">
        <v>768</v>
      </c>
      <c r="E442" s="419" t="s">
        <v>869</v>
      </c>
      <c r="F442" s="419" t="s">
        <v>869</v>
      </c>
      <c r="G442" s="427" t="s">
        <v>1213</v>
      </c>
      <c r="H442" s="419"/>
      <c r="I442" s="419" t="s">
        <v>869</v>
      </c>
      <c r="J442" s="420">
        <v>50000</v>
      </c>
      <c r="K442" s="421"/>
      <c r="L442" s="424">
        <f>L441+Table16[[#This Row],[المدين (إيداع)]]-Table16[[#This Row],[الدائن (السحب)]]</f>
        <v>233356.16999999993</v>
      </c>
    </row>
    <row r="443" spans="1:12" ht="23.25" hidden="1">
      <c r="A443" s="412">
        <f>SUBTOTAL(3,$E$8:E443)</f>
        <v>0</v>
      </c>
      <c r="B443" s="394">
        <v>43006</v>
      </c>
      <c r="C443" s="419" t="s">
        <v>744</v>
      </c>
      <c r="D443" s="417" t="s">
        <v>971</v>
      </c>
      <c r="E443" s="419" t="s">
        <v>758</v>
      </c>
      <c r="F443" s="419" t="s">
        <v>758</v>
      </c>
      <c r="G443" s="423"/>
      <c r="H443" s="419" t="s">
        <v>62</v>
      </c>
      <c r="I443" s="419" t="s">
        <v>974</v>
      </c>
      <c r="J443" s="420">
        <v>3000</v>
      </c>
      <c r="K443" s="421"/>
      <c r="L443" s="424">
        <f>L442+Table16[[#This Row],[المدين (إيداع)]]-Table16[[#This Row],[الدائن (السحب)]]</f>
        <v>236356.16999999993</v>
      </c>
    </row>
    <row r="444" spans="1:12" ht="23.25" hidden="1">
      <c r="A444" s="412">
        <f>SUBTOTAL(3,$E$8:E444)</f>
        <v>0</v>
      </c>
      <c r="B444" s="394">
        <v>43006</v>
      </c>
      <c r="C444" s="419" t="s">
        <v>744</v>
      </c>
      <c r="D444" s="417" t="s">
        <v>1211</v>
      </c>
      <c r="E444" s="419" t="s">
        <v>758</v>
      </c>
      <c r="F444" s="419" t="s">
        <v>758</v>
      </c>
      <c r="G444" s="423"/>
      <c r="H444" s="419"/>
      <c r="I444" s="419" t="s">
        <v>811</v>
      </c>
      <c r="J444" s="420">
        <v>26287</v>
      </c>
      <c r="K444" s="421"/>
      <c r="L444" s="424">
        <f>L443+Table16[[#This Row],[المدين (إيداع)]]-Table16[[#This Row],[الدائن (السحب)]]</f>
        <v>262643.16999999993</v>
      </c>
    </row>
    <row r="445" spans="1:12" ht="23.25" hidden="1">
      <c r="A445" s="412">
        <f>SUBTOTAL(3,$E$8:E445)</f>
        <v>0</v>
      </c>
      <c r="B445" s="394">
        <v>43006</v>
      </c>
      <c r="C445" s="419" t="s">
        <v>744</v>
      </c>
      <c r="D445" s="417" t="s">
        <v>1189</v>
      </c>
      <c r="E445" s="419" t="s">
        <v>758</v>
      </c>
      <c r="F445" s="419" t="s">
        <v>758</v>
      </c>
      <c r="G445" s="423"/>
      <c r="H445" s="419"/>
      <c r="I445" s="419" t="s">
        <v>771</v>
      </c>
      <c r="J445" s="420">
        <v>300</v>
      </c>
      <c r="K445" s="421"/>
      <c r="L445" s="424">
        <f>L444+Table16[[#This Row],[المدين (إيداع)]]-Table16[[#This Row],[الدائن (السحب)]]</f>
        <v>262943.16999999993</v>
      </c>
    </row>
    <row r="446" spans="1:12" ht="23.25" hidden="1">
      <c r="A446" s="412">
        <f>SUBTOTAL(3,$E$8:E446)</f>
        <v>0</v>
      </c>
      <c r="B446" s="394">
        <v>43009</v>
      </c>
      <c r="C446" s="419" t="s">
        <v>744</v>
      </c>
      <c r="D446" s="417" t="s">
        <v>752</v>
      </c>
      <c r="E446" s="419" t="s">
        <v>753</v>
      </c>
      <c r="F446" s="419" t="s">
        <v>754</v>
      </c>
      <c r="G446" s="423"/>
      <c r="H446" s="419" t="s">
        <v>755</v>
      </c>
      <c r="I446" s="419" t="s">
        <v>754</v>
      </c>
      <c r="J446" s="420"/>
      <c r="K446" s="421">
        <v>25</v>
      </c>
      <c r="L446" s="424">
        <f>L445+Table16[[#This Row],[المدين (إيداع)]]-Table16[[#This Row],[الدائن (السحب)]]</f>
        <v>262918.16999999993</v>
      </c>
    </row>
    <row r="447" spans="1:12" ht="23.25" hidden="1">
      <c r="A447" s="412">
        <f>SUBTOTAL(3,$E$8:E447)</f>
        <v>0</v>
      </c>
      <c r="B447" s="394">
        <v>43009</v>
      </c>
      <c r="C447" s="419" t="s">
        <v>744</v>
      </c>
      <c r="D447" s="417" t="s">
        <v>1049</v>
      </c>
      <c r="E447" s="419" t="s">
        <v>758</v>
      </c>
      <c r="F447" s="419" t="s">
        <v>758</v>
      </c>
      <c r="G447" s="423"/>
      <c r="H447" s="419" t="s">
        <v>1183</v>
      </c>
      <c r="I447" s="419" t="s">
        <v>1184</v>
      </c>
      <c r="J447" s="420">
        <v>2000</v>
      </c>
      <c r="K447" s="421"/>
      <c r="L447" s="424">
        <f>L446+Table16[[#This Row],[المدين (إيداع)]]-Table16[[#This Row],[الدائن (السحب)]]</f>
        <v>264918.16999999993</v>
      </c>
    </row>
    <row r="448" spans="1:12" ht="23.25" hidden="1">
      <c r="A448" s="412">
        <f>SUBTOTAL(3,$E$8:E448)</f>
        <v>0</v>
      </c>
      <c r="B448" s="394">
        <v>43009</v>
      </c>
      <c r="C448" s="419" t="s">
        <v>744</v>
      </c>
      <c r="D448" s="417" t="s">
        <v>1201</v>
      </c>
      <c r="E448" s="419" t="s">
        <v>758</v>
      </c>
      <c r="F448" s="419" t="s">
        <v>758</v>
      </c>
      <c r="G448" s="423"/>
      <c r="H448" s="419" t="s">
        <v>1214</v>
      </c>
      <c r="I448" s="419" t="s">
        <v>1202</v>
      </c>
      <c r="J448" s="420">
        <v>300</v>
      </c>
      <c r="K448" s="421"/>
      <c r="L448" s="424">
        <f>L447+Table16[[#This Row],[المدين (إيداع)]]-Table16[[#This Row],[الدائن (السحب)]]</f>
        <v>265218.16999999993</v>
      </c>
    </row>
    <row r="449" spans="1:12" ht="23.25" hidden="1">
      <c r="A449" s="412">
        <f>SUBTOTAL(3,$E$8:E449)</f>
        <v>0</v>
      </c>
      <c r="B449" s="394">
        <v>43010</v>
      </c>
      <c r="C449" s="419" t="s">
        <v>744</v>
      </c>
      <c r="D449" s="417" t="s">
        <v>1215</v>
      </c>
      <c r="E449" s="419" t="s">
        <v>758</v>
      </c>
      <c r="F449" s="419" t="s">
        <v>758</v>
      </c>
      <c r="G449" s="423"/>
      <c r="H449" s="419" t="s">
        <v>1216</v>
      </c>
      <c r="I449" s="419" t="s">
        <v>771</v>
      </c>
      <c r="J449" s="420">
        <v>700</v>
      </c>
      <c r="K449" s="421"/>
      <c r="L449" s="424">
        <f>L448+Table16[[#This Row],[المدين (إيداع)]]-Table16[[#This Row],[الدائن (السحب)]]</f>
        <v>265918.16999999993</v>
      </c>
    </row>
    <row r="450" spans="1:12" ht="23.25" hidden="1">
      <c r="A450" s="412">
        <f>SUBTOTAL(3,$E$8:E450)</f>
        <v>0</v>
      </c>
      <c r="B450" s="394">
        <v>43011</v>
      </c>
      <c r="C450" s="419" t="s">
        <v>744</v>
      </c>
      <c r="D450" s="417" t="s">
        <v>812</v>
      </c>
      <c r="E450" s="419" t="s">
        <v>758</v>
      </c>
      <c r="F450" s="419" t="s">
        <v>758</v>
      </c>
      <c r="G450" s="423"/>
      <c r="H450" s="419" t="s">
        <v>1217</v>
      </c>
      <c r="I450" s="419" t="s">
        <v>814</v>
      </c>
      <c r="J450" s="420">
        <v>25200</v>
      </c>
      <c r="K450" s="421"/>
      <c r="L450" s="424">
        <f>L449+Table16[[#This Row],[المدين (إيداع)]]-Table16[[#This Row],[الدائن (السحب)]]</f>
        <v>291118.16999999993</v>
      </c>
    </row>
    <row r="451" spans="1:12" ht="23.25" hidden="1">
      <c r="A451" s="412">
        <f>SUBTOTAL(3,$E$8:E451)</f>
        <v>0</v>
      </c>
      <c r="B451" s="394">
        <v>43011</v>
      </c>
      <c r="C451" s="419" t="s">
        <v>744</v>
      </c>
      <c r="D451" s="417" t="s">
        <v>1218</v>
      </c>
      <c r="E451" s="419" t="s">
        <v>773</v>
      </c>
      <c r="F451" s="419" t="s">
        <v>773</v>
      </c>
      <c r="G451" s="423">
        <v>355</v>
      </c>
      <c r="H451" s="419" t="s">
        <v>1085</v>
      </c>
      <c r="I451" s="419" t="s">
        <v>894</v>
      </c>
      <c r="J451" s="420"/>
      <c r="K451" s="421">
        <v>105000</v>
      </c>
      <c r="L451" s="424">
        <f>L450+Table16[[#This Row],[المدين (إيداع)]]-Table16[[#This Row],[الدائن (السحب)]]</f>
        <v>186118.16999999993</v>
      </c>
    </row>
    <row r="452" spans="1:12" ht="23.25" hidden="1">
      <c r="A452" s="412">
        <f>SUBTOTAL(3,$E$8:E452)</f>
        <v>0</v>
      </c>
      <c r="B452" s="394">
        <v>43012</v>
      </c>
      <c r="C452" s="419" t="s">
        <v>744</v>
      </c>
      <c r="D452" s="417" t="s">
        <v>543</v>
      </c>
      <c r="E452" s="419" t="s">
        <v>746</v>
      </c>
      <c r="F452" s="419" t="s">
        <v>746</v>
      </c>
      <c r="G452" s="423"/>
      <c r="H452" s="419"/>
      <c r="I452" s="419" t="s">
        <v>1172</v>
      </c>
      <c r="J452" s="420">
        <v>13000</v>
      </c>
      <c r="K452" s="421"/>
      <c r="L452" s="424">
        <f>L451+Table16[[#This Row],[المدين (إيداع)]]-Table16[[#This Row],[الدائن (السحب)]]</f>
        <v>199118.16999999993</v>
      </c>
    </row>
    <row r="453" spans="1:12" ht="23.25" hidden="1">
      <c r="A453" s="412">
        <f>SUBTOTAL(3,$E$8:E453)</f>
        <v>0</v>
      </c>
      <c r="B453" s="394">
        <v>43012</v>
      </c>
      <c r="C453" s="419" t="s">
        <v>744</v>
      </c>
      <c r="D453" s="417" t="s">
        <v>1219</v>
      </c>
      <c r="E453" s="419" t="s">
        <v>773</v>
      </c>
      <c r="F453" s="419" t="s">
        <v>773</v>
      </c>
      <c r="G453" s="423">
        <v>301</v>
      </c>
      <c r="H453" s="419" t="s">
        <v>883</v>
      </c>
      <c r="I453" s="419" t="s">
        <v>1172</v>
      </c>
      <c r="J453" s="420"/>
      <c r="K453" s="421">
        <v>200000</v>
      </c>
      <c r="L453" s="424">
        <f>L452+Table16[[#This Row],[المدين (إيداع)]]-Table16[[#This Row],[الدائن (السحب)]]</f>
        <v>-881.83000000007451</v>
      </c>
    </row>
    <row r="454" spans="1:12" ht="23.25" hidden="1">
      <c r="A454" s="412">
        <f>SUBTOTAL(3,$E$8:E454)</f>
        <v>0</v>
      </c>
      <c r="B454" s="394">
        <v>43012</v>
      </c>
      <c r="C454" s="419" t="s">
        <v>744</v>
      </c>
      <c r="D454" s="417" t="s">
        <v>812</v>
      </c>
      <c r="E454" s="419" t="s">
        <v>758</v>
      </c>
      <c r="F454" s="419" t="s">
        <v>758</v>
      </c>
      <c r="G454" s="423"/>
      <c r="H454" s="419" t="s">
        <v>1119</v>
      </c>
      <c r="I454" s="419" t="s">
        <v>814</v>
      </c>
      <c r="J454" s="420">
        <v>1800</v>
      </c>
      <c r="K454" s="421"/>
      <c r="L454" s="424">
        <f>L453+Table16[[#This Row],[المدين (إيداع)]]-Table16[[#This Row],[الدائن (السحب)]]</f>
        <v>918.16999999992549</v>
      </c>
    </row>
    <row r="455" spans="1:12" ht="23.25" hidden="1">
      <c r="A455" s="412">
        <f>SUBTOTAL(3,$E$8:E455)</f>
        <v>0</v>
      </c>
      <c r="B455" s="394">
        <v>43012</v>
      </c>
      <c r="C455" s="419" t="s">
        <v>744</v>
      </c>
      <c r="D455" s="417" t="s">
        <v>1215</v>
      </c>
      <c r="E455" s="419" t="s">
        <v>758</v>
      </c>
      <c r="F455" s="419" t="s">
        <v>758</v>
      </c>
      <c r="G455" s="423"/>
      <c r="H455" s="419" t="s">
        <v>1220</v>
      </c>
      <c r="I455" s="419" t="s">
        <v>771</v>
      </c>
      <c r="J455" s="420">
        <v>2400</v>
      </c>
      <c r="K455" s="421"/>
      <c r="L455" s="424">
        <f>L454+Table16[[#This Row],[المدين (إيداع)]]-Table16[[#This Row],[الدائن (السحب)]]</f>
        <v>3318.1699999999255</v>
      </c>
    </row>
    <row r="456" spans="1:12" ht="23.25" hidden="1">
      <c r="A456" s="412">
        <f>SUBTOTAL(3,$E$8:E456)</f>
        <v>0</v>
      </c>
      <c r="B456" s="394">
        <v>43012</v>
      </c>
      <c r="C456" s="419" t="s">
        <v>744</v>
      </c>
      <c r="D456" s="417" t="s">
        <v>971</v>
      </c>
      <c r="E456" s="419" t="s">
        <v>758</v>
      </c>
      <c r="F456" s="419" t="s">
        <v>758</v>
      </c>
      <c r="G456" s="423"/>
      <c r="H456" s="419" t="s">
        <v>1123</v>
      </c>
      <c r="I456" s="419" t="s">
        <v>974</v>
      </c>
      <c r="J456" s="420">
        <v>10992</v>
      </c>
      <c r="K456" s="421"/>
      <c r="L456" s="424">
        <f>L455+Table16[[#This Row],[المدين (إيداع)]]-Table16[[#This Row],[الدائن (السحب)]]</f>
        <v>14310.169999999925</v>
      </c>
    </row>
    <row r="457" spans="1:12" ht="23.25" hidden="1">
      <c r="A457" s="412">
        <f>SUBTOTAL(3,$E$8:E457)</f>
        <v>0</v>
      </c>
      <c r="B457" s="394">
        <v>43013</v>
      </c>
      <c r="C457" s="419" t="s">
        <v>744</v>
      </c>
      <c r="D457" s="417" t="s">
        <v>848</v>
      </c>
      <c r="E457" s="419" t="s">
        <v>879</v>
      </c>
      <c r="F457" s="419" t="s">
        <v>758</v>
      </c>
      <c r="G457" s="423"/>
      <c r="H457" s="419" t="s">
        <v>1221</v>
      </c>
      <c r="I457" s="419" t="s">
        <v>851</v>
      </c>
      <c r="J457" s="420">
        <v>83854</v>
      </c>
      <c r="K457" s="421"/>
      <c r="L457" s="424">
        <f>L456+Table16[[#This Row],[المدين (إيداع)]]-Table16[[#This Row],[الدائن (السحب)]]</f>
        <v>98164.169999999925</v>
      </c>
    </row>
    <row r="458" spans="1:12" ht="23.25" hidden="1">
      <c r="A458" s="412">
        <f>SUBTOTAL(3,$E$8:E458)</f>
        <v>0</v>
      </c>
      <c r="B458" s="394">
        <v>43013</v>
      </c>
      <c r="C458" s="419" t="s">
        <v>744</v>
      </c>
      <c r="D458" s="417" t="s">
        <v>1146</v>
      </c>
      <c r="E458" s="419" t="s">
        <v>762</v>
      </c>
      <c r="F458" s="419" t="s">
        <v>763</v>
      </c>
      <c r="G458" s="423">
        <v>9864</v>
      </c>
      <c r="H458" s="419" t="s">
        <v>1222</v>
      </c>
      <c r="I458" s="419" t="s">
        <v>1147</v>
      </c>
      <c r="J458" s="420">
        <v>3600</v>
      </c>
      <c r="K458" s="421"/>
      <c r="L458" s="424">
        <f>L457+Table16[[#This Row],[المدين (إيداع)]]-Table16[[#This Row],[الدائن (السحب)]]</f>
        <v>101764.16999999993</v>
      </c>
    </row>
    <row r="459" spans="1:12" ht="23.25" hidden="1">
      <c r="A459" s="412">
        <f>SUBTOTAL(3,$E$8:E459)</f>
        <v>0</v>
      </c>
      <c r="B459" s="394">
        <v>43013</v>
      </c>
      <c r="C459" s="419" t="s">
        <v>744</v>
      </c>
      <c r="D459" s="417" t="s">
        <v>1195</v>
      </c>
      <c r="E459" s="419" t="s">
        <v>762</v>
      </c>
      <c r="F459" s="419" t="s">
        <v>763</v>
      </c>
      <c r="G459" s="423">
        <v>6053</v>
      </c>
      <c r="H459" s="419" t="s">
        <v>1223</v>
      </c>
      <c r="I459" s="419" t="s">
        <v>842</v>
      </c>
      <c r="J459" s="420">
        <v>350</v>
      </c>
      <c r="K459" s="421"/>
      <c r="L459" s="424">
        <f>L458+Table16[[#This Row],[المدين (إيداع)]]-Table16[[#This Row],[الدائن (السحب)]]</f>
        <v>102114.16999999993</v>
      </c>
    </row>
    <row r="460" spans="1:12" ht="23.25" hidden="1">
      <c r="A460" s="412">
        <f>SUBTOTAL(3,$E$8:E460)</f>
        <v>0</v>
      </c>
      <c r="B460" s="394">
        <v>43013</v>
      </c>
      <c r="C460" s="419" t="s">
        <v>744</v>
      </c>
      <c r="D460" s="417" t="s">
        <v>971</v>
      </c>
      <c r="E460" s="419" t="s">
        <v>762</v>
      </c>
      <c r="F460" s="419" t="s">
        <v>763</v>
      </c>
      <c r="G460" s="423">
        <v>23802</v>
      </c>
      <c r="H460" s="419" t="s">
        <v>1224</v>
      </c>
      <c r="I460" s="419" t="s">
        <v>974</v>
      </c>
      <c r="J460" s="420">
        <v>6000</v>
      </c>
      <c r="K460" s="421"/>
      <c r="L460" s="424">
        <f>L459+Table16[[#This Row],[المدين (إيداع)]]-Table16[[#This Row],[الدائن (السحب)]]</f>
        <v>108114.16999999993</v>
      </c>
    </row>
    <row r="461" spans="1:12" ht="23.25" hidden="1">
      <c r="A461" s="412">
        <f>SUBTOTAL(3,$E$8:E461)</f>
        <v>0</v>
      </c>
      <c r="B461" s="394">
        <v>43013</v>
      </c>
      <c r="C461" s="419" t="s">
        <v>744</v>
      </c>
      <c r="D461" s="417" t="s">
        <v>971</v>
      </c>
      <c r="E461" s="419" t="s">
        <v>762</v>
      </c>
      <c r="F461" s="419" t="s">
        <v>763</v>
      </c>
      <c r="G461" s="423">
        <v>4478</v>
      </c>
      <c r="H461" s="419" t="s">
        <v>1225</v>
      </c>
      <c r="I461" s="419" t="s">
        <v>974</v>
      </c>
      <c r="J461" s="420">
        <v>2700</v>
      </c>
      <c r="K461" s="421"/>
      <c r="L461" s="424">
        <f>L460+Table16[[#This Row],[المدين (إيداع)]]-Table16[[#This Row],[الدائن (السحب)]]</f>
        <v>110814.16999999993</v>
      </c>
    </row>
    <row r="462" spans="1:12" ht="23.25" hidden="1">
      <c r="A462" s="412">
        <f>SUBTOTAL(3,$E$8:E462)</f>
        <v>0</v>
      </c>
      <c r="B462" s="394">
        <v>43013</v>
      </c>
      <c r="C462" s="419" t="s">
        <v>744</v>
      </c>
      <c r="D462" s="417" t="s">
        <v>971</v>
      </c>
      <c r="E462" s="419" t="s">
        <v>762</v>
      </c>
      <c r="F462" s="419" t="s">
        <v>763</v>
      </c>
      <c r="G462" s="423">
        <v>66519323</v>
      </c>
      <c r="H462" s="419" t="s">
        <v>766</v>
      </c>
      <c r="I462" s="419" t="s">
        <v>974</v>
      </c>
      <c r="J462" s="420">
        <v>16400</v>
      </c>
      <c r="K462" s="421"/>
      <c r="L462" s="424">
        <f>L461+Table16[[#This Row],[المدين (إيداع)]]-Table16[[#This Row],[الدائن (السحب)]]</f>
        <v>127214.16999999993</v>
      </c>
    </row>
    <row r="463" spans="1:12" ht="23.25" hidden="1">
      <c r="A463" s="412">
        <f>SUBTOTAL(3,$E$8:E463)</f>
        <v>0</v>
      </c>
      <c r="B463" s="394">
        <v>43016</v>
      </c>
      <c r="C463" s="419" t="s">
        <v>744</v>
      </c>
      <c r="D463" s="417" t="s">
        <v>1195</v>
      </c>
      <c r="E463" s="419" t="s">
        <v>762</v>
      </c>
      <c r="F463" s="419" t="s">
        <v>763</v>
      </c>
      <c r="G463" s="423">
        <v>4794</v>
      </c>
      <c r="H463" s="419" t="s">
        <v>948</v>
      </c>
      <c r="I463" s="419" t="s">
        <v>842</v>
      </c>
      <c r="J463" s="420">
        <v>27075</v>
      </c>
      <c r="K463" s="421"/>
      <c r="L463" s="424">
        <f>L462+Table16[[#This Row],[المدين (إيداع)]]-Table16[[#This Row],[الدائن (السحب)]]</f>
        <v>154289.16999999993</v>
      </c>
    </row>
    <row r="464" spans="1:12" ht="23.25" hidden="1">
      <c r="A464" s="412">
        <f>SUBTOTAL(3,$E$8:E464)</f>
        <v>0</v>
      </c>
      <c r="B464" s="394">
        <v>43016</v>
      </c>
      <c r="C464" s="419" t="s">
        <v>744</v>
      </c>
      <c r="D464" s="417" t="s">
        <v>1215</v>
      </c>
      <c r="E464" s="419" t="s">
        <v>758</v>
      </c>
      <c r="F464" s="419" t="s">
        <v>758</v>
      </c>
      <c r="G464" s="423"/>
      <c r="H464" s="419" t="s">
        <v>910</v>
      </c>
      <c r="I464" s="419" t="s">
        <v>771</v>
      </c>
      <c r="J464" s="420">
        <v>600</v>
      </c>
      <c r="K464" s="421"/>
      <c r="L464" s="424">
        <f>L463+Table16[[#This Row],[المدين (إيداع)]]-Table16[[#This Row],[الدائن (السحب)]]</f>
        <v>154889.16999999993</v>
      </c>
    </row>
    <row r="465" spans="1:12" ht="23.25" hidden="1">
      <c r="A465" s="412">
        <f>SUBTOTAL(3,$E$8:E465)</f>
        <v>0</v>
      </c>
      <c r="B465" s="394">
        <v>43016</v>
      </c>
      <c r="C465" s="419" t="s">
        <v>744</v>
      </c>
      <c r="D465" s="417" t="s">
        <v>1049</v>
      </c>
      <c r="E465" s="419" t="s">
        <v>753</v>
      </c>
      <c r="F465" s="419" t="s">
        <v>754</v>
      </c>
      <c r="G465" s="423"/>
      <c r="H465" s="419"/>
      <c r="I465" s="419"/>
      <c r="J465" s="420"/>
      <c r="K465" s="421">
        <v>25</v>
      </c>
      <c r="L465" s="424">
        <f>L464+Table16[[#This Row],[المدين (إيداع)]]-Table16[[#This Row],[الدائن (السحب)]]</f>
        <v>154864.16999999993</v>
      </c>
    </row>
    <row r="466" spans="1:12" ht="23.25" hidden="1">
      <c r="A466" s="412">
        <f>SUBTOTAL(3,$E$8:E466)</f>
        <v>0</v>
      </c>
      <c r="B466" s="394">
        <v>43017</v>
      </c>
      <c r="C466" s="419" t="s">
        <v>744</v>
      </c>
      <c r="D466" s="417" t="s">
        <v>1226</v>
      </c>
      <c r="E466" s="419" t="s">
        <v>746</v>
      </c>
      <c r="F466" s="419" t="s">
        <v>746</v>
      </c>
      <c r="G466" s="423"/>
      <c r="H466" s="419" t="s">
        <v>922</v>
      </c>
      <c r="I466" s="419" t="s">
        <v>820</v>
      </c>
      <c r="J466" s="420">
        <v>100000</v>
      </c>
      <c r="K466" s="421"/>
      <c r="L466" s="424">
        <f>L465+Table16[[#This Row],[المدين (إيداع)]]-Table16[[#This Row],[الدائن (السحب)]]</f>
        <v>254864.16999999993</v>
      </c>
    </row>
    <row r="467" spans="1:12" ht="23.25" hidden="1">
      <c r="A467" s="412">
        <f>SUBTOTAL(3,$E$8:E467)</f>
        <v>0</v>
      </c>
      <c r="B467" s="394">
        <v>43017</v>
      </c>
      <c r="C467" s="419" t="s">
        <v>744</v>
      </c>
      <c r="D467" s="417" t="s">
        <v>1227</v>
      </c>
      <c r="E467" s="419" t="s">
        <v>855</v>
      </c>
      <c r="F467" s="419" t="s">
        <v>758</v>
      </c>
      <c r="G467" s="423"/>
      <c r="H467" s="419" t="s">
        <v>856</v>
      </c>
      <c r="I467" s="419" t="s">
        <v>857</v>
      </c>
      <c r="J467" s="420">
        <v>8000</v>
      </c>
      <c r="K467" s="421"/>
      <c r="L467" s="424">
        <f>L466+Table16[[#This Row],[المدين (إيداع)]]-Table16[[#This Row],[الدائن (السحب)]]</f>
        <v>262864.16999999993</v>
      </c>
    </row>
    <row r="468" spans="1:12" ht="23.25" hidden="1">
      <c r="A468" s="412">
        <f>SUBTOTAL(3,$E$8:E468)</f>
        <v>0</v>
      </c>
      <c r="B468" s="394">
        <v>43017</v>
      </c>
      <c r="C468" s="419" t="s">
        <v>744</v>
      </c>
      <c r="D468" s="417" t="s">
        <v>971</v>
      </c>
      <c r="E468" s="419" t="s">
        <v>795</v>
      </c>
      <c r="F468" s="419" t="s">
        <v>758</v>
      </c>
      <c r="G468" s="423"/>
      <c r="H468" s="419" t="s">
        <v>796</v>
      </c>
      <c r="I468" s="419" t="s">
        <v>797</v>
      </c>
      <c r="J468" s="420">
        <v>47800</v>
      </c>
      <c r="K468" s="421"/>
      <c r="L468" s="424">
        <f>L467+Table16[[#This Row],[المدين (إيداع)]]-Table16[[#This Row],[الدائن (السحب)]]</f>
        <v>310664.16999999993</v>
      </c>
    </row>
    <row r="469" spans="1:12" ht="23.25" hidden="1">
      <c r="A469" s="412">
        <f>SUBTOTAL(3,$E$8:E469)</f>
        <v>0</v>
      </c>
      <c r="B469" s="394">
        <v>43017</v>
      </c>
      <c r="C469" s="419" t="s">
        <v>744</v>
      </c>
      <c r="D469" s="417" t="s">
        <v>1228</v>
      </c>
      <c r="E469" s="419" t="s">
        <v>777</v>
      </c>
      <c r="F469" s="419" t="s">
        <v>758</v>
      </c>
      <c r="G469" s="423"/>
      <c r="H469" s="419" t="s">
        <v>778</v>
      </c>
      <c r="I469" s="419" t="s">
        <v>1229</v>
      </c>
      <c r="J469" s="420">
        <v>2000</v>
      </c>
      <c r="K469" s="421"/>
      <c r="L469" s="424">
        <f>L468+Table16[[#This Row],[المدين (إيداع)]]-Table16[[#This Row],[الدائن (السحب)]]</f>
        <v>312664.16999999993</v>
      </c>
    </row>
    <row r="470" spans="1:12" ht="23.25" hidden="1">
      <c r="A470" s="412">
        <f>SUBTOTAL(3,$E$8:E470)</f>
        <v>0</v>
      </c>
      <c r="B470" s="394">
        <v>43018</v>
      </c>
      <c r="C470" s="419" t="s">
        <v>744</v>
      </c>
      <c r="D470" s="417" t="s">
        <v>971</v>
      </c>
      <c r="E470" s="419" t="s">
        <v>795</v>
      </c>
      <c r="F470" s="419" t="s">
        <v>758</v>
      </c>
      <c r="G470" s="423"/>
      <c r="H470" s="419" t="s">
        <v>796</v>
      </c>
      <c r="I470" s="419" t="s">
        <v>797</v>
      </c>
      <c r="J470" s="420">
        <v>6400</v>
      </c>
      <c r="K470" s="421"/>
      <c r="L470" s="424">
        <f>L469+Table16[[#This Row],[المدين (إيداع)]]-Table16[[#This Row],[الدائن (السحب)]]</f>
        <v>319064.16999999993</v>
      </c>
    </row>
    <row r="471" spans="1:12" ht="23.25" hidden="1">
      <c r="A471" s="412">
        <f>SUBTOTAL(3,$E$8:E471)</f>
        <v>0</v>
      </c>
      <c r="B471" s="394">
        <v>43018</v>
      </c>
      <c r="C471" s="419" t="s">
        <v>744</v>
      </c>
      <c r="D471" s="417" t="s">
        <v>971</v>
      </c>
      <c r="E471" s="419" t="s">
        <v>795</v>
      </c>
      <c r="F471" s="419" t="s">
        <v>758</v>
      </c>
      <c r="G471" s="423"/>
      <c r="H471" s="419" t="s">
        <v>796</v>
      </c>
      <c r="I471" s="419" t="s">
        <v>797</v>
      </c>
      <c r="J471" s="420">
        <v>16800</v>
      </c>
      <c r="K471" s="421"/>
      <c r="L471" s="424">
        <f>L470+Table16[[#This Row],[المدين (إيداع)]]-Table16[[#This Row],[الدائن (السحب)]]</f>
        <v>335864.16999999993</v>
      </c>
    </row>
    <row r="472" spans="1:12" ht="23.25" hidden="1">
      <c r="A472" s="412">
        <f>SUBTOTAL(3,$E$8:E472)</f>
        <v>0</v>
      </c>
      <c r="B472" s="394">
        <v>43019</v>
      </c>
      <c r="C472" s="419" t="s">
        <v>744</v>
      </c>
      <c r="D472" s="417" t="s">
        <v>1148</v>
      </c>
      <c r="E472" s="419" t="s">
        <v>830</v>
      </c>
      <c r="F472" s="419" t="s">
        <v>758</v>
      </c>
      <c r="G472" s="423"/>
      <c r="H472" s="419" t="s">
        <v>831</v>
      </c>
      <c r="I472" s="419" t="s">
        <v>1149</v>
      </c>
      <c r="J472" s="420">
        <v>6400</v>
      </c>
      <c r="K472" s="421"/>
      <c r="L472" s="424">
        <f>L471+Table16[[#This Row],[المدين (إيداع)]]-Table16[[#This Row],[الدائن (السحب)]]</f>
        <v>342264.16999999993</v>
      </c>
    </row>
    <row r="473" spans="1:12" ht="23.25" hidden="1">
      <c r="A473" s="412">
        <f>SUBTOTAL(3,$E$8:E473)</f>
        <v>0</v>
      </c>
      <c r="B473" s="394">
        <v>43020</v>
      </c>
      <c r="C473" s="419" t="s">
        <v>744</v>
      </c>
      <c r="D473" s="417" t="s">
        <v>614</v>
      </c>
      <c r="E473" s="419" t="s">
        <v>773</v>
      </c>
      <c r="F473" s="419" t="s">
        <v>773</v>
      </c>
      <c r="G473" s="423">
        <v>302</v>
      </c>
      <c r="H473" s="419" t="s">
        <v>852</v>
      </c>
      <c r="I473" s="419" t="s">
        <v>853</v>
      </c>
      <c r="J473" s="420"/>
      <c r="K473" s="421">
        <v>180000</v>
      </c>
      <c r="L473" s="424">
        <f>L472+Table16[[#This Row],[المدين (إيداع)]]-Table16[[#This Row],[الدائن (السحب)]]</f>
        <v>162264.16999999993</v>
      </c>
    </row>
    <row r="474" spans="1:12" ht="23.25" hidden="1">
      <c r="A474" s="412">
        <f>SUBTOTAL(3,$E$8:E474)</f>
        <v>0</v>
      </c>
      <c r="B474" s="394">
        <v>43020</v>
      </c>
      <c r="C474" s="419" t="s">
        <v>744</v>
      </c>
      <c r="D474" s="417" t="s">
        <v>1211</v>
      </c>
      <c r="E474" s="419" t="s">
        <v>762</v>
      </c>
      <c r="F474" s="419" t="s">
        <v>763</v>
      </c>
      <c r="G474" s="423">
        <v>68</v>
      </c>
      <c r="H474" s="419"/>
      <c r="I474" s="419" t="s">
        <v>811</v>
      </c>
      <c r="J474" s="420">
        <v>900</v>
      </c>
      <c r="K474" s="421"/>
      <c r="L474" s="424">
        <f>L473+Table16[[#This Row],[المدين (إيداع)]]-Table16[[#This Row],[الدائن (السحب)]]</f>
        <v>163164.16999999993</v>
      </c>
    </row>
    <row r="475" spans="1:12" ht="23.25" hidden="1">
      <c r="A475" s="412">
        <f>SUBTOTAL(3,$E$8:E475)</f>
        <v>0</v>
      </c>
      <c r="B475" s="394">
        <v>43020</v>
      </c>
      <c r="C475" s="419" t="s">
        <v>744</v>
      </c>
      <c r="D475" s="417" t="s">
        <v>1211</v>
      </c>
      <c r="E475" s="419" t="s">
        <v>762</v>
      </c>
      <c r="F475" s="419" t="s">
        <v>763</v>
      </c>
      <c r="G475" s="423">
        <v>918</v>
      </c>
      <c r="H475" s="419"/>
      <c r="I475" s="419" t="s">
        <v>811</v>
      </c>
      <c r="J475" s="420">
        <v>2100</v>
      </c>
      <c r="K475" s="421"/>
      <c r="L475" s="424">
        <f>L474+Table16[[#This Row],[المدين (إيداع)]]-Table16[[#This Row],[الدائن (السحب)]]</f>
        <v>165264.16999999993</v>
      </c>
    </row>
    <row r="476" spans="1:12" ht="23.25" hidden="1">
      <c r="A476" s="412">
        <f>SUBTOTAL(3,$E$8:E476)</f>
        <v>0</v>
      </c>
      <c r="B476" s="394">
        <v>43020</v>
      </c>
      <c r="C476" s="419" t="s">
        <v>744</v>
      </c>
      <c r="D476" s="417" t="s">
        <v>1211</v>
      </c>
      <c r="E476" s="419" t="s">
        <v>762</v>
      </c>
      <c r="F476" s="419" t="s">
        <v>763</v>
      </c>
      <c r="G476" s="423">
        <v>30352</v>
      </c>
      <c r="H476" s="419"/>
      <c r="I476" s="419" t="s">
        <v>811</v>
      </c>
      <c r="J476" s="420">
        <v>750</v>
      </c>
      <c r="K476" s="421"/>
      <c r="L476" s="424">
        <f>L475+Table16[[#This Row],[المدين (إيداع)]]-Table16[[#This Row],[الدائن (السحب)]]</f>
        <v>166014.16999999993</v>
      </c>
    </row>
    <row r="477" spans="1:12" ht="23.25" hidden="1">
      <c r="A477" s="412">
        <f>SUBTOTAL(3,$E$8:E477)</f>
        <v>0</v>
      </c>
      <c r="B477" s="394">
        <v>43020</v>
      </c>
      <c r="C477" s="419" t="s">
        <v>744</v>
      </c>
      <c r="D477" s="417" t="s">
        <v>1121</v>
      </c>
      <c r="E477" s="419" t="s">
        <v>777</v>
      </c>
      <c r="F477" s="419" t="s">
        <v>758</v>
      </c>
      <c r="G477" s="423"/>
      <c r="H477" s="419" t="s">
        <v>778</v>
      </c>
      <c r="I477" s="419" t="s">
        <v>811</v>
      </c>
      <c r="J477" s="420">
        <v>1800</v>
      </c>
      <c r="K477" s="421"/>
      <c r="L477" s="424">
        <f>L476+Table16[[#This Row],[المدين (إيداع)]]-Table16[[#This Row],[الدائن (السحب)]]</f>
        <v>167814.16999999993</v>
      </c>
    </row>
    <row r="478" spans="1:12" ht="23.25" hidden="1">
      <c r="A478" s="412">
        <f>SUBTOTAL(3,$E$8:E478)</f>
        <v>0</v>
      </c>
      <c r="B478" s="394">
        <v>43023</v>
      </c>
      <c r="C478" s="419" t="s">
        <v>744</v>
      </c>
      <c r="D478" s="417" t="s">
        <v>1230</v>
      </c>
      <c r="E478" s="419" t="s">
        <v>1231</v>
      </c>
      <c r="F478" s="419" t="s">
        <v>773</v>
      </c>
      <c r="G478" s="423">
        <v>293</v>
      </c>
      <c r="H478" s="419" t="s">
        <v>913</v>
      </c>
      <c r="I478" s="419" t="s">
        <v>1232</v>
      </c>
      <c r="J478" s="420"/>
      <c r="K478" s="421">
        <v>72667</v>
      </c>
      <c r="L478" s="424">
        <f>L477+Table16[[#This Row],[المدين (إيداع)]]-Table16[[#This Row],[الدائن (السحب)]]</f>
        <v>95147.169999999925</v>
      </c>
    </row>
    <row r="479" spans="1:12" ht="23.25" hidden="1">
      <c r="A479" s="412">
        <f>SUBTOTAL(3,$E$8:E479)</f>
        <v>0</v>
      </c>
      <c r="B479" s="394">
        <v>43023</v>
      </c>
      <c r="C479" s="419" t="s">
        <v>744</v>
      </c>
      <c r="D479" s="417" t="s">
        <v>1233</v>
      </c>
      <c r="E479" s="419" t="s">
        <v>758</v>
      </c>
      <c r="F479" s="419" t="s">
        <v>758</v>
      </c>
      <c r="G479" s="423"/>
      <c r="H479" s="419" t="s">
        <v>1234</v>
      </c>
      <c r="I479" s="419" t="s">
        <v>857</v>
      </c>
      <c r="J479" s="420">
        <v>900</v>
      </c>
      <c r="K479" s="421"/>
      <c r="L479" s="424">
        <f>L478+Table16[[#This Row],[المدين (إيداع)]]-Table16[[#This Row],[الدائن (السحب)]]</f>
        <v>96047.169999999925</v>
      </c>
    </row>
    <row r="480" spans="1:12" ht="23.25" hidden="1">
      <c r="A480" s="412">
        <f>SUBTOTAL(3,$E$8:E480)</f>
        <v>0</v>
      </c>
      <c r="B480" s="394">
        <v>43023</v>
      </c>
      <c r="C480" s="419" t="s">
        <v>744</v>
      </c>
      <c r="D480" s="417" t="s">
        <v>1233</v>
      </c>
      <c r="E480" s="419" t="s">
        <v>758</v>
      </c>
      <c r="F480" s="419" t="s">
        <v>758</v>
      </c>
      <c r="G480" s="423"/>
      <c r="H480" s="419" t="s">
        <v>1235</v>
      </c>
      <c r="I480" s="419" t="s">
        <v>857</v>
      </c>
      <c r="J480" s="420">
        <v>900</v>
      </c>
      <c r="K480" s="421"/>
      <c r="L480" s="424">
        <f>L479+Table16[[#This Row],[المدين (إيداع)]]-Table16[[#This Row],[الدائن (السحب)]]</f>
        <v>96947.169999999925</v>
      </c>
    </row>
    <row r="481" spans="1:12" ht="23.25" hidden="1">
      <c r="A481" s="412">
        <f>SUBTOTAL(3,$E$8:E481)</f>
        <v>0</v>
      </c>
      <c r="B481" s="394">
        <v>43027</v>
      </c>
      <c r="C481" s="419" t="s">
        <v>744</v>
      </c>
      <c r="D481" s="417" t="s">
        <v>1174</v>
      </c>
      <c r="E481" s="419" t="s">
        <v>762</v>
      </c>
      <c r="F481" s="419" t="s">
        <v>763</v>
      </c>
      <c r="G481" s="423">
        <v>535</v>
      </c>
      <c r="H481" s="419" t="s">
        <v>1236</v>
      </c>
      <c r="I481" s="419" t="s">
        <v>748</v>
      </c>
      <c r="J481" s="420">
        <v>3000</v>
      </c>
      <c r="K481" s="421"/>
      <c r="L481" s="424">
        <f>L480+Table16[[#This Row],[المدين (إيداع)]]-Table16[[#This Row],[الدائن (السحب)]]</f>
        <v>99947.169999999925</v>
      </c>
    </row>
    <row r="482" spans="1:12" ht="23.25" hidden="1">
      <c r="A482" s="412">
        <f>SUBTOTAL(3,$E$8:E482)</f>
        <v>0</v>
      </c>
      <c r="B482" s="394">
        <v>43027</v>
      </c>
      <c r="C482" s="419" t="s">
        <v>744</v>
      </c>
      <c r="D482" s="417" t="s">
        <v>1174</v>
      </c>
      <c r="E482" s="419" t="s">
        <v>762</v>
      </c>
      <c r="F482" s="419" t="s">
        <v>763</v>
      </c>
      <c r="G482" s="423">
        <v>5983</v>
      </c>
      <c r="H482" s="419" t="s">
        <v>1237</v>
      </c>
      <c r="I482" s="419" t="s">
        <v>748</v>
      </c>
      <c r="J482" s="420">
        <v>4200</v>
      </c>
      <c r="K482" s="421"/>
      <c r="L482" s="424">
        <f>L481+Table16[[#This Row],[المدين (إيداع)]]-Table16[[#This Row],[الدائن (السحب)]]</f>
        <v>104147.16999999993</v>
      </c>
    </row>
    <row r="483" spans="1:12" ht="23.25" hidden="1">
      <c r="A483" s="412">
        <f>SUBTOTAL(3,$E$8:E483)</f>
        <v>0</v>
      </c>
      <c r="B483" s="394">
        <v>43027</v>
      </c>
      <c r="C483" s="419" t="s">
        <v>744</v>
      </c>
      <c r="D483" s="417" t="s">
        <v>971</v>
      </c>
      <c r="E483" s="419" t="s">
        <v>762</v>
      </c>
      <c r="F483" s="419" t="s">
        <v>763</v>
      </c>
      <c r="G483" s="423">
        <v>337</v>
      </c>
      <c r="H483" s="419" t="s">
        <v>1238</v>
      </c>
      <c r="I483" s="419" t="s">
        <v>974</v>
      </c>
      <c r="J483" s="420">
        <v>8400</v>
      </c>
      <c r="K483" s="421"/>
      <c r="L483" s="424">
        <f>L482+Table16[[#This Row],[المدين (إيداع)]]-Table16[[#This Row],[الدائن (السحب)]]</f>
        <v>112547.16999999993</v>
      </c>
    </row>
    <row r="484" spans="1:12" ht="23.25" hidden="1">
      <c r="A484" s="412">
        <f>SUBTOTAL(3,$E$8:E484)</f>
        <v>0</v>
      </c>
      <c r="B484" s="394">
        <v>43027</v>
      </c>
      <c r="C484" s="419" t="s">
        <v>744</v>
      </c>
      <c r="D484" s="417" t="s">
        <v>1239</v>
      </c>
      <c r="E484" s="419" t="s">
        <v>762</v>
      </c>
      <c r="F484" s="419" t="s">
        <v>763</v>
      </c>
      <c r="G484" s="423">
        <v>14</v>
      </c>
      <c r="H484" s="419" t="s">
        <v>1240</v>
      </c>
      <c r="I484" s="419" t="s">
        <v>857</v>
      </c>
      <c r="J484" s="420">
        <v>2600</v>
      </c>
      <c r="K484" s="421"/>
      <c r="L484" s="424">
        <f>L483+Table16[[#This Row],[المدين (إيداع)]]-Table16[[#This Row],[الدائن (السحب)]]</f>
        <v>115147.16999999993</v>
      </c>
    </row>
    <row r="485" spans="1:12" ht="23.25" hidden="1">
      <c r="A485" s="412">
        <f>SUBTOTAL(3,$E$8:E485)</f>
        <v>0</v>
      </c>
      <c r="B485" s="394">
        <v>43027</v>
      </c>
      <c r="C485" s="419" t="s">
        <v>744</v>
      </c>
      <c r="D485" s="417" t="s">
        <v>1239</v>
      </c>
      <c r="E485" s="419" t="s">
        <v>762</v>
      </c>
      <c r="F485" s="419" t="s">
        <v>763</v>
      </c>
      <c r="G485" s="423">
        <v>148</v>
      </c>
      <c r="H485" s="419" t="s">
        <v>1241</v>
      </c>
      <c r="I485" s="419" t="s">
        <v>857</v>
      </c>
      <c r="J485" s="420">
        <v>750</v>
      </c>
      <c r="K485" s="421"/>
      <c r="L485" s="424">
        <f>L484+Table16[[#This Row],[المدين (إيداع)]]-Table16[[#This Row],[الدائن (السحب)]]</f>
        <v>115897.16999999993</v>
      </c>
    </row>
    <row r="486" spans="1:12" ht="23.25" hidden="1">
      <c r="A486" s="412">
        <f>SUBTOTAL(3,$E$8:E486)</f>
        <v>0</v>
      </c>
      <c r="B486" s="394">
        <v>43027</v>
      </c>
      <c r="C486" s="419" t="s">
        <v>744</v>
      </c>
      <c r="D486" s="417" t="s">
        <v>971</v>
      </c>
      <c r="E486" s="419" t="s">
        <v>762</v>
      </c>
      <c r="F486" s="419" t="s">
        <v>763</v>
      </c>
      <c r="G486" s="423">
        <v>66519344</v>
      </c>
      <c r="H486" s="419" t="s">
        <v>766</v>
      </c>
      <c r="I486" s="419" t="s">
        <v>1177</v>
      </c>
      <c r="J486" s="420">
        <v>16400</v>
      </c>
      <c r="K486" s="421"/>
      <c r="L486" s="424">
        <f>L485+Table16[[#This Row],[المدين (إيداع)]]-Table16[[#This Row],[الدائن (السحب)]]</f>
        <v>132297.16999999993</v>
      </c>
    </row>
    <row r="487" spans="1:12" ht="23.25" hidden="1">
      <c r="A487" s="412">
        <f>SUBTOTAL(3,$E$8:E487)</f>
        <v>0</v>
      </c>
      <c r="B487" s="394">
        <v>43030</v>
      </c>
      <c r="C487" s="419" t="s">
        <v>744</v>
      </c>
      <c r="D487" s="417" t="s">
        <v>1242</v>
      </c>
      <c r="E487" s="419" t="s">
        <v>758</v>
      </c>
      <c r="F487" s="419" t="s">
        <v>758</v>
      </c>
      <c r="G487" s="423"/>
      <c r="H487" s="419"/>
      <c r="I487" s="419" t="s">
        <v>771</v>
      </c>
      <c r="J487" s="420">
        <v>285</v>
      </c>
      <c r="K487" s="421"/>
      <c r="L487" s="424">
        <f>L486+Table16[[#This Row],[المدين (إيداع)]]-Table16[[#This Row],[الدائن (السحب)]]</f>
        <v>132582.16999999993</v>
      </c>
    </row>
    <row r="488" spans="1:12" ht="23.25" hidden="1">
      <c r="A488" s="412">
        <f>SUBTOTAL(3,$E$8:E488)</f>
        <v>0</v>
      </c>
      <c r="B488" s="394">
        <v>43031</v>
      </c>
      <c r="C488" s="419" t="s">
        <v>744</v>
      </c>
      <c r="D488" s="417" t="s">
        <v>1136</v>
      </c>
      <c r="E488" s="419" t="s">
        <v>758</v>
      </c>
      <c r="F488" s="419" t="s">
        <v>758</v>
      </c>
      <c r="G488" s="423"/>
      <c r="H488" s="419" t="s">
        <v>891</v>
      </c>
      <c r="I488" s="419" t="s">
        <v>771</v>
      </c>
      <c r="J488" s="420">
        <v>1650</v>
      </c>
      <c r="K488" s="421"/>
      <c r="L488" s="424">
        <f>L487+Table16[[#This Row],[المدين (إيداع)]]-Table16[[#This Row],[الدائن (السحب)]]</f>
        <v>134232.16999999993</v>
      </c>
    </row>
    <row r="489" spans="1:12" ht="23.25" hidden="1">
      <c r="A489" s="412">
        <f>SUBTOTAL(3,$E$8:E489)</f>
        <v>0</v>
      </c>
      <c r="B489" s="394">
        <v>43031</v>
      </c>
      <c r="C489" s="419" t="s">
        <v>744</v>
      </c>
      <c r="D489" s="417" t="s">
        <v>1136</v>
      </c>
      <c r="E489" s="419" t="s">
        <v>758</v>
      </c>
      <c r="F489" s="419" t="s">
        <v>758</v>
      </c>
      <c r="G489" s="423"/>
      <c r="H489" s="419" t="s">
        <v>891</v>
      </c>
      <c r="I489" s="419" t="s">
        <v>771</v>
      </c>
      <c r="J489" s="420">
        <v>1200</v>
      </c>
      <c r="K489" s="421"/>
      <c r="L489" s="424">
        <f>L488+Table16[[#This Row],[المدين (إيداع)]]-Table16[[#This Row],[الدائن (السحب)]]</f>
        <v>135432.16999999993</v>
      </c>
    </row>
    <row r="490" spans="1:12" ht="23.25" hidden="1">
      <c r="A490" s="412">
        <f>SUBTOTAL(3,$E$8:E490)</f>
        <v>0</v>
      </c>
      <c r="B490" s="394">
        <v>43031</v>
      </c>
      <c r="C490" s="419" t="s">
        <v>744</v>
      </c>
      <c r="D490" s="417" t="s">
        <v>971</v>
      </c>
      <c r="E490" s="419" t="s">
        <v>758</v>
      </c>
      <c r="F490" s="419" t="s">
        <v>758</v>
      </c>
      <c r="G490" s="423"/>
      <c r="H490" s="419" t="s">
        <v>1164</v>
      </c>
      <c r="I490" s="419" t="s">
        <v>974</v>
      </c>
      <c r="J490" s="420">
        <v>21000</v>
      </c>
      <c r="K490" s="421"/>
      <c r="L490" s="424">
        <f>L489+Table16[[#This Row],[المدين (إيداع)]]-Table16[[#This Row],[الدائن (السحب)]]</f>
        <v>156432.16999999993</v>
      </c>
    </row>
    <row r="491" spans="1:12" ht="23.25" hidden="1">
      <c r="A491" s="412">
        <f>SUBTOTAL(3,$E$8:E491)</f>
        <v>0</v>
      </c>
      <c r="B491" s="394">
        <v>43033</v>
      </c>
      <c r="C491" s="419" t="s">
        <v>744</v>
      </c>
      <c r="D491" s="417" t="s">
        <v>1243</v>
      </c>
      <c r="E491" s="419" t="s">
        <v>762</v>
      </c>
      <c r="F491" s="419" t="s">
        <v>763</v>
      </c>
      <c r="G491" s="423">
        <v>356</v>
      </c>
      <c r="H491" s="419" t="s">
        <v>747</v>
      </c>
      <c r="I491" s="419" t="s">
        <v>811</v>
      </c>
      <c r="J491" s="420">
        <v>6000</v>
      </c>
      <c r="K491" s="421"/>
      <c r="L491" s="424">
        <f>L490+Table16[[#This Row],[المدين (إيداع)]]-Table16[[#This Row],[الدائن (السحب)]]</f>
        <v>162432.16999999993</v>
      </c>
    </row>
    <row r="492" spans="1:12" ht="23.25" hidden="1">
      <c r="A492" s="412">
        <f>SUBTOTAL(3,$E$8:E492)</f>
        <v>0</v>
      </c>
      <c r="B492" s="394">
        <v>43033</v>
      </c>
      <c r="C492" s="419" t="s">
        <v>744</v>
      </c>
      <c r="D492" s="417" t="s">
        <v>1243</v>
      </c>
      <c r="E492" s="419" t="s">
        <v>762</v>
      </c>
      <c r="F492" s="419" t="s">
        <v>763</v>
      </c>
      <c r="G492" s="423">
        <v>1431</v>
      </c>
      <c r="H492" s="419" t="s">
        <v>747</v>
      </c>
      <c r="I492" s="419" t="s">
        <v>811</v>
      </c>
      <c r="J492" s="420">
        <v>3000</v>
      </c>
      <c r="K492" s="421"/>
      <c r="L492" s="424">
        <f>L491+Table16[[#This Row],[المدين (إيداع)]]-Table16[[#This Row],[الدائن (السحب)]]</f>
        <v>165432.16999999993</v>
      </c>
    </row>
    <row r="493" spans="1:12" ht="23.25" hidden="1">
      <c r="A493" s="412">
        <f>SUBTOTAL(3,$E$8:E493)</f>
        <v>0</v>
      </c>
      <c r="B493" s="394">
        <v>43034</v>
      </c>
      <c r="C493" s="419" t="s">
        <v>744</v>
      </c>
      <c r="D493" s="417" t="s">
        <v>971</v>
      </c>
      <c r="E493" s="419" t="s">
        <v>758</v>
      </c>
      <c r="F493" s="419" t="s">
        <v>758</v>
      </c>
      <c r="G493" s="423"/>
      <c r="H493" s="419" t="s">
        <v>1061</v>
      </c>
      <c r="I493" s="419" t="s">
        <v>974</v>
      </c>
      <c r="J493" s="420">
        <v>12000</v>
      </c>
      <c r="K493" s="421"/>
      <c r="L493" s="424">
        <f>L492+Table16[[#This Row],[المدين (إيداع)]]-Table16[[#This Row],[الدائن (السحب)]]</f>
        <v>177432.16999999993</v>
      </c>
    </row>
    <row r="494" spans="1:12" ht="23.25" hidden="1">
      <c r="A494" s="412">
        <f>SUBTOTAL(3,$E$8:E494)</f>
        <v>0</v>
      </c>
      <c r="B494" s="394">
        <v>43038</v>
      </c>
      <c r="C494" s="419" t="s">
        <v>744</v>
      </c>
      <c r="D494" s="417" t="s">
        <v>1243</v>
      </c>
      <c r="E494" s="419" t="s">
        <v>762</v>
      </c>
      <c r="F494" s="419" t="s">
        <v>763</v>
      </c>
      <c r="G494" s="423">
        <v>993320</v>
      </c>
      <c r="H494" s="419" t="s">
        <v>747</v>
      </c>
      <c r="I494" s="419" t="s">
        <v>811</v>
      </c>
      <c r="J494" s="420">
        <v>3300</v>
      </c>
      <c r="K494" s="421"/>
      <c r="L494" s="424">
        <f>L493+Table16[[#This Row],[المدين (إيداع)]]-Table16[[#This Row],[الدائن (السحب)]]</f>
        <v>180732.16999999993</v>
      </c>
    </row>
    <row r="495" spans="1:12" ht="23.25" hidden="1">
      <c r="A495" s="412">
        <f>SUBTOTAL(3,$E$8:E495)</f>
        <v>0</v>
      </c>
      <c r="B495" s="394">
        <v>43039</v>
      </c>
      <c r="C495" s="419" t="s">
        <v>744</v>
      </c>
      <c r="D495" s="417" t="s">
        <v>1165</v>
      </c>
      <c r="E495" s="419" t="s">
        <v>758</v>
      </c>
      <c r="F495" s="419" t="s">
        <v>758</v>
      </c>
      <c r="G495" s="423"/>
      <c r="H495" s="419" t="s">
        <v>1244</v>
      </c>
      <c r="I495" s="419" t="s">
        <v>811</v>
      </c>
      <c r="J495" s="420">
        <v>4400</v>
      </c>
      <c r="K495" s="421"/>
      <c r="L495" s="424">
        <f>L494+Table16[[#This Row],[المدين (إيداع)]]-Table16[[#This Row],[الدائن (السحب)]]</f>
        <v>185132.16999999993</v>
      </c>
    </row>
    <row r="496" spans="1:12" ht="23.25" hidden="1">
      <c r="A496" s="412">
        <f>SUBTOTAL(3,$E$8:E496)</f>
        <v>0</v>
      </c>
      <c r="B496" s="394">
        <v>43039</v>
      </c>
      <c r="C496" s="419" t="s">
        <v>744</v>
      </c>
      <c r="D496" s="417" t="s">
        <v>1148</v>
      </c>
      <c r="E496" s="419" t="s">
        <v>758</v>
      </c>
      <c r="F496" s="419" t="s">
        <v>758</v>
      </c>
      <c r="G496" s="423"/>
      <c r="H496" s="419" t="s">
        <v>1245</v>
      </c>
      <c r="I496" s="419" t="s">
        <v>1149</v>
      </c>
      <c r="J496" s="420">
        <v>1200</v>
      </c>
      <c r="K496" s="421"/>
      <c r="L496" s="424">
        <f>L495+Table16[[#This Row],[المدين (إيداع)]]-Table16[[#This Row],[الدائن (السحب)]]</f>
        <v>186332.16999999993</v>
      </c>
    </row>
    <row r="497" spans="1:12" ht="23.25" hidden="1">
      <c r="A497" s="412">
        <f>SUBTOTAL(3,$E$8:E497)</f>
        <v>0</v>
      </c>
      <c r="B497" s="394">
        <v>43040</v>
      </c>
      <c r="C497" s="419" t="s">
        <v>744</v>
      </c>
      <c r="D497" s="417" t="s">
        <v>1049</v>
      </c>
      <c r="E497" s="419" t="s">
        <v>758</v>
      </c>
      <c r="F497" s="419" t="s">
        <v>758</v>
      </c>
      <c r="G497" s="423"/>
      <c r="H497" s="419" t="s">
        <v>1183</v>
      </c>
      <c r="I497" s="419" t="s">
        <v>1184</v>
      </c>
      <c r="J497" s="420">
        <v>2000</v>
      </c>
      <c r="K497" s="421"/>
      <c r="L497" s="424">
        <f>L496+Table16[[#This Row],[المدين (إيداع)]]-Table16[[#This Row],[الدائن (السحب)]]</f>
        <v>188332.16999999993</v>
      </c>
    </row>
    <row r="498" spans="1:12" ht="23.25" hidden="1">
      <c r="A498" s="412">
        <f>SUBTOTAL(3,$E$8:E498)</f>
        <v>0</v>
      </c>
      <c r="B498" s="394">
        <v>43041</v>
      </c>
      <c r="C498" s="419" t="s">
        <v>744</v>
      </c>
      <c r="D498" s="417" t="s">
        <v>971</v>
      </c>
      <c r="E498" s="419" t="s">
        <v>762</v>
      </c>
      <c r="F498" s="419" t="s">
        <v>763</v>
      </c>
      <c r="G498" s="423">
        <v>3681</v>
      </c>
      <c r="H498" s="419" t="s">
        <v>1246</v>
      </c>
      <c r="I498" s="419" t="s">
        <v>1247</v>
      </c>
      <c r="J498" s="420">
        <v>24000</v>
      </c>
      <c r="K498" s="421"/>
      <c r="L498" s="424">
        <f>L497+Table16[[#This Row],[المدين (إيداع)]]-Table16[[#This Row],[الدائن (السحب)]]</f>
        <v>212332.16999999993</v>
      </c>
    </row>
    <row r="499" spans="1:12" ht="23.25" hidden="1">
      <c r="A499" s="412">
        <f>SUBTOTAL(3,$E$8:E499)</f>
        <v>0</v>
      </c>
      <c r="B499" s="394">
        <v>43041</v>
      </c>
      <c r="C499" s="419" t="s">
        <v>744</v>
      </c>
      <c r="D499" s="417" t="s">
        <v>768</v>
      </c>
      <c r="E499" s="419" t="s">
        <v>762</v>
      </c>
      <c r="F499" s="419" t="s">
        <v>763</v>
      </c>
      <c r="G499" s="423">
        <v>1722</v>
      </c>
      <c r="H499" s="419"/>
      <c r="I499" s="419" t="s">
        <v>814</v>
      </c>
      <c r="J499" s="420">
        <v>4200</v>
      </c>
      <c r="K499" s="421"/>
      <c r="L499" s="424">
        <f>L498+Table16[[#This Row],[المدين (إيداع)]]-Table16[[#This Row],[الدائن (السحب)]]</f>
        <v>216532.16999999993</v>
      </c>
    </row>
    <row r="500" spans="1:12" ht="23.25" hidden="1">
      <c r="A500" s="412">
        <f>SUBTOTAL(3,$E$8:E500)</f>
        <v>0</v>
      </c>
      <c r="B500" s="394">
        <v>43041</v>
      </c>
      <c r="C500" s="419" t="s">
        <v>744</v>
      </c>
      <c r="D500" s="417" t="s">
        <v>768</v>
      </c>
      <c r="E500" s="419" t="s">
        <v>762</v>
      </c>
      <c r="F500" s="419" t="s">
        <v>763</v>
      </c>
      <c r="G500" s="423">
        <v>1012</v>
      </c>
      <c r="H500" s="419"/>
      <c r="I500" s="419" t="s">
        <v>814</v>
      </c>
      <c r="J500" s="420">
        <v>3000</v>
      </c>
      <c r="K500" s="421"/>
      <c r="L500" s="424">
        <f>L499+Table16[[#This Row],[المدين (إيداع)]]-Table16[[#This Row],[الدائن (السحب)]]</f>
        <v>219532.16999999993</v>
      </c>
    </row>
    <row r="501" spans="1:12" ht="23.25" hidden="1">
      <c r="A501" s="412">
        <f>SUBTOTAL(3,$E$8:E501)</f>
        <v>0</v>
      </c>
      <c r="B501" s="394">
        <v>43041</v>
      </c>
      <c r="C501" s="419" t="s">
        <v>744</v>
      </c>
      <c r="D501" s="417" t="s">
        <v>971</v>
      </c>
      <c r="E501" s="419" t="s">
        <v>795</v>
      </c>
      <c r="F501" s="419" t="s">
        <v>758</v>
      </c>
      <c r="G501" s="423"/>
      <c r="H501" s="419" t="s">
        <v>796</v>
      </c>
      <c r="I501" s="419" t="s">
        <v>797</v>
      </c>
      <c r="J501" s="420">
        <v>49200</v>
      </c>
      <c r="K501" s="421"/>
      <c r="L501" s="424">
        <f>L500+Table16[[#This Row],[المدين (إيداع)]]-Table16[[#This Row],[الدائن (السحب)]]</f>
        <v>268732.16999999993</v>
      </c>
    </row>
    <row r="502" spans="1:12" ht="23.25" hidden="1">
      <c r="A502" s="412">
        <f>SUBTOTAL(3,$E$8:E502)</f>
        <v>0</v>
      </c>
      <c r="B502" s="394">
        <v>43041</v>
      </c>
      <c r="C502" s="419" t="s">
        <v>744</v>
      </c>
      <c r="D502" s="417" t="s">
        <v>752</v>
      </c>
      <c r="E502" s="419" t="s">
        <v>753</v>
      </c>
      <c r="F502" s="419" t="s">
        <v>754</v>
      </c>
      <c r="G502" s="423"/>
      <c r="H502" s="419" t="s">
        <v>755</v>
      </c>
      <c r="I502" s="419" t="s">
        <v>754</v>
      </c>
      <c r="J502" s="420"/>
      <c r="K502" s="421">
        <v>25</v>
      </c>
      <c r="L502" s="424">
        <f>L501+Table16[[#This Row],[المدين (إيداع)]]-Table16[[#This Row],[الدائن (السحب)]]</f>
        <v>268707.16999999993</v>
      </c>
    </row>
    <row r="503" spans="1:12" ht="23.25" hidden="1">
      <c r="A503" s="412">
        <f>SUBTOTAL(3,$E$8:E503)</f>
        <v>0</v>
      </c>
      <c r="B503" s="394">
        <v>43044</v>
      </c>
      <c r="C503" s="419" t="s">
        <v>744</v>
      </c>
      <c r="D503" s="417" t="s">
        <v>1165</v>
      </c>
      <c r="E503" s="419" t="s">
        <v>1166</v>
      </c>
      <c r="F503" s="419" t="s">
        <v>758</v>
      </c>
      <c r="G503" s="423"/>
      <c r="H503" s="419" t="s">
        <v>1248</v>
      </c>
      <c r="I503" s="419" t="s">
        <v>811</v>
      </c>
      <c r="J503" s="420">
        <v>300</v>
      </c>
      <c r="K503" s="421"/>
      <c r="L503" s="424">
        <f>L502+Table16[[#This Row],[المدين (إيداع)]]-Table16[[#This Row],[الدائن (السحب)]]</f>
        <v>269007.16999999993</v>
      </c>
    </row>
    <row r="504" spans="1:12" ht="23.25" hidden="1">
      <c r="A504" s="412">
        <f>SUBTOTAL(3,$E$8:E504)</f>
        <v>0</v>
      </c>
      <c r="B504" s="394">
        <v>43044</v>
      </c>
      <c r="C504" s="419" t="s">
        <v>744</v>
      </c>
      <c r="D504" s="417" t="s">
        <v>1249</v>
      </c>
      <c r="E504" s="419" t="s">
        <v>758</v>
      </c>
      <c r="F504" s="419" t="s">
        <v>758</v>
      </c>
      <c r="G504" s="423"/>
      <c r="H504" s="419" t="s">
        <v>785</v>
      </c>
      <c r="I504" s="419" t="s">
        <v>974</v>
      </c>
      <c r="J504" s="420">
        <v>7000</v>
      </c>
      <c r="K504" s="421"/>
      <c r="L504" s="424">
        <f>L503+Table16[[#This Row],[المدين (إيداع)]]-Table16[[#This Row],[الدائن (السحب)]]</f>
        <v>276007.16999999993</v>
      </c>
    </row>
    <row r="505" spans="1:12" ht="23.25" hidden="1">
      <c r="A505" s="412">
        <f>SUBTOTAL(3,$E$8:E505)</f>
        <v>0</v>
      </c>
      <c r="B505" s="394">
        <v>43045</v>
      </c>
      <c r="C505" s="419" t="s">
        <v>744</v>
      </c>
      <c r="D505" s="417" t="s">
        <v>971</v>
      </c>
      <c r="E505" s="419" t="s">
        <v>762</v>
      </c>
      <c r="F505" s="419" t="s">
        <v>763</v>
      </c>
      <c r="G505" s="423">
        <v>347</v>
      </c>
      <c r="H505" s="419" t="s">
        <v>1250</v>
      </c>
      <c r="I505" s="419" t="s">
        <v>974</v>
      </c>
      <c r="J505" s="420">
        <v>1950</v>
      </c>
      <c r="K505" s="421"/>
      <c r="L505" s="424">
        <f>L504+Table16[[#This Row],[المدين (إيداع)]]-Table16[[#This Row],[الدائن (السحب)]]</f>
        <v>277957.16999999993</v>
      </c>
    </row>
    <row r="506" spans="1:12" ht="23.25" hidden="1">
      <c r="A506" s="412">
        <f>SUBTOTAL(3,$E$8:E506)</f>
        <v>0</v>
      </c>
      <c r="B506" s="394">
        <v>43045</v>
      </c>
      <c r="C506" s="419" t="s">
        <v>744</v>
      </c>
      <c r="D506" s="417" t="s">
        <v>1251</v>
      </c>
      <c r="E506" s="419" t="s">
        <v>773</v>
      </c>
      <c r="F506" s="419" t="s">
        <v>773</v>
      </c>
      <c r="G506" s="423">
        <v>357</v>
      </c>
      <c r="H506" s="419" t="s">
        <v>792</v>
      </c>
      <c r="I506" s="419"/>
      <c r="J506" s="420"/>
      <c r="K506" s="421">
        <v>102272</v>
      </c>
      <c r="L506" s="424">
        <f>L505+Table16[[#This Row],[المدين (إيداع)]]-Table16[[#This Row],[الدائن (السحب)]]</f>
        <v>175685.16999999993</v>
      </c>
    </row>
    <row r="507" spans="1:12" ht="23.25" hidden="1">
      <c r="A507" s="412">
        <f>SUBTOTAL(3,$E$8:E507)</f>
        <v>0</v>
      </c>
      <c r="B507" s="394">
        <v>43048</v>
      </c>
      <c r="C507" s="419"/>
      <c r="D507" s="417" t="s">
        <v>1062</v>
      </c>
      <c r="E507" s="419" t="s">
        <v>1063</v>
      </c>
      <c r="F507" s="419" t="s">
        <v>1063</v>
      </c>
      <c r="G507" s="423">
        <v>1211</v>
      </c>
      <c r="H507" s="419"/>
      <c r="I507" s="419"/>
      <c r="J507" s="420"/>
      <c r="K507" s="421">
        <v>3600</v>
      </c>
      <c r="L507" s="424">
        <f>L506+Table16[[#This Row],[المدين (إيداع)]]-Table16[[#This Row],[الدائن (السحب)]]</f>
        <v>172085.16999999993</v>
      </c>
    </row>
    <row r="508" spans="1:12" ht="23.25" hidden="1">
      <c r="A508" s="412">
        <f>SUBTOTAL(3,$E$8:E508)</f>
        <v>0</v>
      </c>
      <c r="B508" s="394">
        <v>43048</v>
      </c>
      <c r="C508" s="419"/>
      <c r="D508" s="417" t="s">
        <v>1062</v>
      </c>
      <c r="E508" s="419" t="s">
        <v>762</v>
      </c>
      <c r="F508" s="419" t="s">
        <v>763</v>
      </c>
      <c r="G508" s="423">
        <v>1211</v>
      </c>
      <c r="H508" s="419"/>
      <c r="I508" s="419"/>
      <c r="J508" s="420">
        <v>3600</v>
      </c>
      <c r="K508" s="421"/>
      <c r="L508" s="424">
        <f>L507+Table16[[#This Row],[المدين (إيداع)]]-Table16[[#This Row],[الدائن (السحب)]]</f>
        <v>175685.16999999993</v>
      </c>
    </row>
    <row r="509" spans="1:12" ht="23.25" hidden="1">
      <c r="A509" s="412">
        <f>SUBTOTAL(3,$E$8:E509)</f>
        <v>0</v>
      </c>
      <c r="B509" s="394">
        <v>43049</v>
      </c>
      <c r="C509" s="419" t="s">
        <v>744</v>
      </c>
      <c r="D509" s="417" t="s">
        <v>1252</v>
      </c>
      <c r="E509" s="419" t="s">
        <v>762</v>
      </c>
      <c r="F509" s="419" t="s">
        <v>763</v>
      </c>
      <c r="G509" s="423">
        <v>109</v>
      </c>
      <c r="H509" s="419" t="s">
        <v>747</v>
      </c>
      <c r="I509" s="419" t="s">
        <v>811</v>
      </c>
      <c r="J509" s="420">
        <v>900</v>
      </c>
      <c r="K509" s="421"/>
      <c r="L509" s="424">
        <f>L508+Table16[[#This Row],[المدين (إيداع)]]-Table16[[#This Row],[الدائن (السحب)]]</f>
        <v>176585.16999999993</v>
      </c>
    </row>
    <row r="510" spans="1:12" ht="23.25" hidden="1">
      <c r="A510" s="412">
        <f>SUBTOTAL(3,$E$8:E510)</f>
        <v>0</v>
      </c>
      <c r="B510" s="394">
        <v>43049</v>
      </c>
      <c r="C510" s="419" t="s">
        <v>744</v>
      </c>
      <c r="D510" s="417" t="s">
        <v>971</v>
      </c>
      <c r="E510" s="419" t="s">
        <v>762</v>
      </c>
      <c r="F510" s="419" t="s">
        <v>763</v>
      </c>
      <c r="G510" s="423">
        <v>3788</v>
      </c>
      <c r="H510" s="419" t="s">
        <v>1253</v>
      </c>
      <c r="I510" s="419" t="s">
        <v>1177</v>
      </c>
      <c r="J510" s="420">
        <v>9450</v>
      </c>
      <c r="K510" s="421"/>
      <c r="L510" s="424">
        <f>L509+Table16[[#This Row],[المدين (إيداع)]]-Table16[[#This Row],[الدائن (السحب)]]</f>
        <v>186035.16999999993</v>
      </c>
    </row>
    <row r="511" spans="1:12" ht="23.25" hidden="1">
      <c r="A511" s="412">
        <f>SUBTOTAL(3,$E$8:E511)</f>
        <v>0</v>
      </c>
      <c r="B511" s="394">
        <v>43049</v>
      </c>
      <c r="C511" s="419" t="s">
        <v>744</v>
      </c>
      <c r="D511" s="417" t="s">
        <v>971</v>
      </c>
      <c r="E511" s="419" t="s">
        <v>762</v>
      </c>
      <c r="F511" s="419" t="s">
        <v>763</v>
      </c>
      <c r="G511" s="423">
        <v>93</v>
      </c>
      <c r="H511" s="419" t="s">
        <v>1254</v>
      </c>
      <c r="I511" s="419" t="s">
        <v>974</v>
      </c>
      <c r="J511" s="420">
        <v>6000</v>
      </c>
      <c r="K511" s="421"/>
      <c r="L511" s="424">
        <f>L510+Table16[[#This Row],[المدين (إيداع)]]-Table16[[#This Row],[الدائن (السحب)]]</f>
        <v>192035.16999999993</v>
      </c>
    </row>
    <row r="512" spans="1:12" ht="23.25" hidden="1">
      <c r="A512" s="412">
        <f>SUBTOTAL(3,$E$8:E512)</f>
        <v>0</v>
      </c>
      <c r="B512" s="394">
        <v>43049</v>
      </c>
      <c r="C512" s="419" t="s">
        <v>744</v>
      </c>
      <c r="D512" s="417" t="s">
        <v>1174</v>
      </c>
      <c r="E512" s="419" t="s">
        <v>762</v>
      </c>
      <c r="F512" s="419" t="s">
        <v>763</v>
      </c>
      <c r="G512" s="423">
        <v>302</v>
      </c>
      <c r="H512" s="419" t="s">
        <v>1255</v>
      </c>
      <c r="I512" s="419" t="s">
        <v>748</v>
      </c>
      <c r="J512" s="420">
        <v>3600</v>
      </c>
      <c r="K512" s="421"/>
      <c r="L512" s="424">
        <f>L511+Table16[[#This Row],[المدين (إيداع)]]-Table16[[#This Row],[الدائن (السحب)]]</f>
        <v>195635.16999999993</v>
      </c>
    </row>
    <row r="513" spans="1:12" ht="23.25" hidden="1">
      <c r="A513" s="412">
        <f>SUBTOTAL(3,$E$8:E513)</f>
        <v>0</v>
      </c>
      <c r="B513" s="394">
        <v>43049</v>
      </c>
      <c r="C513" s="419" t="s">
        <v>744</v>
      </c>
      <c r="D513" s="417" t="s">
        <v>1159</v>
      </c>
      <c r="E513" s="419" t="s">
        <v>762</v>
      </c>
      <c r="F513" s="419" t="s">
        <v>763</v>
      </c>
      <c r="G513" s="423">
        <v>4618</v>
      </c>
      <c r="H513" s="419" t="s">
        <v>1256</v>
      </c>
      <c r="I513" s="419" t="s">
        <v>857</v>
      </c>
      <c r="J513" s="420">
        <v>900</v>
      </c>
      <c r="K513" s="421"/>
      <c r="L513" s="424">
        <f>L512+Table16[[#This Row],[المدين (إيداع)]]-Table16[[#This Row],[الدائن (السحب)]]</f>
        <v>196535.16999999993</v>
      </c>
    </row>
    <row r="514" spans="1:12" ht="23.25" hidden="1">
      <c r="A514" s="412">
        <f>SUBTOTAL(3,$E$8:E514)</f>
        <v>0</v>
      </c>
      <c r="B514" s="394">
        <v>43049</v>
      </c>
      <c r="C514" s="419" t="s">
        <v>744</v>
      </c>
      <c r="D514" s="417" t="s">
        <v>971</v>
      </c>
      <c r="E514" s="419" t="s">
        <v>762</v>
      </c>
      <c r="F514" s="419" t="s">
        <v>763</v>
      </c>
      <c r="G514" s="423">
        <v>66519366</v>
      </c>
      <c r="H514" s="419" t="s">
        <v>766</v>
      </c>
      <c r="I514" s="419" t="s">
        <v>974</v>
      </c>
      <c r="J514" s="420">
        <v>16400</v>
      </c>
      <c r="K514" s="421"/>
      <c r="L514" s="424">
        <f>L513+Table16[[#This Row],[المدين (إيداع)]]-Table16[[#This Row],[الدائن (السحب)]]</f>
        <v>212935.16999999993</v>
      </c>
    </row>
    <row r="515" spans="1:12" ht="23.25" hidden="1">
      <c r="A515" s="412">
        <f>SUBTOTAL(3,$E$8:E515)</f>
        <v>0</v>
      </c>
      <c r="B515" s="394">
        <v>43050</v>
      </c>
      <c r="C515" s="419" t="s">
        <v>744</v>
      </c>
      <c r="D515" s="417" t="s">
        <v>1257</v>
      </c>
      <c r="E515" s="419" t="s">
        <v>758</v>
      </c>
      <c r="F515" s="419" t="s">
        <v>758</v>
      </c>
      <c r="G515" s="423"/>
      <c r="H515" s="419" t="s">
        <v>775</v>
      </c>
      <c r="I515" s="419" t="s">
        <v>771</v>
      </c>
      <c r="J515" s="420">
        <v>300</v>
      </c>
      <c r="K515" s="421"/>
      <c r="L515" s="424">
        <f>L514+Table16[[#This Row],[المدين (إيداع)]]-Table16[[#This Row],[الدائن (السحب)]]</f>
        <v>213235.16999999993</v>
      </c>
    </row>
    <row r="516" spans="1:12" ht="23.25" hidden="1">
      <c r="A516" s="412">
        <f>SUBTOTAL(3,$E$8:E516)</f>
        <v>0</v>
      </c>
      <c r="B516" s="394">
        <v>43051</v>
      </c>
      <c r="C516" s="419" t="s">
        <v>744</v>
      </c>
      <c r="D516" s="417" t="s">
        <v>1258</v>
      </c>
      <c r="E516" s="419" t="s">
        <v>921</v>
      </c>
      <c r="F516" s="419" t="s">
        <v>746</v>
      </c>
      <c r="G516" s="423"/>
      <c r="H516" s="419" t="s">
        <v>922</v>
      </c>
      <c r="I516" s="419" t="s">
        <v>820</v>
      </c>
      <c r="J516" s="420">
        <v>50000</v>
      </c>
      <c r="K516" s="421"/>
      <c r="L516" s="424">
        <f>L515+Table16[[#This Row],[المدين (إيداع)]]-Table16[[#This Row],[الدائن (السحب)]]</f>
        <v>263235.16999999993</v>
      </c>
    </row>
    <row r="517" spans="1:12" ht="23.25" hidden="1">
      <c r="A517" s="412">
        <f>SUBTOTAL(3,$E$8:E517)</f>
        <v>0</v>
      </c>
      <c r="B517" s="394">
        <v>43051</v>
      </c>
      <c r="C517" s="419" t="s">
        <v>744</v>
      </c>
      <c r="D517" s="417" t="s">
        <v>1259</v>
      </c>
      <c r="E517" s="419" t="s">
        <v>762</v>
      </c>
      <c r="F517" s="419" t="s">
        <v>763</v>
      </c>
      <c r="G517" s="423">
        <v>1756</v>
      </c>
      <c r="H517" s="419" t="s">
        <v>1260</v>
      </c>
      <c r="I517" s="419" t="s">
        <v>1261</v>
      </c>
      <c r="J517" s="420">
        <v>2100</v>
      </c>
      <c r="K517" s="421"/>
      <c r="L517" s="424">
        <f>L516+Table16[[#This Row],[المدين (إيداع)]]-Table16[[#This Row],[الدائن (السحب)]]</f>
        <v>265335.16999999993</v>
      </c>
    </row>
    <row r="518" spans="1:12" ht="23.25" hidden="1">
      <c r="A518" s="412">
        <f>SUBTOTAL(3,$E$8:E518)</f>
        <v>0</v>
      </c>
      <c r="B518" s="394">
        <v>43051</v>
      </c>
      <c r="C518" s="419" t="s">
        <v>744</v>
      </c>
      <c r="D518" s="417" t="s">
        <v>1228</v>
      </c>
      <c r="E518" s="419" t="s">
        <v>830</v>
      </c>
      <c r="F518" s="419" t="s">
        <v>758</v>
      </c>
      <c r="G518" s="423"/>
      <c r="H518" s="419" t="s">
        <v>831</v>
      </c>
      <c r="I518" s="419" t="s">
        <v>1229</v>
      </c>
      <c r="J518" s="420">
        <v>3200</v>
      </c>
      <c r="K518" s="421"/>
      <c r="L518" s="424">
        <f>L517+Table16[[#This Row],[المدين (إيداع)]]-Table16[[#This Row],[الدائن (السحب)]]</f>
        <v>268535.16999999993</v>
      </c>
    </row>
    <row r="519" spans="1:12" ht="23.25" hidden="1">
      <c r="A519" s="412">
        <f>SUBTOTAL(3,$E$8:E519)</f>
        <v>0</v>
      </c>
      <c r="B519" s="394">
        <v>43052</v>
      </c>
      <c r="C519" s="419" t="s">
        <v>744</v>
      </c>
      <c r="D519" s="417" t="s">
        <v>867</v>
      </c>
      <c r="E519" s="419" t="s">
        <v>868</v>
      </c>
      <c r="F519" s="419" t="s">
        <v>868</v>
      </c>
      <c r="G519" s="423" t="s">
        <v>1262</v>
      </c>
      <c r="H519" s="419" t="s">
        <v>755</v>
      </c>
      <c r="I519" s="419" t="s">
        <v>868</v>
      </c>
      <c r="J519" s="420"/>
      <c r="K519" s="421">
        <v>750</v>
      </c>
      <c r="L519" s="424">
        <f>L518+Table16[[#This Row],[المدين (إيداع)]]-Table16[[#This Row],[الدائن (السحب)]]</f>
        <v>267785.16999999993</v>
      </c>
    </row>
    <row r="520" spans="1:12" ht="23.25" hidden="1">
      <c r="A520" s="412">
        <f>SUBTOTAL(3,$E$8:E520)</f>
        <v>0</v>
      </c>
      <c r="B520" s="394">
        <v>43052</v>
      </c>
      <c r="C520" s="419" t="s">
        <v>744</v>
      </c>
      <c r="D520" s="417" t="s">
        <v>867</v>
      </c>
      <c r="E520" s="419" t="s">
        <v>868</v>
      </c>
      <c r="F520" s="419" t="s">
        <v>868</v>
      </c>
      <c r="G520" s="423" t="s">
        <v>1263</v>
      </c>
      <c r="H520" s="419" t="s">
        <v>755</v>
      </c>
      <c r="I520" s="419" t="s">
        <v>868</v>
      </c>
      <c r="J520" s="420"/>
      <c r="K520" s="421">
        <v>1610</v>
      </c>
      <c r="L520" s="424">
        <f>L519+Table16[[#This Row],[المدين (إيداع)]]-Table16[[#This Row],[الدائن (السحب)]]</f>
        <v>266175.16999999993</v>
      </c>
    </row>
    <row r="521" spans="1:12" ht="23.25" hidden="1">
      <c r="A521" s="412">
        <f>SUBTOTAL(3,$E$8:E521)</f>
        <v>0</v>
      </c>
      <c r="B521" s="394">
        <v>43052</v>
      </c>
      <c r="C521" s="419" t="s">
        <v>744</v>
      </c>
      <c r="D521" s="417" t="s">
        <v>867</v>
      </c>
      <c r="E521" s="419" t="s">
        <v>868</v>
      </c>
      <c r="F521" s="419" t="s">
        <v>868</v>
      </c>
      <c r="G521" s="423" t="s">
        <v>1264</v>
      </c>
      <c r="H521" s="419" t="s">
        <v>755</v>
      </c>
      <c r="I521" s="419" t="s">
        <v>868</v>
      </c>
      <c r="J521" s="420"/>
      <c r="K521" s="421">
        <v>2700</v>
      </c>
      <c r="L521" s="424">
        <f>L520+Table16[[#This Row],[المدين (إيداع)]]-Table16[[#This Row],[الدائن (السحب)]]</f>
        <v>263475.16999999993</v>
      </c>
    </row>
    <row r="522" spans="1:12" ht="23.25" hidden="1">
      <c r="A522" s="412">
        <f>SUBTOTAL(3,$E$8:E522)</f>
        <v>0</v>
      </c>
      <c r="B522" s="394">
        <v>43052</v>
      </c>
      <c r="C522" s="419" t="s">
        <v>744</v>
      </c>
      <c r="D522" s="417" t="s">
        <v>867</v>
      </c>
      <c r="E522" s="419" t="s">
        <v>868</v>
      </c>
      <c r="F522" s="419" t="s">
        <v>868</v>
      </c>
      <c r="G522" s="423" t="s">
        <v>1264</v>
      </c>
      <c r="H522" s="419" t="s">
        <v>755</v>
      </c>
      <c r="I522" s="419" t="s">
        <v>868</v>
      </c>
      <c r="J522" s="420"/>
      <c r="K522" s="421">
        <v>750</v>
      </c>
      <c r="L522" s="424">
        <f>L521+Table16[[#This Row],[المدين (إيداع)]]-Table16[[#This Row],[الدائن (السحب)]]</f>
        <v>262725.16999999993</v>
      </c>
    </row>
    <row r="523" spans="1:12" ht="23.25" hidden="1">
      <c r="A523" s="412">
        <f>SUBTOTAL(3,$E$8:E523)</f>
        <v>0</v>
      </c>
      <c r="B523" s="394">
        <v>43052</v>
      </c>
      <c r="C523" s="419" t="s">
        <v>744</v>
      </c>
      <c r="D523" s="417" t="s">
        <v>1228</v>
      </c>
      <c r="E523" s="419" t="s">
        <v>758</v>
      </c>
      <c r="F523" s="419" t="s">
        <v>758</v>
      </c>
      <c r="G523" s="423"/>
      <c r="H523" s="419" t="s">
        <v>1265</v>
      </c>
      <c r="I523" s="419" t="s">
        <v>1229</v>
      </c>
      <c r="J523" s="420">
        <v>1200</v>
      </c>
      <c r="K523" s="421"/>
      <c r="L523" s="424">
        <f>L522+Table16[[#This Row],[المدين (إيداع)]]-Table16[[#This Row],[الدائن (السحب)]]</f>
        <v>263925.16999999993</v>
      </c>
    </row>
    <row r="524" spans="1:12" ht="23.25" hidden="1">
      <c r="A524" s="412">
        <f>SUBTOTAL(3,$E$8:E524)</f>
        <v>0</v>
      </c>
      <c r="B524" s="394">
        <v>43054</v>
      </c>
      <c r="C524" s="419" t="s">
        <v>744</v>
      </c>
      <c r="D524" s="417" t="s">
        <v>1266</v>
      </c>
      <c r="E524" s="419" t="s">
        <v>1267</v>
      </c>
      <c r="F524" s="419" t="s">
        <v>773</v>
      </c>
      <c r="G524" s="423">
        <v>304</v>
      </c>
      <c r="H524" s="419" t="s">
        <v>913</v>
      </c>
      <c r="I524" s="419" t="s">
        <v>1268</v>
      </c>
      <c r="J524" s="420"/>
      <c r="K524" s="421">
        <v>72667</v>
      </c>
      <c r="L524" s="424">
        <f>L523+Table16[[#This Row],[المدين (إيداع)]]-Table16[[#This Row],[الدائن (السحب)]]</f>
        <v>191258.16999999993</v>
      </c>
    </row>
    <row r="525" spans="1:12" ht="23.25" hidden="1">
      <c r="A525" s="412">
        <f>SUBTOTAL(3,$E$8:E525)</f>
        <v>0</v>
      </c>
      <c r="B525" s="394">
        <v>43054</v>
      </c>
      <c r="C525" s="419"/>
      <c r="D525" s="417" t="s">
        <v>1062</v>
      </c>
      <c r="E525" s="419" t="s">
        <v>1063</v>
      </c>
      <c r="F525" s="419" t="s">
        <v>1063</v>
      </c>
      <c r="G525" s="423">
        <v>30</v>
      </c>
      <c r="H525" s="419" t="s">
        <v>1269</v>
      </c>
      <c r="I525" s="419" t="s">
        <v>1261</v>
      </c>
      <c r="J525" s="420"/>
      <c r="K525" s="421">
        <v>900</v>
      </c>
      <c r="L525" s="424">
        <f>L524+Table16[[#This Row],[المدين (إيداع)]]-Table16[[#This Row],[الدائن (السحب)]]</f>
        <v>190358.16999999993</v>
      </c>
    </row>
    <row r="526" spans="1:12" ht="23.25" hidden="1">
      <c r="A526" s="412">
        <f>SUBTOTAL(3,$E$8:E526)</f>
        <v>0</v>
      </c>
      <c r="B526" s="394">
        <v>43054</v>
      </c>
      <c r="C526" s="419"/>
      <c r="D526" s="417" t="s">
        <v>1062</v>
      </c>
      <c r="E526" s="419" t="s">
        <v>762</v>
      </c>
      <c r="F526" s="419" t="s">
        <v>763</v>
      </c>
      <c r="G526" s="423">
        <v>30</v>
      </c>
      <c r="H526" s="419" t="s">
        <v>1269</v>
      </c>
      <c r="I526" s="419" t="s">
        <v>1261</v>
      </c>
      <c r="J526" s="420">
        <v>900</v>
      </c>
      <c r="K526" s="421"/>
      <c r="L526" s="424">
        <f>L525+Table16[[#This Row],[المدين (إيداع)]]-Table16[[#This Row],[الدائن (السحب)]]</f>
        <v>191258.16999999993</v>
      </c>
    </row>
    <row r="527" spans="1:12" ht="23.25" hidden="1">
      <c r="A527" s="412">
        <f>SUBTOTAL(3,$E$8:E527)</f>
        <v>0</v>
      </c>
      <c r="B527" s="394">
        <v>43054</v>
      </c>
      <c r="C527" s="419"/>
      <c r="D527" s="417" t="s">
        <v>1062</v>
      </c>
      <c r="E527" s="419" t="s">
        <v>1063</v>
      </c>
      <c r="F527" s="419" t="s">
        <v>1063</v>
      </c>
      <c r="G527" s="423">
        <v>5748</v>
      </c>
      <c r="H527" s="419" t="s">
        <v>1270</v>
      </c>
      <c r="I527" s="419" t="s">
        <v>1261</v>
      </c>
      <c r="J527" s="420"/>
      <c r="K527" s="421">
        <v>4200</v>
      </c>
      <c r="L527" s="424">
        <f>L526+Table16[[#This Row],[المدين (إيداع)]]-Table16[[#This Row],[الدائن (السحب)]]</f>
        <v>187058.16999999993</v>
      </c>
    </row>
    <row r="528" spans="1:12" ht="23.25" hidden="1">
      <c r="A528" s="412">
        <f>SUBTOTAL(3,$E$8:E528)</f>
        <v>0</v>
      </c>
      <c r="B528" s="394">
        <v>43054</v>
      </c>
      <c r="C528" s="419"/>
      <c r="D528" s="417" t="s">
        <v>1062</v>
      </c>
      <c r="E528" s="419" t="s">
        <v>762</v>
      </c>
      <c r="F528" s="419" t="s">
        <v>763</v>
      </c>
      <c r="G528" s="423">
        <v>5748</v>
      </c>
      <c r="H528" s="419" t="s">
        <v>1270</v>
      </c>
      <c r="I528" s="419" t="s">
        <v>1261</v>
      </c>
      <c r="J528" s="420">
        <v>4200</v>
      </c>
      <c r="K528" s="421"/>
      <c r="L528" s="424">
        <f>L527+Table16[[#This Row],[المدين (إيداع)]]-Table16[[#This Row],[الدائن (السحب)]]</f>
        <v>191258.16999999993</v>
      </c>
    </row>
    <row r="529" spans="1:12" ht="23.25" hidden="1">
      <c r="A529" s="412">
        <f>SUBTOTAL(3,$E$8:E529)</f>
        <v>0</v>
      </c>
      <c r="B529" s="394">
        <v>43054</v>
      </c>
      <c r="C529" s="419" t="s">
        <v>744</v>
      </c>
      <c r="D529" s="417" t="s">
        <v>1228</v>
      </c>
      <c r="E529" s="419" t="s">
        <v>777</v>
      </c>
      <c r="F529" s="419" t="s">
        <v>758</v>
      </c>
      <c r="G529" s="423"/>
      <c r="H529" s="419" t="s">
        <v>778</v>
      </c>
      <c r="I529" s="419" t="s">
        <v>1229</v>
      </c>
      <c r="J529" s="420">
        <v>3200</v>
      </c>
      <c r="K529" s="421"/>
      <c r="L529" s="424">
        <f>L528+Table16[[#This Row],[المدين (إيداع)]]-Table16[[#This Row],[الدائن (السحب)]]</f>
        <v>194458.16999999993</v>
      </c>
    </row>
    <row r="530" spans="1:12" ht="23.25" hidden="1">
      <c r="A530" s="412">
        <f>SUBTOTAL(3,$E$8:E530)</f>
        <v>0</v>
      </c>
      <c r="B530" s="394">
        <v>43054</v>
      </c>
      <c r="C530" s="419" t="s">
        <v>744</v>
      </c>
      <c r="D530" s="417" t="s">
        <v>768</v>
      </c>
      <c r="E530" s="419" t="s">
        <v>869</v>
      </c>
      <c r="F530" s="419" t="s">
        <v>869</v>
      </c>
      <c r="G530" s="423" t="s">
        <v>1271</v>
      </c>
      <c r="H530" s="419" t="s">
        <v>869</v>
      </c>
      <c r="I530" s="419" t="s">
        <v>868</v>
      </c>
      <c r="J530" s="420">
        <v>10000</v>
      </c>
      <c r="K530" s="421"/>
      <c r="L530" s="424">
        <f>L529+Table16[[#This Row],[المدين (إيداع)]]-Table16[[#This Row],[الدائن (السحب)]]</f>
        <v>204458.16999999993</v>
      </c>
    </row>
    <row r="531" spans="1:12" ht="23.25" hidden="1">
      <c r="A531" s="412">
        <f>SUBTOTAL(3,$E$8:E531)</f>
        <v>0</v>
      </c>
      <c r="B531" s="394">
        <v>43054</v>
      </c>
      <c r="C531" s="419" t="s">
        <v>744</v>
      </c>
      <c r="D531" s="417" t="s">
        <v>768</v>
      </c>
      <c r="E531" s="419" t="s">
        <v>869</v>
      </c>
      <c r="F531" s="419" t="s">
        <v>869</v>
      </c>
      <c r="G531" s="423" t="s">
        <v>1272</v>
      </c>
      <c r="H531" s="419" t="s">
        <v>869</v>
      </c>
      <c r="I531" s="419" t="s">
        <v>868</v>
      </c>
      <c r="J531" s="420">
        <v>50000</v>
      </c>
      <c r="K531" s="421"/>
      <c r="L531" s="424">
        <f>L530+Table16[[#This Row],[المدين (إيداع)]]-Table16[[#This Row],[الدائن (السحب)]]</f>
        <v>254458.16999999993</v>
      </c>
    </row>
    <row r="532" spans="1:12" ht="23.25" hidden="1">
      <c r="A532" s="412">
        <f>SUBTOTAL(3,$E$8:E532)</f>
        <v>0</v>
      </c>
      <c r="B532" s="394">
        <v>43055</v>
      </c>
      <c r="C532" s="419" t="s">
        <v>1018</v>
      </c>
      <c r="D532" s="417" t="s">
        <v>1273</v>
      </c>
      <c r="E532" s="419" t="s">
        <v>762</v>
      </c>
      <c r="F532" s="419" t="s">
        <v>763</v>
      </c>
      <c r="G532" s="423">
        <v>942</v>
      </c>
      <c r="H532" s="419" t="s">
        <v>1274</v>
      </c>
      <c r="I532" s="419" t="s">
        <v>1261</v>
      </c>
      <c r="J532" s="420">
        <v>4200</v>
      </c>
      <c r="K532" s="421"/>
      <c r="L532" s="424">
        <f>L531+Table16[[#This Row],[المدين (إيداع)]]-Table16[[#This Row],[الدائن (السحب)]]</f>
        <v>258658.16999999993</v>
      </c>
    </row>
    <row r="533" spans="1:12" ht="23.25" hidden="1">
      <c r="A533" s="412">
        <f>SUBTOTAL(3,$E$8:E533)</f>
        <v>0</v>
      </c>
      <c r="B533" s="394">
        <v>43055</v>
      </c>
      <c r="C533" s="419" t="s">
        <v>744</v>
      </c>
      <c r="D533" s="417" t="s">
        <v>1275</v>
      </c>
      <c r="E533" s="419" t="s">
        <v>762</v>
      </c>
      <c r="F533" s="419" t="s">
        <v>763</v>
      </c>
      <c r="G533" s="423">
        <v>2483</v>
      </c>
      <c r="H533" s="419" t="s">
        <v>1274</v>
      </c>
      <c r="I533" s="419" t="s">
        <v>1261</v>
      </c>
      <c r="J533" s="420">
        <v>7200</v>
      </c>
      <c r="K533" s="421"/>
      <c r="L533" s="424">
        <f>L532+Table16[[#This Row],[المدين (إيداع)]]-Table16[[#This Row],[الدائن (السحب)]]</f>
        <v>265858.16999999993</v>
      </c>
    </row>
    <row r="534" spans="1:12" ht="23.25" hidden="1">
      <c r="A534" s="412">
        <f>SUBTOTAL(3,$E$8:E534)</f>
        <v>0</v>
      </c>
      <c r="B534" s="394">
        <v>43055</v>
      </c>
      <c r="C534" s="419" t="s">
        <v>744</v>
      </c>
      <c r="D534" s="417" t="s">
        <v>1275</v>
      </c>
      <c r="E534" s="419" t="s">
        <v>762</v>
      </c>
      <c r="F534" s="419" t="s">
        <v>763</v>
      </c>
      <c r="G534" s="423">
        <v>112</v>
      </c>
      <c r="H534" s="419" t="s">
        <v>1260</v>
      </c>
      <c r="I534" s="419" t="s">
        <v>1261</v>
      </c>
      <c r="J534" s="420">
        <v>4200</v>
      </c>
      <c r="K534" s="421"/>
      <c r="L534" s="424">
        <f>L533+Table16[[#This Row],[المدين (إيداع)]]-Table16[[#This Row],[الدائن (السحب)]]</f>
        <v>270058.16999999993</v>
      </c>
    </row>
    <row r="535" spans="1:12" ht="23.25" hidden="1">
      <c r="A535" s="412">
        <f>SUBTOTAL(3,$E$8:E535)</f>
        <v>0</v>
      </c>
      <c r="B535" s="394">
        <v>43055</v>
      </c>
      <c r="C535" s="419" t="s">
        <v>744</v>
      </c>
      <c r="D535" s="417" t="s">
        <v>1159</v>
      </c>
      <c r="E535" s="419" t="s">
        <v>762</v>
      </c>
      <c r="F535" s="419" t="s">
        <v>763</v>
      </c>
      <c r="G535" s="423">
        <v>1324</v>
      </c>
      <c r="H535" s="419" t="s">
        <v>1276</v>
      </c>
      <c r="I535" s="419" t="s">
        <v>857</v>
      </c>
      <c r="J535" s="420">
        <v>1800</v>
      </c>
      <c r="K535" s="421"/>
      <c r="L535" s="424">
        <f>L534+Table16[[#This Row],[المدين (إيداع)]]-Table16[[#This Row],[الدائن (السحب)]]</f>
        <v>271858.16999999993</v>
      </c>
    </row>
    <row r="536" spans="1:12" ht="23.25" hidden="1">
      <c r="A536" s="412">
        <f>SUBTOTAL(3,$E$8:E536)</f>
        <v>0</v>
      </c>
      <c r="B536" s="394">
        <v>43055</v>
      </c>
      <c r="C536" s="419" t="s">
        <v>744</v>
      </c>
      <c r="D536" s="417" t="s">
        <v>768</v>
      </c>
      <c r="E536" s="419" t="s">
        <v>762</v>
      </c>
      <c r="F536" s="419" t="s">
        <v>763</v>
      </c>
      <c r="G536" s="423">
        <v>6619</v>
      </c>
      <c r="H536" s="419" t="s">
        <v>860</v>
      </c>
      <c r="I536" s="419" t="s">
        <v>814</v>
      </c>
      <c r="J536" s="420">
        <v>3600</v>
      </c>
      <c r="K536" s="421"/>
      <c r="L536" s="424">
        <f>L535+Table16[[#This Row],[المدين (إيداع)]]-Table16[[#This Row],[الدائن (السحب)]]</f>
        <v>275458.16999999993</v>
      </c>
    </row>
    <row r="537" spans="1:12" ht="23.25" hidden="1">
      <c r="A537" s="412">
        <f>SUBTOTAL(3,$E$8:E537)</f>
        <v>0</v>
      </c>
      <c r="B537" s="394">
        <v>43055</v>
      </c>
      <c r="C537" s="419" t="s">
        <v>744</v>
      </c>
      <c r="D537" s="417" t="s">
        <v>1159</v>
      </c>
      <c r="E537" s="419" t="s">
        <v>762</v>
      </c>
      <c r="F537" s="419" t="s">
        <v>763</v>
      </c>
      <c r="G537" s="423">
        <v>724</v>
      </c>
      <c r="H537" s="419" t="s">
        <v>1277</v>
      </c>
      <c r="I537" s="419" t="s">
        <v>857</v>
      </c>
      <c r="J537" s="420">
        <v>900</v>
      </c>
      <c r="K537" s="421"/>
      <c r="L537" s="424">
        <f>L536+Table16[[#This Row],[المدين (إيداع)]]-Table16[[#This Row],[الدائن (السحب)]]</f>
        <v>276358.16999999993</v>
      </c>
    </row>
    <row r="538" spans="1:12" ht="23.25" hidden="1">
      <c r="A538" s="412">
        <f>SUBTOTAL(3,$E$8:E538)</f>
        <v>0</v>
      </c>
      <c r="B538" s="394">
        <v>43055</v>
      </c>
      <c r="C538" s="419" t="s">
        <v>744</v>
      </c>
      <c r="D538" s="417" t="s">
        <v>1278</v>
      </c>
      <c r="E538" s="419" t="s">
        <v>762</v>
      </c>
      <c r="F538" s="419" t="s">
        <v>763</v>
      </c>
      <c r="G538" s="423">
        <v>4688</v>
      </c>
      <c r="H538" s="419" t="s">
        <v>1256</v>
      </c>
      <c r="I538" s="419" t="s">
        <v>857</v>
      </c>
      <c r="J538" s="420">
        <v>900</v>
      </c>
      <c r="K538" s="421"/>
      <c r="L538" s="424">
        <f>L537+Table16[[#This Row],[المدين (إيداع)]]-Table16[[#This Row],[الدائن (السحب)]]</f>
        <v>277258.16999999993</v>
      </c>
    </row>
    <row r="539" spans="1:12" ht="23.25" hidden="1">
      <c r="A539" s="412">
        <f>SUBTOTAL(3,$E$8:E539)</f>
        <v>0</v>
      </c>
      <c r="B539" s="394">
        <v>43055</v>
      </c>
      <c r="C539" s="419" t="s">
        <v>744</v>
      </c>
      <c r="D539" s="417" t="s">
        <v>1049</v>
      </c>
      <c r="E539" s="419" t="s">
        <v>753</v>
      </c>
      <c r="F539" s="419" t="s">
        <v>754</v>
      </c>
      <c r="G539" s="423"/>
      <c r="H539" s="419"/>
      <c r="I539" s="419"/>
      <c r="J539" s="420"/>
      <c r="K539" s="421">
        <v>25</v>
      </c>
      <c r="L539" s="424">
        <f>L538+Table16[[#This Row],[المدين (إيداع)]]-Table16[[#This Row],[الدائن (السحب)]]</f>
        <v>277233.16999999993</v>
      </c>
    </row>
    <row r="540" spans="1:12" ht="23.25" hidden="1">
      <c r="A540" s="412">
        <f>SUBTOTAL(3,$E$8:E540)</f>
        <v>0</v>
      </c>
      <c r="B540" s="394">
        <v>43058</v>
      </c>
      <c r="C540" s="419" t="s">
        <v>744</v>
      </c>
      <c r="D540" s="417" t="s">
        <v>1154</v>
      </c>
      <c r="E540" s="419" t="s">
        <v>758</v>
      </c>
      <c r="F540" s="419" t="s">
        <v>758</v>
      </c>
      <c r="G540" s="423"/>
      <c r="H540" s="419" t="s">
        <v>1279</v>
      </c>
      <c r="I540" s="419" t="s">
        <v>771</v>
      </c>
      <c r="J540" s="420">
        <v>250</v>
      </c>
      <c r="K540" s="421"/>
      <c r="L540" s="424">
        <f>L539+Table16[[#This Row],[المدين (إيداع)]]-Table16[[#This Row],[الدائن (السحب)]]</f>
        <v>277483.16999999993</v>
      </c>
    </row>
    <row r="541" spans="1:12" ht="23.25" hidden="1">
      <c r="A541" s="412">
        <f>SUBTOTAL(3,$E$8:E541)</f>
        <v>0</v>
      </c>
      <c r="B541" s="394">
        <v>43058</v>
      </c>
      <c r="C541" s="419" t="s">
        <v>744</v>
      </c>
      <c r="D541" s="417" t="s">
        <v>1280</v>
      </c>
      <c r="E541" s="419" t="s">
        <v>795</v>
      </c>
      <c r="F541" s="419" t="s">
        <v>758</v>
      </c>
      <c r="G541" s="423"/>
      <c r="H541" s="419" t="s">
        <v>796</v>
      </c>
      <c r="I541" s="419" t="s">
        <v>797</v>
      </c>
      <c r="J541" s="420">
        <v>6400</v>
      </c>
      <c r="K541" s="421"/>
      <c r="L541" s="424">
        <f>L540+Table16[[#This Row],[المدين (إيداع)]]-Table16[[#This Row],[الدائن (السحب)]]</f>
        <v>283883.16999999993</v>
      </c>
    </row>
    <row r="542" spans="1:12" ht="23.25" hidden="1">
      <c r="A542" s="412">
        <f>SUBTOTAL(3,$E$8:E542)</f>
        <v>0</v>
      </c>
      <c r="B542" s="394">
        <v>43059</v>
      </c>
      <c r="C542" s="419" t="s">
        <v>744</v>
      </c>
      <c r="D542" s="417" t="s">
        <v>1165</v>
      </c>
      <c r="E542" s="419" t="s">
        <v>777</v>
      </c>
      <c r="F542" s="419" t="s">
        <v>758</v>
      </c>
      <c r="G542" s="423"/>
      <c r="H542" s="419" t="s">
        <v>778</v>
      </c>
      <c r="I542" s="419" t="s">
        <v>811</v>
      </c>
      <c r="J542" s="420">
        <v>600</v>
      </c>
      <c r="K542" s="421"/>
      <c r="L542" s="424">
        <f>L541+Table16[[#This Row],[المدين (إيداع)]]-Table16[[#This Row],[الدائن (السحب)]]</f>
        <v>284483.16999999993</v>
      </c>
    </row>
    <row r="543" spans="1:12" ht="23.25" hidden="1">
      <c r="A543" s="412">
        <f>SUBTOTAL(3,$E$8:E543)</f>
        <v>0</v>
      </c>
      <c r="B543" s="394">
        <v>43060</v>
      </c>
      <c r="C543" s="419" t="s">
        <v>744</v>
      </c>
      <c r="D543" s="417" t="s">
        <v>1165</v>
      </c>
      <c r="E543" s="419" t="s">
        <v>1166</v>
      </c>
      <c r="F543" s="419" t="s">
        <v>758</v>
      </c>
      <c r="G543" s="423"/>
      <c r="H543" s="419" t="s">
        <v>1281</v>
      </c>
      <c r="I543" s="419" t="s">
        <v>811</v>
      </c>
      <c r="J543" s="420">
        <v>300</v>
      </c>
      <c r="K543" s="421"/>
      <c r="L543" s="424">
        <f>L542+Table16[[#This Row],[المدين (إيداع)]]-Table16[[#This Row],[الدائن (السحب)]]</f>
        <v>284783.16999999993</v>
      </c>
    </row>
    <row r="544" spans="1:12" ht="23.25" hidden="1">
      <c r="A544" s="412">
        <f>SUBTOTAL(3,$E$8:E544)</f>
        <v>0</v>
      </c>
      <c r="B544" s="394">
        <v>43061</v>
      </c>
      <c r="C544" s="419" t="s">
        <v>744</v>
      </c>
      <c r="D544" s="417" t="s">
        <v>1282</v>
      </c>
      <c r="E544" s="419" t="s">
        <v>1283</v>
      </c>
      <c r="F544" s="419" t="s">
        <v>773</v>
      </c>
      <c r="G544" s="423">
        <v>303</v>
      </c>
      <c r="H544" s="419" t="s">
        <v>913</v>
      </c>
      <c r="I544" s="419" t="s">
        <v>1284</v>
      </c>
      <c r="J544" s="420"/>
      <c r="K544" s="421">
        <v>72667</v>
      </c>
      <c r="L544" s="424">
        <f>L543+Table16[[#This Row],[المدين (إيداع)]]-Table16[[#This Row],[الدائن (السحب)]]</f>
        <v>212116.16999999993</v>
      </c>
    </row>
    <row r="545" spans="1:12" ht="23.25" hidden="1">
      <c r="A545" s="412">
        <f>SUBTOTAL(3,$E$8:E545)</f>
        <v>0</v>
      </c>
      <c r="B545" s="394">
        <v>43062</v>
      </c>
      <c r="C545" s="419" t="s">
        <v>744</v>
      </c>
      <c r="D545" s="417" t="s">
        <v>768</v>
      </c>
      <c r="E545" s="419" t="s">
        <v>762</v>
      </c>
      <c r="F545" s="419" t="s">
        <v>763</v>
      </c>
      <c r="G545" s="423">
        <v>147</v>
      </c>
      <c r="H545" s="419"/>
      <c r="I545" s="419" t="s">
        <v>1285</v>
      </c>
      <c r="J545" s="420">
        <v>800</v>
      </c>
      <c r="K545" s="421"/>
      <c r="L545" s="424">
        <f>L544+Table16[[#This Row],[المدين (إيداع)]]-Table16[[#This Row],[الدائن (السحب)]]</f>
        <v>212916.16999999993</v>
      </c>
    </row>
    <row r="546" spans="1:12" ht="23.25" hidden="1">
      <c r="A546" s="412">
        <f>SUBTOTAL(3,$E$8:E546)</f>
        <v>0</v>
      </c>
      <c r="B546" s="394">
        <v>43062</v>
      </c>
      <c r="C546" s="419" t="s">
        <v>744</v>
      </c>
      <c r="D546" s="417" t="s">
        <v>1252</v>
      </c>
      <c r="E546" s="419" t="s">
        <v>762</v>
      </c>
      <c r="F546" s="419" t="s">
        <v>763</v>
      </c>
      <c r="G546" s="423">
        <v>13</v>
      </c>
      <c r="H546" s="419" t="s">
        <v>1286</v>
      </c>
      <c r="I546" s="419" t="s">
        <v>1287</v>
      </c>
      <c r="J546" s="420">
        <v>1800</v>
      </c>
      <c r="K546" s="421"/>
      <c r="L546" s="424">
        <f>L545+Table16[[#This Row],[المدين (إيداع)]]-Table16[[#This Row],[الدائن (السحب)]]</f>
        <v>214716.16999999993</v>
      </c>
    </row>
    <row r="547" spans="1:12" ht="23.25" hidden="1">
      <c r="A547" s="412">
        <f>SUBTOTAL(3,$E$8:E547)</f>
        <v>0</v>
      </c>
      <c r="B547" s="394">
        <v>43062</v>
      </c>
      <c r="C547" s="419" t="s">
        <v>744</v>
      </c>
      <c r="D547" s="417" t="s">
        <v>1165</v>
      </c>
      <c r="E547" s="419" t="s">
        <v>1288</v>
      </c>
      <c r="F547" s="419" t="s">
        <v>758</v>
      </c>
      <c r="G547" s="423"/>
      <c r="H547" s="419" t="s">
        <v>1244</v>
      </c>
      <c r="I547" s="419" t="s">
        <v>811</v>
      </c>
      <c r="J547" s="420">
        <v>2200</v>
      </c>
      <c r="K547" s="421"/>
      <c r="L547" s="424">
        <f>L546+Table16[[#This Row],[المدين (إيداع)]]-Table16[[#This Row],[الدائن (السحب)]]</f>
        <v>216916.16999999993</v>
      </c>
    </row>
    <row r="548" spans="1:12" ht="23.25" hidden="1">
      <c r="A548" s="412">
        <f>SUBTOTAL(3,$E$8:E548)</f>
        <v>0</v>
      </c>
      <c r="B548" s="394">
        <v>43062</v>
      </c>
      <c r="C548" s="419" t="s">
        <v>744</v>
      </c>
      <c r="D548" s="417" t="s">
        <v>1257</v>
      </c>
      <c r="E548" s="419" t="s">
        <v>758</v>
      </c>
      <c r="F548" s="419" t="s">
        <v>758</v>
      </c>
      <c r="G548" s="423"/>
      <c r="H548" s="419" t="s">
        <v>1289</v>
      </c>
      <c r="I548" s="419" t="s">
        <v>771</v>
      </c>
      <c r="J548" s="420">
        <v>300</v>
      </c>
      <c r="K548" s="421"/>
      <c r="L548" s="424">
        <f>L547+Table16[[#This Row],[المدين (إيداع)]]-Table16[[#This Row],[الدائن (السحب)]]</f>
        <v>217216.16999999993</v>
      </c>
    </row>
    <row r="549" spans="1:12" ht="23.25" hidden="1">
      <c r="A549" s="412">
        <f>SUBTOTAL(3,$E$8:E549)</f>
        <v>0</v>
      </c>
      <c r="B549" s="394">
        <v>43063</v>
      </c>
      <c r="C549" s="419" t="s">
        <v>744</v>
      </c>
      <c r="D549" s="417" t="s">
        <v>1290</v>
      </c>
      <c r="E549" s="419" t="s">
        <v>762</v>
      </c>
      <c r="F549" s="419" t="s">
        <v>763</v>
      </c>
      <c r="G549" s="423">
        <v>2603</v>
      </c>
      <c r="H549" s="419" t="s">
        <v>747</v>
      </c>
      <c r="I549" s="419" t="s">
        <v>811</v>
      </c>
      <c r="J549" s="420">
        <v>3900</v>
      </c>
      <c r="K549" s="421"/>
      <c r="L549" s="424">
        <f>L548+Table16[[#This Row],[المدين (إيداع)]]-Table16[[#This Row],[الدائن (السحب)]]</f>
        <v>221116.16999999993</v>
      </c>
    </row>
    <row r="550" spans="1:12" ht="23.25" hidden="1">
      <c r="A550" s="412">
        <f>SUBTOTAL(3,$E$8:E550)</f>
        <v>0</v>
      </c>
      <c r="B550" s="394">
        <v>43065</v>
      </c>
      <c r="C550" s="419" t="s">
        <v>744</v>
      </c>
      <c r="D550" s="417" t="s">
        <v>1249</v>
      </c>
      <c r="E550" s="419" t="s">
        <v>758</v>
      </c>
      <c r="F550" s="419" t="s">
        <v>758</v>
      </c>
      <c r="G550" s="423"/>
      <c r="H550" s="419" t="s">
        <v>1291</v>
      </c>
      <c r="I550" s="419" t="s">
        <v>1177</v>
      </c>
      <c r="J550" s="420">
        <v>800</v>
      </c>
      <c r="K550" s="421"/>
      <c r="L550" s="424">
        <f>L549+Table16[[#This Row],[المدين (إيداع)]]-Table16[[#This Row],[الدائن (السحب)]]</f>
        <v>221916.16999999993</v>
      </c>
    </row>
    <row r="551" spans="1:12" ht="23.25" hidden="1">
      <c r="A551" s="412">
        <f>SUBTOTAL(3,$E$8:E551)</f>
        <v>0</v>
      </c>
      <c r="B551" s="394">
        <v>43065</v>
      </c>
      <c r="C551" s="419" t="s">
        <v>744</v>
      </c>
      <c r="D551" s="417" t="s">
        <v>1280</v>
      </c>
      <c r="E551" s="419" t="s">
        <v>795</v>
      </c>
      <c r="F551" s="419" t="s">
        <v>758</v>
      </c>
      <c r="G551" s="423"/>
      <c r="H551" s="419" t="s">
        <v>796</v>
      </c>
      <c r="I551" s="419" t="s">
        <v>797</v>
      </c>
      <c r="J551" s="420">
        <v>44400</v>
      </c>
      <c r="K551" s="421"/>
      <c r="L551" s="424">
        <f>L550+Table16[[#This Row],[المدين (إيداع)]]-Table16[[#This Row],[الدائن (السحب)]]</f>
        <v>266316.16999999993</v>
      </c>
    </row>
    <row r="552" spans="1:12" ht="23.25" hidden="1">
      <c r="A552" s="412">
        <f>SUBTOTAL(3,$E$8:E552)</f>
        <v>0</v>
      </c>
      <c r="B552" s="394">
        <v>42870</v>
      </c>
      <c r="C552" s="419" t="s">
        <v>744</v>
      </c>
      <c r="D552" s="417" t="s">
        <v>867</v>
      </c>
      <c r="E552" s="419" t="s">
        <v>758</v>
      </c>
      <c r="F552" s="419" t="s">
        <v>758</v>
      </c>
      <c r="G552" s="423"/>
      <c r="H552" s="419"/>
      <c r="I552" s="419" t="s">
        <v>771</v>
      </c>
      <c r="J552" s="420">
        <v>400</v>
      </c>
      <c r="K552" s="421"/>
      <c r="L552" s="424">
        <f>L551+Table16[[#This Row],[المدين (إيداع)]]-Table16[[#This Row],[الدائن (السحب)]]</f>
        <v>266716.16999999993</v>
      </c>
    </row>
    <row r="553" spans="1:12" ht="23.25" hidden="1">
      <c r="A553" s="412">
        <f>SUBTOTAL(3,$E$8:E553)</f>
        <v>0</v>
      </c>
      <c r="B553" s="394">
        <v>43067</v>
      </c>
      <c r="C553" s="419" t="s">
        <v>744</v>
      </c>
      <c r="D553" s="417" t="s">
        <v>752</v>
      </c>
      <c r="E553" s="419" t="s">
        <v>753</v>
      </c>
      <c r="F553" s="419" t="s">
        <v>754</v>
      </c>
      <c r="G553" s="423"/>
      <c r="H553" s="419" t="s">
        <v>755</v>
      </c>
      <c r="I553" s="419" t="s">
        <v>754</v>
      </c>
      <c r="J553" s="420"/>
      <c r="K553" s="421">
        <v>25</v>
      </c>
      <c r="L553" s="424">
        <f>L552+Table16[[#This Row],[المدين (إيداع)]]-Table16[[#This Row],[الدائن (السحب)]]</f>
        <v>266691.16999999993</v>
      </c>
    </row>
    <row r="554" spans="1:12" ht="23.25" hidden="1">
      <c r="A554" s="412">
        <f>SUBTOTAL(3,$E$8:E554)</f>
        <v>0</v>
      </c>
      <c r="B554" s="394">
        <v>43068</v>
      </c>
      <c r="C554" s="419" t="s">
        <v>744</v>
      </c>
      <c r="D554" s="417" t="s">
        <v>1292</v>
      </c>
      <c r="E554" s="419" t="s">
        <v>1293</v>
      </c>
      <c r="F554" s="419" t="s">
        <v>773</v>
      </c>
      <c r="G554" s="423">
        <v>305</v>
      </c>
      <c r="H554" s="419" t="s">
        <v>913</v>
      </c>
      <c r="I554" s="419" t="s">
        <v>1294</v>
      </c>
      <c r="J554" s="420"/>
      <c r="K554" s="421">
        <v>72667</v>
      </c>
      <c r="L554" s="424">
        <f>L553+Table16[[#This Row],[المدين (إيداع)]]-Table16[[#This Row],[الدائن (السحب)]]</f>
        <v>194024.16999999993</v>
      </c>
    </row>
    <row r="555" spans="1:12" ht="23.25" hidden="1">
      <c r="A555" s="412">
        <f>SUBTOTAL(3,$E$8:E555)</f>
        <v>0</v>
      </c>
      <c r="B555" s="394">
        <v>43068</v>
      </c>
      <c r="C555" s="419" t="s">
        <v>744</v>
      </c>
      <c r="D555" s="417" t="s">
        <v>1041</v>
      </c>
      <c r="E555" s="419" t="s">
        <v>758</v>
      </c>
      <c r="F555" s="419" t="s">
        <v>758</v>
      </c>
      <c r="G555" s="423"/>
      <c r="H555" s="419" t="s">
        <v>1295</v>
      </c>
      <c r="I555" s="419" t="s">
        <v>811</v>
      </c>
      <c r="J555" s="420">
        <v>300</v>
      </c>
      <c r="K555" s="421"/>
      <c r="L555" s="424">
        <f>L554+Table16[[#This Row],[المدين (إيداع)]]-Table16[[#This Row],[الدائن (السحب)]]</f>
        <v>194324.16999999993</v>
      </c>
    </row>
    <row r="556" spans="1:12" ht="23.25" hidden="1">
      <c r="A556" s="412">
        <f>SUBTOTAL(3,$E$8:E556)</f>
        <v>0</v>
      </c>
      <c r="B556" s="394">
        <v>43069</v>
      </c>
      <c r="C556" s="419" t="s">
        <v>744</v>
      </c>
      <c r="D556" s="417" t="s">
        <v>1154</v>
      </c>
      <c r="E556" s="419" t="s">
        <v>758</v>
      </c>
      <c r="F556" s="419" t="s">
        <v>758</v>
      </c>
      <c r="G556" s="423"/>
      <c r="H556" s="419" t="s">
        <v>1296</v>
      </c>
      <c r="I556" s="419" t="s">
        <v>771</v>
      </c>
      <c r="J556" s="420">
        <v>400</v>
      </c>
      <c r="K556" s="421"/>
      <c r="L556" s="424">
        <f>L555+Table16[[#This Row],[المدين (إيداع)]]-Table16[[#This Row],[الدائن (السحب)]]</f>
        <v>194724.16999999993</v>
      </c>
    </row>
    <row r="557" spans="1:12" ht="23.25" hidden="1">
      <c r="A557" s="412">
        <f>SUBTOTAL(3,$E$8:E557)</f>
        <v>0</v>
      </c>
      <c r="B557" s="394">
        <v>43070</v>
      </c>
      <c r="C557" s="419" t="s">
        <v>744</v>
      </c>
      <c r="D557" s="417" t="s">
        <v>1297</v>
      </c>
      <c r="E557" s="419" t="s">
        <v>773</v>
      </c>
      <c r="F557" s="419" t="s">
        <v>773</v>
      </c>
      <c r="G557" s="423">
        <v>308</v>
      </c>
      <c r="H557" s="419" t="s">
        <v>852</v>
      </c>
      <c r="I557" s="431" t="s">
        <v>853</v>
      </c>
      <c r="J557" s="420"/>
      <c r="K557" s="421">
        <v>96691</v>
      </c>
      <c r="L557" s="424">
        <f>L556+Table16[[#This Row],[المدين (إيداع)]]-Table16[[#This Row],[الدائن (السحب)]]</f>
        <v>98033.169999999925</v>
      </c>
    </row>
    <row r="558" spans="1:12" ht="23.25" hidden="1">
      <c r="A558" s="412">
        <f>SUBTOTAL(3,$E$8:E558)</f>
        <v>0</v>
      </c>
      <c r="B558" s="394">
        <v>43072</v>
      </c>
      <c r="C558" s="419" t="s">
        <v>744</v>
      </c>
      <c r="D558" s="417" t="s">
        <v>768</v>
      </c>
      <c r="E558" s="419" t="s">
        <v>869</v>
      </c>
      <c r="F558" s="419" t="s">
        <v>869</v>
      </c>
      <c r="G558" s="423" t="s">
        <v>1298</v>
      </c>
      <c r="H558" s="419"/>
      <c r="I558" s="431" t="s">
        <v>869</v>
      </c>
      <c r="J558" s="420">
        <v>50000</v>
      </c>
      <c r="K558" s="421"/>
      <c r="L558" s="424">
        <f>L557+Table16[[#This Row],[المدين (إيداع)]]-Table16[[#This Row],[الدائن (السحب)]]</f>
        <v>148033.16999999993</v>
      </c>
    </row>
    <row r="559" spans="1:12" ht="23.25" hidden="1">
      <c r="A559" s="412">
        <f>SUBTOTAL(3,$E$8:E559)</f>
        <v>0</v>
      </c>
      <c r="B559" s="394">
        <v>43072</v>
      </c>
      <c r="C559" s="419" t="s">
        <v>744</v>
      </c>
      <c r="D559" s="417" t="s">
        <v>1041</v>
      </c>
      <c r="E559" s="419" t="s">
        <v>758</v>
      </c>
      <c r="F559" s="419" t="s">
        <v>758</v>
      </c>
      <c r="G559" s="423"/>
      <c r="H559" s="419" t="s">
        <v>1183</v>
      </c>
      <c r="I559" s="431" t="s">
        <v>1184</v>
      </c>
      <c r="J559" s="420">
        <v>2000</v>
      </c>
      <c r="K559" s="421"/>
      <c r="L559" s="424">
        <f>L558+Table16[[#This Row],[المدين (إيداع)]]-Table16[[#This Row],[الدائن (السحب)]]</f>
        <v>150033.16999999993</v>
      </c>
    </row>
    <row r="560" spans="1:12" ht="23.25" hidden="1">
      <c r="A560" s="412">
        <f>SUBTOTAL(3,$E$8:E560)</f>
        <v>0</v>
      </c>
      <c r="B560" s="394">
        <v>43072</v>
      </c>
      <c r="C560" s="419" t="s">
        <v>744</v>
      </c>
      <c r="D560" s="417" t="s">
        <v>1299</v>
      </c>
      <c r="E560" s="419" t="s">
        <v>758</v>
      </c>
      <c r="F560" s="419" t="s">
        <v>758</v>
      </c>
      <c r="G560" s="423"/>
      <c r="H560" s="419" t="s">
        <v>1216</v>
      </c>
      <c r="I560" s="431" t="s">
        <v>842</v>
      </c>
      <c r="J560" s="420">
        <v>1750</v>
      </c>
      <c r="K560" s="421"/>
      <c r="L560" s="424">
        <f>L559+Table16[[#This Row],[المدين (إيداع)]]-Table16[[#This Row],[الدائن (السحب)]]</f>
        <v>151783.16999999993</v>
      </c>
    </row>
    <row r="561" spans="1:12" ht="23.25" hidden="1">
      <c r="A561" s="412">
        <f>SUBTOTAL(3,$E$8:E561)</f>
        <v>0</v>
      </c>
      <c r="B561" s="394">
        <v>43073</v>
      </c>
      <c r="C561" s="419" t="s">
        <v>744</v>
      </c>
      <c r="D561" s="417" t="s">
        <v>1258</v>
      </c>
      <c r="E561" s="419" t="s">
        <v>1300</v>
      </c>
      <c r="F561" s="419" t="s">
        <v>746</v>
      </c>
      <c r="G561" s="423"/>
      <c r="H561" s="419" t="s">
        <v>922</v>
      </c>
      <c r="I561" s="431" t="s">
        <v>820</v>
      </c>
      <c r="J561" s="420">
        <v>70000</v>
      </c>
      <c r="K561" s="421"/>
      <c r="L561" s="424">
        <f>L560+Table16[[#This Row],[المدين (إيداع)]]-Table16[[#This Row],[الدائن (السحب)]]</f>
        <v>221783.16999999993</v>
      </c>
    </row>
    <row r="562" spans="1:12" ht="23.25" hidden="1">
      <c r="A562" s="412">
        <f>SUBTOTAL(3,$E$8:E562)</f>
        <v>0</v>
      </c>
      <c r="B562" s="394">
        <v>43073</v>
      </c>
      <c r="C562" s="419" t="s">
        <v>744</v>
      </c>
      <c r="D562" s="417" t="s">
        <v>1041</v>
      </c>
      <c r="E562" s="419" t="s">
        <v>758</v>
      </c>
      <c r="F562" s="419" t="s">
        <v>758</v>
      </c>
      <c r="G562" s="423"/>
      <c r="H562" s="419" t="s">
        <v>1301</v>
      </c>
      <c r="I562" s="431" t="s">
        <v>1302</v>
      </c>
      <c r="J562" s="420">
        <v>3300</v>
      </c>
      <c r="K562" s="421"/>
      <c r="L562" s="424">
        <f>L561+Table16[[#This Row],[المدين (إيداع)]]-Table16[[#This Row],[الدائن (السحب)]]</f>
        <v>225083.16999999993</v>
      </c>
    </row>
    <row r="563" spans="1:12" ht="23.25">
      <c r="A563" s="412">
        <f>SUBTOTAL(3,$E$8:E563)</f>
        <v>1</v>
      </c>
      <c r="B563" s="394">
        <v>43073</v>
      </c>
      <c r="C563" s="419" t="s">
        <v>744</v>
      </c>
      <c r="D563" s="417" t="s">
        <v>1041</v>
      </c>
      <c r="E563" s="419" t="s">
        <v>758</v>
      </c>
      <c r="F563" s="419" t="s">
        <v>758</v>
      </c>
      <c r="G563" s="423"/>
      <c r="H563" s="419" t="s">
        <v>1301</v>
      </c>
      <c r="I563" s="431" t="s">
        <v>1302</v>
      </c>
      <c r="J563" s="420">
        <v>9900</v>
      </c>
      <c r="K563" s="421"/>
      <c r="L563" s="424">
        <f>L562+Table16[[#This Row],[المدين (إيداع)]]-Table16[[#This Row],[الدائن (السحب)]]</f>
        <v>234983.16999999993</v>
      </c>
    </row>
    <row r="564" spans="1:12" ht="23.25" hidden="1">
      <c r="A564" s="412">
        <f>SUBTOTAL(3,$E$8:E564)</f>
        <v>1</v>
      </c>
      <c r="B564" s="394">
        <v>43073</v>
      </c>
      <c r="C564" s="419" t="s">
        <v>744</v>
      </c>
      <c r="D564" s="417" t="s">
        <v>1252</v>
      </c>
      <c r="E564" s="419" t="s">
        <v>762</v>
      </c>
      <c r="F564" s="419" t="s">
        <v>763</v>
      </c>
      <c r="G564" s="423">
        <v>907</v>
      </c>
      <c r="H564" s="419"/>
      <c r="I564" s="431" t="s">
        <v>1287</v>
      </c>
      <c r="J564" s="420">
        <v>1200</v>
      </c>
      <c r="K564" s="421"/>
      <c r="L564" s="424">
        <f>L563+Table16[[#This Row],[المدين (إيداع)]]-Table16[[#This Row],[الدائن (السحب)]]</f>
        <v>236183.16999999993</v>
      </c>
    </row>
    <row r="565" spans="1:12" ht="23.25" hidden="1">
      <c r="A565" s="412">
        <f>SUBTOTAL(3,$E$8:E565)</f>
        <v>1</v>
      </c>
      <c r="B565" s="394">
        <v>43073</v>
      </c>
      <c r="C565" s="419" t="s">
        <v>744</v>
      </c>
      <c r="D565" s="417" t="s">
        <v>1249</v>
      </c>
      <c r="E565" s="419" t="s">
        <v>762</v>
      </c>
      <c r="F565" s="419" t="s">
        <v>763</v>
      </c>
      <c r="G565" s="423">
        <v>4992</v>
      </c>
      <c r="H565" s="419" t="s">
        <v>1303</v>
      </c>
      <c r="I565" s="431" t="s">
        <v>974</v>
      </c>
      <c r="J565" s="420">
        <v>24000</v>
      </c>
      <c r="K565" s="421"/>
      <c r="L565" s="424">
        <f>L564+Table16[[#This Row],[المدين (إيداع)]]-Table16[[#This Row],[الدائن (السحب)]]</f>
        <v>260183.16999999993</v>
      </c>
    </row>
    <row r="566" spans="1:12" ht="23.25" hidden="1">
      <c r="A566" s="412">
        <f>SUBTOTAL(3,$E$8:E566)</f>
        <v>1</v>
      </c>
      <c r="B566" s="394">
        <v>43073</v>
      </c>
      <c r="C566" s="419" t="s">
        <v>744</v>
      </c>
      <c r="D566" s="417" t="s">
        <v>1252</v>
      </c>
      <c r="E566" s="419" t="s">
        <v>762</v>
      </c>
      <c r="F566" s="419" t="s">
        <v>763</v>
      </c>
      <c r="G566" s="423">
        <v>4594</v>
      </c>
      <c r="H566" s="419"/>
      <c r="I566" s="431" t="s">
        <v>1287</v>
      </c>
      <c r="J566" s="420">
        <v>3600</v>
      </c>
      <c r="K566" s="421"/>
      <c r="L566" s="424">
        <f>L565+Table16[[#This Row],[المدين (إيداع)]]-Table16[[#This Row],[الدائن (السحب)]]</f>
        <v>263783.16999999993</v>
      </c>
    </row>
    <row r="567" spans="1:12" ht="23.25" hidden="1">
      <c r="A567" s="412">
        <f>SUBTOTAL(3,$E$8:E567)</f>
        <v>1</v>
      </c>
      <c r="B567" s="394">
        <v>43073</v>
      </c>
      <c r="C567" s="419" t="s">
        <v>744</v>
      </c>
      <c r="D567" s="417" t="s">
        <v>1304</v>
      </c>
      <c r="E567" s="419" t="s">
        <v>758</v>
      </c>
      <c r="F567" s="419" t="s">
        <v>758</v>
      </c>
      <c r="G567" s="423"/>
      <c r="H567" s="419" t="s">
        <v>62</v>
      </c>
      <c r="I567" s="431" t="s">
        <v>974</v>
      </c>
      <c r="J567" s="420">
        <v>18000</v>
      </c>
      <c r="K567" s="421"/>
      <c r="L567" s="424">
        <f>L566+Table16[[#This Row],[المدين (إيداع)]]-Table16[[#This Row],[الدائن (السحب)]]</f>
        <v>281783.16999999993</v>
      </c>
    </row>
    <row r="568" spans="1:12" ht="23.25" hidden="1">
      <c r="A568" s="412">
        <f>SUBTOTAL(3,$E$8:E568)</f>
        <v>1</v>
      </c>
      <c r="B568" s="394">
        <v>43074</v>
      </c>
      <c r="C568" s="419" t="s">
        <v>744</v>
      </c>
      <c r="D568" s="417" t="s">
        <v>1305</v>
      </c>
      <c r="E568" s="419" t="s">
        <v>773</v>
      </c>
      <c r="F568" s="419" t="s">
        <v>773</v>
      </c>
      <c r="G568" s="423">
        <v>307</v>
      </c>
      <c r="H568" s="419" t="s">
        <v>1306</v>
      </c>
      <c r="I568" s="431" t="s">
        <v>1307</v>
      </c>
      <c r="J568" s="420"/>
      <c r="K568" s="421">
        <v>24500</v>
      </c>
      <c r="L568" s="424">
        <f>L567+Table16[[#This Row],[المدين (إيداع)]]-Table16[[#This Row],[الدائن (السحب)]]</f>
        <v>257283.16999999993</v>
      </c>
    </row>
    <row r="569" spans="1:12" ht="23.25" hidden="1">
      <c r="A569" s="412">
        <f>SUBTOTAL(3,$E$8:E569)</f>
        <v>1</v>
      </c>
      <c r="B569" s="394">
        <v>43074</v>
      </c>
      <c r="C569" s="419" t="s">
        <v>744</v>
      </c>
      <c r="D569" s="417" t="s">
        <v>1019</v>
      </c>
      <c r="E569" s="419" t="s">
        <v>758</v>
      </c>
      <c r="F569" s="419" t="s">
        <v>758</v>
      </c>
      <c r="G569" s="423"/>
      <c r="H569" s="419" t="s">
        <v>1190</v>
      </c>
      <c r="I569" s="431" t="s">
        <v>771</v>
      </c>
      <c r="J569" s="420">
        <v>3000</v>
      </c>
      <c r="K569" s="421"/>
      <c r="L569" s="424">
        <f>L568+Table16[[#This Row],[المدين (إيداع)]]-Table16[[#This Row],[الدائن (السحب)]]</f>
        <v>260283.16999999993</v>
      </c>
    </row>
    <row r="570" spans="1:12" ht="23.25" hidden="1">
      <c r="A570" s="412">
        <f>SUBTOTAL(3,$E$8:E570)</f>
        <v>1</v>
      </c>
      <c r="B570" s="394">
        <v>43074</v>
      </c>
      <c r="C570" s="419" t="s">
        <v>744</v>
      </c>
      <c r="D570" s="417" t="s">
        <v>752</v>
      </c>
      <c r="E570" s="419" t="s">
        <v>753</v>
      </c>
      <c r="F570" s="419" t="s">
        <v>754</v>
      </c>
      <c r="G570" s="423"/>
      <c r="H570" s="419" t="s">
        <v>755</v>
      </c>
      <c r="I570" s="431" t="s">
        <v>754</v>
      </c>
      <c r="J570" s="420"/>
      <c r="K570" s="421">
        <v>30</v>
      </c>
      <c r="L570" s="424">
        <f>L569+Table16[[#This Row],[المدين (إيداع)]]-Table16[[#This Row],[الدائن (السحب)]]</f>
        <v>260253.16999999993</v>
      </c>
    </row>
    <row r="571" spans="1:12" ht="23.25" hidden="1">
      <c r="A571" s="412">
        <f>SUBTOTAL(3,$E$8:E571)</f>
        <v>1</v>
      </c>
      <c r="B571" s="394">
        <v>43074</v>
      </c>
      <c r="C571" s="419" t="s">
        <v>744</v>
      </c>
      <c r="D571" s="417" t="s">
        <v>752</v>
      </c>
      <c r="E571" s="419" t="s">
        <v>753</v>
      </c>
      <c r="F571" s="419" t="s">
        <v>754</v>
      </c>
      <c r="G571" s="423"/>
      <c r="H571" s="419" t="s">
        <v>755</v>
      </c>
      <c r="I571" s="431" t="s">
        <v>754</v>
      </c>
      <c r="J571" s="420"/>
      <c r="K571" s="421">
        <v>25</v>
      </c>
      <c r="L571" s="424">
        <f>L570+Table16[[#This Row],[المدين (إيداع)]]-Table16[[#This Row],[الدائن (السحب)]]</f>
        <v>260228.16999999993</v>
      </c>
    </row>
    <row r="572" spans="1:12" ht="23.25" hidden="1">
      <c r="A572" s="412">
        <f>SUBTOTAL(3,$E$8:E572)</f>
        <v>1</v>
      </c>
      <c r="B572" s="394">
        <v>43075</v>
      </c>
      <c r="C572" s="419" t="s">
        <v>744</v>
      </c>
      <c r="D572" s="417" t="s">
        <v>1308</v>
      </c>
      <c r="E572" s="419" t="s">
        <v>1309</v>
      </c>
      <c r="F572" s="419" t="s">
        <v>773</v>
      </c>
      <c r="G572" s="423">
        <v>306</v>
      </c>
      <c r="H572" s="419" t="s">
        <v>913</v>
      </c>
      <c r="I572" s="431" t="s">
        <v>1310</v>
      </c>
      <c r="J572" s="420"/>
      <c r="K572" s="421">
        <v>72667</v>
      </c>
      <c r="L572" s="424">
        <f>L571+Table16[[#This Row],[المدين (إيداع)]]-Table16[[#This Row],[الدائن (السحب)]]</f>
        <v>187561.16999999993</v>
      </c>
    </row>
    <row r="573" spans="1:12" ht="23.25" hidden="1">
      <c r="A573" s="412">
        <f>SUBTOTAL(3,$E$8:E573)</f>
        <v>1</v>
      </c>
      <c r="B573" s="394">
        <v>43075</v>
      </c>
      <c r="C573" s="419" t="s">
        <v>744</v>
      </c>
      <c r="D573" s="417" t="s">
        <v>1311</v>
      </c>
      <c r="E573" s="419" t="s">
        <v>849</v>
      </c>
      <c r="F573" s="419" t="s">
        <v>746</v>
      </c>
      <c r="G573" s="423"/>
      <c r="H573" s="419" t="s">
        <v>1312</v>
      </c>
      <c r="I573" s="431" t="s">
        <v>851</v>
      </c>
      <c r="J573" s="420">
        <v>23605</v>
      </c>
      <c r="K573" s="421"/>
      <c r="L573" s="424">
        <f>L572+Table16[[#This Row],[المدين (إيداع)]]-Table16[[#This Row],[الدائن (السحب)]]</f>
        <v>211166.16999999993</v>
      </c>
    </row>
    <row r="574" spans="1:12" ht="23.25" hidden="1">
      <c r="A574" s="412">
        <f>SUBTOTAL(3,$E$8:E574)</f>
        <v>1</v>
      </c>
      <c r="B574" s="394">
        <v>43075</v>
      </c>
      <c r="C574" s="419" t="s">
        <v>744</v>
      </c>
      <c r="D574" s="417" t="s">
        <v>1311</v>
      </c>
      <c r="E574" s="419" t="s">
        <v>879</v>
      </c>
      <c r="F574" s="419" t="s">
        <v>758</v>
      </c>
      <c r="G574" s="423"/>
      <c r="H574" s="419" t="s">
        <v>1313</v>
      </c>
      <c r="I574" s="431" t="s">
        <v>851</v>
      </c>
      <c r="J574" s="420">
        <v>112500</v>
      </c>
      <c r="K574" s="421"/>
      <c r="L574" s="424">
        <f>L573+Table16[[#This Row],[المدين (إيداع)]]-Table16[[#This Row],[الدائن (السحب)]]</f>
        <v>323666.16999999993</v>
      </c>
    </row>
    <row r="575" spans="1:12" ht="23.25" hidden="1">
      <c r="A575" s="412">
        <f>SUBTOTAL(3,$E$8:E575)</f>
        <v>1</v>
      </c>
      <c r="B575" s="394">
        <v>43075</v>
      </c>
      <c r="C575" s="419" t="s">
        <v>744</v>
      </c>
      <c r="D575" s="417" t="s">
        <v>1314</v>
      </c>
      <c r="E575" s="419" t="s">
        <v>758</v>
      </c>
      <c r="F575" s="419" t="s">
        <v>758</v>
      </c>
      <c r="G575" s="423"/>
      <c r="H575" s="419" t="s">
        <v>1315</v>
      </c>
      <c r="I575" s="431" t="s">
        <v>771</v>
      </c>
      <c r="J575" s="420">
        <v>300</v>
      </c>
      <c r="K575" s="421"/>
      <c r="L575" s="424">
        <f>L574+Table16[[#This Row],[المدين (إيداع)]]-Table16[[#This Row],[الدائن (السحب)]]</f>
        <v>323966.16999999993</v>
      </c>
    </row>
    <row r="576" spans="1:12" ht="23.25" hidden="1">
      <c r="A576" s="412">
        <f>SUBTOTAL(3,$E$8:E576)</f>
        <v>1</v>
      </c>
      <c r="B576" s="394">
        <v>43076</v>
      </c>
      <c r="C576" s="419" t="s">
        <v>1018</v>
      </c>
      <c r="D576" s="417" t="s">
        <v>1316</v>
      </c>
      <c r="E576" s="419" t="s">
        <v>830</v>
      </c>
      <c r="F576" s="419" t="s">
        <v>758</v>
      </c>
      <c r="G576" s="423"/>
      <c r="H576" s="419" t="s">
        <v>831</v>
      </c>
      <c r="I576" s="431" t="s">
        <v>1317</v>
      </c>
      <c r="J576" s="420">
        <v>3200</v>
      </c>
      <c r="K576" s="421"/>
      <c r="L576" s="424">
        <f>L575+Table16[[#This Row],[المدين (إيداع)]]-Table16[[#This Row],[الدائن (السحب)]]</f>
        <v>327166.16999999993</v>
      </c>
    </row>
    <row r="577" spans="1:12" ht="23.25" hidden="1">
      <c r="A577" s="412">
        <f>SUBTOTAL(3,$E$8:E577)</f>
        <v>1</v>
      </c>
      <c r="B577" s="394">
        <v>43076</v>
      </c>
      <c r="C577" s="419" t="s">
        <v>744</v>
      </c>
      <c r="D577" s="417" t="s">
        <v>752</v>
      </c>
      <c r="E577" s="419" t="s">
        <v>753</v>
      </c>
      <c r="F577" s="419" t="s">
        <v>754</v>
      </c>
      <c r="G577" s="423"/>
      <c r="H577" s="419" t="s">
        <v>755</v>
      </c>
      <c r="I577" s="431" t="s">
        <v>754</v>
      </c>
      <c r="J577" s="420"/>
      <c r="K577" s="421">
        <v>30</v>
      </c>
      <c r="L577" s="424">
        <f>L576+Table16[[#This Row],[المدين (إيداع)]]-Table16[[#This Row],[الدائن (السحب)]]</f>
        <v>327136.16999999993</v>
      </c>
    </row>
    <row r="578" spans="1:12" ht="23.25" hidden="1">
      <c r="A578" s="412">
        <f>SUBTOTAL(3,$E$8:E578)</f>
        <v>1</v>
      </c>
      <c r="B578" s="394">
        <v>43077</v>
      </c>
      <c r="C578" s="419" t="s">
        <v>744</v>
      </c>
      <c r="D578" s="417" t="s">
        <v>1290</v>
      </c>
      <c r="E578" s="419" t="s">
        <v>762</v>
      </c>
      <c r="F578" s="419" t="s">
        <v>763</v>
      </c>
      <c r="G578" s="423">
        <v>2696</v>
      </c>
      <c r="H578" s="419" t="s">
        <v>747</v>
      </c>
      <c r="I578" s="431" t="s">
        <v>811</v>
      </c>
      <c r="J578" s="420">
        <v>4500</v>
      </c>
      <c r="K578" s="421"/>
      <c r="L578" s="424">
        <f>L577+Table16[[#This Row],[المدين (إيداع)]]-Table16[[#This Row],[الدائن (السحب)]]</f>
        <v>331636.16999999993</v>
      </c>
    </row>
    <row r="579" spans="1:12" ht="23.25" hidden="1">
      <c r="A579" s="412">
        <f>SUBTOTAL(3,$E$8:E579)</f>
        <v>1</v>
      </c>
      <c r="B579" s="394">
        <v>43077</v>
      </c>
      <c r="C579" s="419" t="s">
        <v>744</v>
      </c>
      <c r="D579" s="417" t="s">
        <v>1290</v>
      </c>
      <c r="E579" s="419" t="s">
        <v>762</v>
      </c>
      <c r="F579" s="419" t="s">
        <v>763</v>
      </c>
      <c r="G579" s="423">
        <v>1375</v>
      </c>
      <c r="H579" s="419" t="s">
        <v>747</v>
      </c>
      <c r="I579" s="431" t="s">
        <v>811</v>
      </c>
      <c r="J579" s="420">
        <v>750</v>
      </c>
      <c r="K579" s="421"/>
      <c r="L579" s="424">
        <f>L578+Table16[[#This Row],[المدين (إيداع)]]-Table16[[#This Row],[الدائن (السحب)]]</f>
        <v>332386.16999999993</v>
      </c>
    </row>
    <row r="580" spans="1:12" ht="23.25" hidden="1">
      <c r="A580" s="412">
        <f>SUBTOTAL(3,$E$8:E580)</f>
        <v>1</v>
      </c>
      <c r="B580" s="394">
        <v>43079</v>
      </c>
      <c r="C580" s="419" t="s">
        <v>744</v>
      </c>
      <c r="D580" s="417" t="s">
        <v>1318</v>
      </c>
      <c r="E580" s="419" t="s">
        <v>773</v>
      </c>
      <c r="F580" s="419" t="s">
        <v>773</v>
      </c>
      <c r="G580" s="423">
        <v>309</v>
      </c>
      <c r="H580" s="419" t="s">
        <v>91</v>
      </c>
      <c r="I580" s="431" t="s">
        <v>1172</v>
      </c>
      <c r="J580" s="420"/>
      <c r="K580" s="421">
        <v>332386.17</v>
      </c>
      <c r="L580" s="424">
        <f>L579+Table16[[#This Row],[المدين (إيداع)]]-Table16[[#This Row],[الدائن (السحب)]]</f>
        <v>0</v>
      </c>
    </row>
    <row r="581" spans="1:12" ht="23.25" hidden="1">
      <c r="A581" s="412">
        <f>SUBTOTAL(3,$E$8:E581)</f>
        <v>1</v>
      </c>
      <c r="B581" s="394">
        <v>43080</v>
      </c>
      <c r="C581" s="419" t="s">
        <v>744</v>
      </c>
      <c r="D581" s="417" t="s">
        <v>1304</v>
      </c>
      <c r="E581" s="419" t="s">
        <v>762</v>
      </c>
      <c r="F581" s="419" t="s">
        <v>763</v>
      </c>
      <c r="G581" s="423">
        <v>6361</v>
      </c>
      <c r="H581" s="419" t="s">
        <v>860</v>
      </c>
      <c r="I581" s="431" t="s">
        <v>974</v>
      </c>
      <c r="J581" s="420">
        <v>9750</v>
      </c>
      <c r="K581" s="421"/>
      <c r="L581" s="424">
        <f>L580+Table16[[#This Row],[المدين (إيداع)]]-Table16[[#This Row],[الدائن (السحب)]]</f>
        <v>9750</v>
      </c>
    </row>
    <row r="582" spans="1:12" ht="23.25" hidden="1">
      <c r="A582" s="412">
        <f>SUBTOTAL(3,$E$8:E582)</f>
        <v>1</v>
      </c>
      <c r="B582" s="394">
        <v>43081</v>
      </c>
      <c r="C582" s="419" t="s">
        <v>744</v>
      </c>
      <c r="D582" s="417" t="s">
        <v>1290</v>
      </c>
      <c r="E582" s="419" t="s">
        <v>762</v>
      </c>
      <c r="F582" s="419" t="s">
        <v>763</v>
      </c>
      <c r="G582" s="423">
        <v>1536</v>
      </c>
      <c r="H582" s="419" t="s">
        <v>747</v>
      </c>
      <c r="I582" s="431" t="s">
        <v>811</v>
      </c>
      <c r="J582" s="420">
        <v>2400</v>
      </c>
      <c r="K582" s="421"/>
      <c r="L582" s="424">
        <f>L581+Table16[[#This Row],[المدين (إيداع)]]-Table16[[#This Row],[الدائن (السحب)]]</f>
        <v>12150</v>
      </c>
    </row>
    <row r="583" spans="1:12" ht="23.25" hidden="1">
      <c r="A583" s="412">
        <f>SUBTOTAL(3,$E$8:E583)</f>
        <v>1</v>
      </c>
      <c r="B583" s="394">
        <v>43081</v>
      </c>
      <c r="C583" s="419" t="s">
        <v>744</v>
      </c>
      <c r="D583" s="417" t="s">
        <v>1227</v>
      </c>
      <c r="E583" s="419" t="s">
        <v>855</v>
      </c>
      <c r="F583" s="419" t="s">
        <v>758</v>
      </c>
      <c r="G583" s="423"/>
      <c r="H583" s="419" t="s">
        <v>856</v>
      </c>
      <c r="I583" s="431" t="s">
        <v>857</v>
      </c>
      <c r="J583" s="420">
        <v>16600</v>
      </c>
      <c r="K583" s="421"/>
      <c r="L583" s="424">
        <f>L582+Table16[[#This Row],[المدين (إيداع)]]-Table16[[#This Row],[الدائن (السحب)]]</f>
        <v>28750</v>
      </c>
    </row>
    <row r="584" spans="1:12" ht="23.25" hidden="1">
      <c r="A584" s="412">
        <f>SUBTOTAL(3,$E$8:E584)</f>
        <v>1</v>
      </c>
      <c r="B584" s="394">
        <v>43081</v>
      </c>
      <c r="C584" s="419" t="s">
        <v>744</v>
      </c>
      <c r="D584" s="417" t="s">
        <v>1314</v>
      </c>
      <c r="E584" s="419" t="s">
        <v>758</v>
      </c>
      <c r="F584" s="419" t="s">
        <v>758</v>
      </c>
      <c r="G584" s="423"/>
      <c r="H584" s="419" t="s">
        <v>1161</v>
      </c>
      <c r="I584" s="431" t="s">
        <v>771</v>
      </c>
      <c r="J584" s="420">
        <v>600</v>
      </c>
      <c r="K584" s="421"/>
      <c r="L584" s="424">
        <f>L583+Table16[[#This Row],[المدين (إيداع)]]-Table16[[#This Row],[الدائن (السحب)]]</f>
        <v>29350</v>
      </c>
    </row>
    <row r="585" spans="1:12" ht="23.25" hidden="1">
      <c r="A585" s="412">
        <f>SUBTOTAL(3,$E$8:E585)</f>
        <v>1</v>
      </c>
      <c r="B585" s="394">
        <v>43083</v>
      </c>
      <c r="C585" s="419" t="s">
        <v>744</v>
      </c>
      <c r="D585" s="417" t="s">
        <v>1319</v>
      </c>
      <c r="E585" s="419" t="s">
        <v>758</v>
      </c>
      <c r="F585" s="419" t="s">
        <v>758</v>
      </c>
      <c r="G585" s="423"/>
      <c r="H585" s="419" t="s">
        <v>1123</v>
      </c>
      <c r="I585" s="431" t="s">
        <v>974</v>
      </c>
      <c r="J585" s="420">
        <v>16488</v>
      </c>
      <c r="K585" s="421"/>
      <c r="L585" s="424">
        <f>L584+Table16[[#This Row],[المدين (إيداع)]]-Table16[[#This Row],[الدائن (السحب)]]</f>
        <v>45838</v>
      </c>
    </row>
    <row r="586" spans="1:12" ht="23.25" hidden="1">
      <c r="A586" s="412">
        <f>SUBTOTAL(3,$E$8:E586)</f>
        <v>1</v>
      </c>
      <c r="B586" s="394">
        <v>43084</v>
      </c>
      <c r="C586" s="419" t="s">
        <v>744</v>
      </c>
      <c r="D586" s="417" t="s">
        <v>1195</v>
      </c>
      <c r="E586" s="419" t="s">
        <v>762</v>
      </c>
      <c r="F586" s="419" t="s">
        <v>763</v>
      </c>
      <c r="G586" s="423">
        <v>317</v>
      </c>
      <c r="H586" s="419" t="s">
        <v>1151</v>
      </c>
      <c r="I586" s="431" t="s">
        <v>842</v>
      </c>
      <c r="J586" s="420">
        <v>28250</v>
      </c>
      <c r="K586" s="421"/>
      <c r="L586" s="424">
        <f>L585+Table16[[#This Row],[المدين (إيداع)]]-Table16[[#This Row],[الدائن (السحب)]]</f>
        <v>74088</v>
      </c>
    </row>
    <row r="587" spans="1:12" ht="23.25" hidden="1">
      <c r="A587" s="412">
        <f>SUBTOTAL(3,$E$8:E587)</f>
        <v>1</v>
      </c>
      <c r="B587" s="394">
        <v>43084</v>
      </c>
      <c r="C587" s="419" t="s">
        <v>744</v>
      </c>
      <c r="D587" s="417" t="s">
        <v>1320</v>
      </c>
      <c r="E587" s="419" t="s">
        <v>762</v>
      </c>
      <c r="F587" s="419" t="s">
        <v>763</v>
      </c>
      <c r="G587" s="423">
        <v>1833</v>
      </c>
      <c r="H587" s="419" t="s">
        <v>747</v>
      </c>
      <c r="I587" s="431" t="s">
        <v>811</v>
      </c>
      <c r="J587" s="420">
        <v>3000</v>
      </c>
      <c r="K587" s="421"/>
      <c r="L587" s="424">
        <f>L586+Table16[[#This Row],[المدين (إيداع)]]-Table16[[#This Row],[الدائن (السحب)]]</f>
        <v>77088</v>
      </c>
    </row>
    <row r="588" spans="1:12" ht="23.25" hidden="1">
      <c r="A588" s="432">
        <f>SUBTOTAL(3,$E$8:E588)</f>
        <v>1</v>
      </c>
      <c r="B588" s="394">
        <v>43087</v>
      </c>
      <c r="C588" s="419" t="s">
        <v>744</v>
      </c>
      <c r="D588" s="417" t="s">
        <v>1168</v>
      </c>
      <c r="E588" s="419" t="s">
        <v>773</v>
      </c>
      <c r="F588" s="419" t="s">
        <v>773</v>
      </c>
      <c r="G588" s="423"/>
      <c r="H588" s="419" t="s">
        <v>1321</v>
      </c>
      <c r="I588" s="431" t="s">
        <v>1172</v>
      </c>
      <c r="J588" s="420"/>
      <c r="K588" s="421">
        <v>77088</v>
      </c>
      <c r="L588" s="424">
        <f>L587+Table16[[#This Row],[المدين (إيداع)]]-Table16[[#This Row],[الدائن (السحب)]]</f>
        <v>0</v>
      </c>
    </row>
    <row r="589" spans="1:12" ht="21">
      <c r="A589" s="394"/>
      <c r="B589" s="394"/>
      <c r="C589" s="419"/>
      <c r="D589" s="419"/>
      <c r="E589" s="419"/>
      <c r="F589" s="419"/>
      <c r="G589" s="394"/>
      <c r="H589" s="419"/>
      <c r="I589" s="419"/>
      <c r="J589" s="433"/>
      <c r="K589" s="399"/>
      <c r="L589" s="399"/>
    </row>
  </sheetData>
  <dataValidations count="1">
    <dataValidation type="custom" allowBlank="1" showInputMessage="1" showErrorMessage="1" sqref="A8:A588" xr:uid="{00000000-0002-0000-0300-000000000000}">
      <formula1>SUBTOTAL(3,$E$8:E8)</formula1>
    </dataValidation>
  </dataValidations>
  <printOptions horizontalCentered="1"/>
  <pageMargins left="0.23622047244094491" right="0.23622047244094491" top="0.78740157480314965" bottom="0.74803149606299213" header="0.31496062992125984" footer="0.31496062992125984"/>
  <pageSetup paperSize="9" scale="38" fitToHeight="0" orientation="landscape" r:id="rId1"/>
  <headerFooter>
    <oddHeader>&amp;L&amp;"-,Bold Italic"&amp;18شركة الرسين للصيانة
&amp;K00+000...&amp;K01+000الإدارة المالية&amp;K00+000...&amp;R&amp;G</oddHeader>
    <oddFooter>&amp;L&amp;"-,Bold Italic"&amp;16محمد أحمد مهدي&amp;C&amp;"-,Bold Italic"&amp;18صفحة رقم &amp;P من &amp;N&amp;R&amp;"-,Bold Italic"&amp;16كشف حساب البنك عن الفترة 
من 01-01-2017 حتى 31/12/2017
الراجحي 454608010306125</oddFooter>
  </headerFooter>
  <legacyDrawing r:id="rId2"/>
  <legacyDrawingHF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17</vt:i4>
      </vt:variant>
    </vt:vector>
  </HeadingPairs>
  <TitlesOfParts>
    <vt:vector size="46" baseType="lpstr">
      <vt:lpstr>ميزان المراجعة قبل الأقفال 2017</vt:lpstr>
      <vt:lpstr>ميزان المراجعة بعد الأقفال2017 </vt:lpstr>
      <vt:lpstr>قائمة الدخل 2017</vt:lpstr>
      <vt:lpstr>الزكاة الشرعية 2017</vt:lpstr>
      <vt:lpstr>الميزانية 2017</vt:lpstr>
      <vt:lpstr>جمجوم</vt:lpstr>
      <vt:lpstr>الإيضاحات 2017 expenses</vt:lpstr>
      <vt:lpstr>كشف حساب القطاع التجاري</vt:lpstr>
      <vt:lpstr>حساب الراجحي مؤسسة 625عام 2017 </vt:lpstr>
      <vt:lpstr>أصول 2017</vt:lpstr>
      <vt:lpstr>إيرادات مستحقة وأرصدة مدينة أخر</vt:lpstr>
      <vt:lpstr>الإيرادات المستحقة  2017</vt:lpstr>
      <vt:lpstr>الإيرادات المقدمة 2017</vt:lpstr>
      <vt:lpstr>تسوية البنك 2017</vt:lpstr>
      <vt:lpstr>الموردون 2017</vt:lpstr>
      <vt:lpstr>أطراف ذات علاقة 2017</vt:lpstr>
      <vt:lpstr>الذمم  2017 </vt:lpstr>
      <vt:lpstr>سجلات الرسين</vt:lpstr>
      <vt:lpstr>النقد و ما في حكمه</vt:lpstr>
      <vt:lpstr>التدفقات</vt:lpstr>
      <vt:lpstr>جقوق الملكية</vt:lpstr>
      <vt:lpstr>الإيضاحات 2017</vt:lpstr>
      <vt:lpstr>ميزان المراجعة</vt:lpstr>
      <vt:lpstr>الزكاة الشرعية</vt:lpstr>
      <vt:lpstr>Sheet5</vt:lpstr>
      <vt:lpstr>الإيضاحات</vt:lpstr>
      <vt:lpstr>الأصول الثابتة</vt:lpstr>
      <vt:lpstr>الدائنون التجاريون 2016</vt:lpstr>
      <vt:lpstr>الذمم  2016</vt:lpstr>
      <vt:lpstr>'أصول 2017'!Print_Area</vt:lpstr>
      <vt:lpstr>'الإيضاحات 2017'!Print_Area</vt:lpstr>
      <vt:lpstr>'الإيضاحات 2017 expenses'!Print_Area</vt:lpstr>
      <vt:lpstr>التدفقات!Print_Area</vt:lpstr>
      <vt:lpstr>'الذمم  2017 '!Print_Area</vt:lpstr>
      <vt:lpstr>'الزكاة الشرعية'!Print_Area</vt:lpstr>
      <vt:lpstr>'الميزانية 2017'!Print_Area</vt:lpstr>
      <vt:lpstr>'تسوية البنك 2017'!Print_Area</vt:lpstr>
      <vt:lpstr>'جقوق الملكية'!Print_Area</vt:lpstr>
      <vt:lpstr>'حساب الراجحي مؤسسة 625عام 2017 '!Print_Area</vt:lpstr>
      <vt:lpstr>'قائمة الدخل 2017'!Print_Area</vt:lpstr>
      <vt:lpstr>'ميزان المراجعة'!Print_Area</vt:lpstr>
      <vt:lpstr>'ميزان المراجعة بعد الأقفال2017 '!Print_Area</vt:lpstr>
      <vt:lpstr>'ميزان المراجعة قبل الأقفال 2017'!Print_Area</vt:lpstr>
      <vt:lpstr>'أصول 2017'!Print_Titles</vt:lpstr>
      <vt:lpstr>'الذمم  2017 '!Print_Titles</vt:lpstr>
      <vt:lpstr>'حساب الراجحي مؤسسة 625عام 2017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Mohammed Abo Gamil Al Tohami - احمد التهامي</dc:creator>
  <cp:lastModifiedBy>M07AMED MAHDI</cp:lastModifiedBy>
  <cp:lastPrinted>2018-10-12T15:15:16Z</cp:lastPrinted>
  <dcterms:created xsi:type="dcterms:W3CDTF">2006-09-16T00:00:00Z</dcterms:created>
  <dcterms:modified xsi:type="dcterms:W3CDTF">2018-10-12T15:26:56Z</dcterms:modified>
</cp:coreProperties>
</file>