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fileSharing userName="M07AMED MAHDI" algorithmName="SHA-512" hashValue="SguIbwmCem2bTGL9sR++AzrpLXshaNHIsdEO9cPYL78UVW8N58luBj3uqaj4vrf6CLRhFV/N+T+8GbYFmQe33A==" saltValue="D7PGyTd1j0ZLGRXcHP83qg==" spinCount="100000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ras\Dropbox\Al Raseen\finance\2017\"/>
    </mc:Choice>
  </mc:AlternateContent>
  <xr:revisionPtr revIDLastSave="0" documentId="8_{7354BE01-B5A2-4B40-98C3-CD820433BC3F}" xr6:coauthVersionLast="31" xr6:coauthVersionMax="31" xr10:uidLastSave="{00000000-0000-0000-0000-000000000000}"/>
  <bookViews>
    <workbookView xWindow="120" yWindow="135" windowWidth="24915" windowHeight="12090" tabRatio="708" firstSheet="3" activeTab="10" xr2:uid="{00000000-000D-0000-FFFF-FFFF00000000}"/>
  </bookViews>
  <sheets>
    <sheet name="مصنع وسائط النقل" sheetId="15" r:id="rId1"/>
    <sheet name="حساب الشركة السعودية للتموين ال" sheetId="13" r:id="rId2"/>
    <sheet name="كشف حساب المهندس  محمد ربيع ذكي" sheetId="10" r:id="rId3"/>
    <sheet name="مطابقة حساب أبو نايف 2017 " sheetId="9" r:id="rId4"/>
    <sheet name="أرقام حسابات البنوك" sheetId="8" r:id="rId5"/>
    <sheet name="أصول 2017" sheetId="7" r:id="rId6"/>
    <sheet name="حساب بنك الراجحي مؤسسة 625 " sheetId="6" r:id="rId7"/>
    <sheet name="رواتب الرسين 2017" sheetId="5" r:id="rId8"/>
    <sheet name="كشف حساب القطاع التجاري" sheetId="2" r:id="rId9"/>
    <sheet name="كشف حساب شركة الفهاد" sheetId="4" r:id="rId10"/>
    <sheet name="تحليل حساب الفهاد" sheetId="14" r:id="rId11"/>
    <sheet name="جرد الرسين معدات" sheetId="3" r:id="rId12"/>
    <sheet name="دليل الحسابات المقترح" sheetId="11" r:id="rId13"/>
    <sheet name="مهم جداااا" sheetId="12" r:id="rId14"/>
  </sheets>
  <externalReferences>
    <externalReference r:id="rId15"/>
    <externalReference r:id="rId16"/>
  </externalReferences>
  <definedNames>
    <definedName name="NAME" localSheetId="1">#REF!</definedName>
    <definedName name="NAME" localSheetId="0">#REF!</definedName>
    <definedName name="NAME">#REF!</definedName>
    <definedName name="_xlnm.Print_Area" localSheetId="5">'أصول 2017'!$A$1:$WYT$155</definedName>
    <definedName name="_xlnm.Print_Area" localSheetId="6">'حساب بنك الراجحي مؤسسة 625 '!$A$1:$L$590</definedName>
    <definedName name="_xlnm.Print_Area" localSheetId="7">'رواتب الرسين 2017'!$A$1:$AH$205</definedName>
    <definedName name="_xlnm.Print_Area" localSheetId="2">'كشف حساب المهندس  محمد ربيع ذكي'!$A$1:$J$29</definedName>
    <definedName name="_xlnm.Print_Area" localSheetId="9">'كشف حساب شركة الفهاد'!$A$1:$K$490</definedName>
    <definedName name="_xlnm.Print_Area" localSheetId="0">'مصنع وسائط النقل'!$A$1:$P$60</definedName>
    <definedName name="_xlnm.Print_Area" localSheetId="3">'مطابقة حساب أبو نايف 2017 '!$A$1:$J$22</definedName>
    <definedName name="_xlnm.Print_Titles" localSheetId="5">'أصول 2017'!$5:$5</definedName>
    <definedName name="_xlnm.Print_Titles" localSheetId="1">'حساب الشركة السعودية للتموين ال'!$5:$5</definedName>
    <definedName name="_xlnm.Print_Titles" localSheetId="6">'حساب بنك الراجحي مؤسسة 625 '!$7:$7</definedName>
    <definedName name="الإدارة">[1]معلومات!$E$5:$E$17</definedName>
    <definedName name="البنك" localSheetId="1">'[2]تفاصيل الحسابات '!#REF!</definedName>
    <definedName name="البنك" localSheetId="0">'[2]تفاصيل الحسابات '!#REF!</definedName>
    <definedName name="البنك">'[2]تفاصيل الحسابات '!#REF!</definedName>
    <definedName name="المستخدم">[1]معلومات!$F$5:$F$17</definedName>
    <definedName name="المشروع">[1]معلومات!$C$5:$C$17</definedName>
    <definedName name="مجموعة_الاصول">[1]معلومات!$B$5:$B$17</definedName>
    <definedName name="نوع_المعدة" localSheetId="5">[1]!Table4[نوع المعدة]</definedName>
    <definedName name="نوع_المعدة">[1]!Table4[نوع المعدة]</definedName>
  </definedNames>
  <calcPr calcId="179017"/>
</workbook>
</file>

<file path=xl/calcChain.xml><?xml version="1.0" encoding="utf-8"?>
<calcChain xmlns="http://schemas.openxmlformats.org/spreadsheetml/2006/main">
  <c r="L1" i="4" l="1"/>
  <c r="L2" i="4" s="1"/>
  <c r="M1" i="4"/>
  <c r="O54" i="15"/>
  <c r="N54" i="15"/>
  <c r="O30" i="15" l="1"/>
  <c r="P5" i="15"/>
  <c r="P6" i="15" s="1"/>
  <c r="P7" i="15" s="1"/>
  <c r="P8" i="15" s="1"/>
  <c r="P9" i="15" s="1"/>
  <c r="P10" i="15" l="1"/>
  <c r="P11" i="15" s="1"/>
  <c r="P12" i="15" s="1"/>
  <c r="P13" i="15" s="1"/>
  <c r="P14" i="15" s="1"/>
  <c r="P15" i="15" s="1"/>
  <c r="N16" i="15"/>
  <c r="N14" i="15"/>
  <c r="N41" i="15"/>
  <c r="N36" i="15"/>
  <c r="N35" i="15"/>
  <c r="N34" i="15"/>
  <c r="N25" i="15"/>
  <c r="N29" i="15"/>
  <c r="N28" i="15"/>
  <c r="N27" i="15"/>
  <c r="N20" i="15"/>
  <c r="N19" i="15"/>
  <c r="N22" i="15"/>
  <c r="N23" i="15"/>
  <c r="P54" i="15" l="1"/>
  <c r="P16" i="15"/>
  <c r="P17" i="15" s="1"/>
  <c r="P18" i="15" s="1"/>
  <c r="P19" i="15" s="1"/>
  <c r="P20" i="15" s="1"/>
  <c r="P21" i="15" s="1"/>
  <c r="P22" i="15" s="1"/>
  <c r="P23" i="15" s="1"/>
  <c r="P24" i="15" s="1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AJ514" i="4"/>
  <c r="AH514" i="4"/>
  <c r="AG514" i="4"/>
  <c r="AF514" i="4"/>
  <c r="AE514" i="4"/>
  <c r="AD514" i="4"/>
  <c r="AC514" i="4"/>
  <c r="AB514" i="4"/>
  <c r="AA514" i="4"/>
  <c r="Z514" i="4"/>
  <c r="Y514" i="4"/>
  <c r="X514" i="4"/>
  <c r="W514" i="4"/>
  <c r="S514" i="4"/>
  <c r="R514" i="4"/>
  <c r="Q514" i="4"/>
  <c r="O514" i="4"/>
  <c r="L514" i="4"/>
  <c r="G514" i="4"/>
  <c r="D514" i="4"/>
  <c r="N512" i="4"/>
  <c r="N505" i="4"/>
  <c r="N504" i="4"/>
  <c r="N503" i="4"/>
  <c r="N502" i="4"/>
  <c r="N501" i="4"/>
  <c r="N499" i="4"/>
  <c r="C499" i="4"/>
  <c r="C514" i="4" s="1"/>
  <c r="AI498" i="4"/>
  <c r="AI514" i="4" s="1"/>
  <c r="V498" i="4"/>
  <c r="V514" i="4" s="1"/>
  <c r="T498" i="4"/>
  <c r="T514" i="4" s="1"/>
  <c r="P498" i="4"/>
  <c r="P514" i="4" s="1"/>
  <c r="F498" i="4"/>
  <c r="F514" i="4" s="1"/>
  <c r="K496" i="4"/>
  <c r="K514" i="4" s="1"/>
  <c r="I488" i="4"/>
  <c r="H488" i="4"/>
  <c r="J487" i="4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I43" i="2"/>
  <c r="H43" i="2"/>
  <c r="I44" i="2" s="1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6" i="2"/>
  <c r="AE203" i="5"/>
  <c r="AC203" i="5"/>
  <c r="AA203" i="5"/>
  <c r="O258" i="5" s="1"/>
  <c r="Y203" i="5"/>
  <c r="W203" i="5"/>
  <c r="U203" i="5"/>
  <c r="L258" i="5" s="1"/>
  <c r="S203" i="5"/>
  <c r="Q203" i="5"/>
  <c r="O203" i="5"/>
  <c r="M203" i="5"/>
  <c r="L203" i="5"/>
  <c r="J203" i="5"/>
  <c r="G203" i="5"/>
  <c r="G258" i="5" s="1"/>
  <c r="AE202" i="5"/>
  <c r="AC202" i="5"/>
  <c r="AA202" i="5"/>
  <c r="O257" i="5" s="1"/>
  <c r="Y202" i="5"/>
  <c r="W202" i="5"/>
  <c r="U202" i="5"/>
  <c r="L257" i="5" s="1"/>
  <c r="S202" i="5"/>
  <c r="Q202" i="5"/>
  <c r="O202" i="5"/>
  <c r="J257" i="5" s="1"/>
  <c r="L202" i="5"/>
  <c r="J202" i="5"/>
  <c r="G202" i="5"/>
  <c r="AE201" i="5"/>
  <c r="AC201" i="5"/>
  <c r="AA201" i="5"/>
  <c r="Y201" i="5"/>
  <c r="W201" i="5"/>
  <c r="U201" i="5"/>
  <c r="L256" i="5" s="1"/>
  <c r="S201" i="5"/>
  <c r="Q201" i="5"/>
  <c r="O201" i="5"/>
  <c r="J256" i="5" s="1"/>
  <c r="L201" i="5"/>
  <c r="J201" i="5"/>
  <c r="G201" i="5"/>
  <c r="G256" i="5" s="1"/>
  <c r="AC200" i="5"/>
  <c r="AA200" i="5"/>
  <c r="Y200" i="5"/>
  <c r="W200" i="5"/>
  <c r="U200" i="5"/>
  <c r="S200" i="5"/>
  <c r="Q200" i="5"/>
  <c r="O200" i="5"/>
  <c r="J255" i="5" s="1"/>
  <c r="M200" i="5"/>
  <c r="L200" i="5"/>
  <c r="J200" i="5"/>
  <c r="G200" i="5"/>
  <c r="G255" i="5" s="1"/>
  <c r="AE199" i="5"/>
  <c r="AC199" i="5"/>
  <c r="AA199" i="5"/>
  <c r="O254" i="5" s="1"/>
  <c r="Y199" i="5"/>
  <c r="W199" i="5"/>
  <c r="U199" i="5"/>
  <c r="S199" i="5"/>
  <c r="Q199" i="5"/>
  <c r="O199" i="5"/>
  <c r="J254" i="5" s="1"/>
  <c r="L199" i="5"/>
  <c r="M199" i="5" s="1"/>
  <c r="J199" i="5"/>
  <c r="G199" i="5"/>
  <c r="AE198" i="5"/>
  <c r="AC198" i="5"/>
  <c r="AA198" i="5"/>
  <c r="Y198" i="5"/>
  <c r="W198" i="5"/>
  <c r="U198" i="5"/>
  <c r="L253" i="5" s="1"/>
  <c r="S198" i="5"/>
  <c r="Q198" i="5"/>
  <c r="O198" i="5"/>
  <c r="AG198" i="5" s="1"/>
  <c r="M198" i="5"/>
  <c r="L198" i="5"/>
  <c r="J198" i="5"/>
  <c r="G198" i="5"/>
  <c r="AE197" i="5"/>
  <c r="AC197" i="5"/>
  <c r="AA197" i="5"/>
  <c r="O252" i="5" s="1"/>
  <c r="Y197" i="5"/>
  <c r="W197" i="5"/>
  <c r="U197" i="5"/>
  <c r="L252" i="5" s="1"/>
  <c r="S197" i="5"/>
  <c r="Q197" i="5"/>
  <c r="O197" i="5"/>
  <c r="J252" i="5" s="1"/>
  <c r="L197" i="5"/>
  <c r="J197" i="5"/>
  <c r="G197" i="5"/>
  <c r="G252" i="5" s="1"/>
  <c r="AE196" i="5"/>
  <c r="AC196" i="5"/>
  <c r="AA196" i="5"/>
  <c r="O251" i="5" s="1"/>
  <c r="Y196" i="5"/>
  <c r="W196" i="5"/>
  <c r="U196" i="5"/>
  <c r="S196" i="5"/>
  <c r="Q196" i="5"/>
  <c r="O196" i="5"/>
  <c r="M196" i="5"/>
  <c r="L196" i="5"/>
  <c r="J196" i="5"/>
  <c r="G196" i="5"/>
  <c r="G251" i="5" s="1"/>
  <c r="AC195" i="5"/>
  <c r="AA195" i="5"/>
  <c r="Y195" i="5"/>
  <c r="W195" i="5"/>
  <c r="U195" i="5"/>
  <c r="S195" i="5"/>
  <c r="Q195" i="5"/>
  <c r="L195" i="5"/>
  <c r="J195" i="5"/>
  <c r="G195" i="5"/>
  <c r="AS187" i="5"/>
  <c r="AP187" i="5"/>
  <c r="AQ184" i="5" s="1"/>
  <c r="AM187" i="5"/>
  <c r="AJ187" i="5"/>
  <c r="AK182" i="5" s="1"/>
  <c r="AG187" i="5"/>
  <c r="AD187" i="5"/>
  <c r="AE180" i="5" s="1"/>
  <c r="AA187" i="5"/>
  <c r="X187" i="5"/>
  <c r="Y178" i="5" s="1"/>
  <c r="U187" i="5"/>
  <c r="R187" i="5"/>
  <c r="S184" i="5" s="1"/>
  <c r="N187" i="5"/>
  <c r="J187" i="5"/>
  <c r="K180" i="5" s="1"/>
  <c r="G187" i="5"/>
  <c r="AU185" i="5"/>
  <c r="AT185" i="5"/>
  <c r="AN185" i="5"/>
  <c r="AH185" i="5"/>
  <c r="AB185" i="5"/>
  <c r="V185" i="5"/>
  <c r="Q185" i="5"/>
  <c r="M185" i="5"/>
  <c r="I185" i="5"/>
  <c r="F185" i="5"/>
  <c r="A185" i="5"/>
  <c r="AU184" i="5"/>
  <c r="AK184" i="5"/>
  <c r="Q184" i="5"/>
  <c r="O184" i="5"/>
  <c r="M184" i="5"/>
  <c r="I184" i="5"/>
  <c r="F184" i="5"/>
  <c r="A184" i="5"/>
  <c r="AU183" i="5"/>
  <c r="AT183" i="5"/>
  <c r="AN183" i="5"/>
  <c r="AH183" i="5"/>
  <c r="AB183" i="5"/>
  <c r="V183" i="5"/>
  <c r="Q183" i="5"/>
  <c r="M183" i="5"/>
  <c r="I183" i="5"/>
  <c r="F183" i="5"/>
  <c r="A183" i="5"/>
  <c r="AU182" i="5"/>
  <c r="AQ182" i="5"/>
  <c r="AE182" i="5"/>
  <c r="S182" i="5"/>
  <c r="Q182" i="5"/>
  <c r="O182" i="5"/>
  <c r="M182" i="5"/>
  <c r="K182" i="5"/>
  <c r="I182" i="5"/>
  <c r="F182" i="5"/>
  <c r="A182" i="5"/>
  <c r="AU181" i="5"/>
  <c r="AT181" i="5"/>
  <c r="AN181" i="5"/>
  <c r="AH181" i="5"/>
  <c r="AB181" i="5"/>
  <c r="V181" i="5"/>
  <c r="Q181" i="5"/>
  <c r="M181" i="5"/>
  <c r="I181" i="5"/>
  <c r="F181" i="5"/>
  <c r="A181" i="5"/>
  <c r="AU180" i="5"/>
  <c r="Y180" i="5"/>
  <c r="Q180" i="5"/>
  <c r="O180" i="5"/>
  <c r="M180" i="5"/>
  <c r="I180" i="5"/>
  <c r="F180" i="5"/>
  <c r="A180" i="5"/>
  <c r="AU179" i="5"/>
  <c r="AT179" i="5"/>
  <c r="AN179" i="5"/>
  <c r="AH179" i="5"/>
  <c r="AB179" i="5"/>
  <c r="V179" i="5"/>
  <c r="Q179" i="5"/>
  <c r="M179" i="5"/>
  <c r="I179" i="5"/>
  <c r="F179" i="5"/>
  <c r="A179" i="5"/>
  <c r="AU178" i="5"/>
  <c r="AQ178" i="5"/>
  <c r="AE178" i="5"/>
  <c r="S178" i="5"/>
  <c r="Q178" i="5"/>
  <c r="O178" i="5"/>
  <c r="M178" i="5"/>
  <c r="I178" i="5"/>
  <c r="F178" i="5"/>
  <c r="A178" i="5"/>
  <c r="AU177" i="5"/>
  <c r="AT177" i="5"/>
  <c r="AN177" i="5"/>
  <c r="AH177" i="5"/>
  <c r="AB177" i="5"/>
  <c r="V177" i="5"/>
  <c r="Q177" i="5"/>
  <c r="M177" i="5"/>
  <c r="I177" i="5"/>
  <c r="F177" i="5"/>
  <c r="A177" i="5"/>
  <c r="AU176" i="5"/>
  <c r="AK176" i="5"/>
  <c r="Y176" i="5"/>
  <c r="Q176" i="5"/>
  <c r="O176" i="5"/>
  <c r="M176" i="5"/>
  <c r="I176" i="5"/>
  <c r="F176" i="5"/>
  <c r="A176" i="5"/>
  <c r="AU175" i="5"/>
  <c r="AT175" i="5"/>
  <c r="AQ175" i="5"/>
  <c r="AN175" i="5"/>
  <c r="AH175" i="5"/>
  <c r="AB175" i="5"/>
  <c r="V175" i="5"/>
  <c r="S175" i="5"/>
  <c r="Q175" i="5"/>
  <c r="O175" i="5"/>
  <c r="M175" i="5"/>
  <c r="K175" i="5"/>
  <c r="I175" i="5"/>
  <c r="F175" i="5"/>
  <c r="A175" i="5"/>
  <c r="AU174" i="5"/>
  <c r="AT174" i="5"/>
  <c r="AN174" i="5"/>
  <c r="AH174" i="5"/>
  <c r="AB174" i="5"/>
  <c r="V174" i="5"/>
  <c r="Q174" i="5"/>
  <c r="O174" i="5"/>
  <c r="M174" i="5"/>
  <c r="I174" i="5"/>
  <c r="F174" i="5"/>
  <c r="A174" i="5"/>
  <c r="AU173" i="5"/>
  <c r="AT173" i="5"/>
  <c r="AQ173" i="5"/>
  <c r="AN173" i="5"/>
  <c r="AK173" i="5"/>
  <c r="AH173" i="5"/>
  <c r="AE173" i="5"/>
  <c r="AB173" i="5"/>
  <c r="Y173" i="5"/>
  <c r="V173" i="5"/>
  <c r="S173" i="5"/>
  <c r="Q173" i="5"/>
  <c r="O173" i="5"/>
  <c r="M173" i="5"/>
  <c r="K173" i="5"/>
  <c r="I173" i="5"/>
  <c r="F173" i="5"/>
  <c r="A173" i="5"/>
  <c r="AU172" i="5"/>
  <c r="AT172" i="5"/>
  <c r="AN172" i="5"/>
  <c r="AH172" i="5"/>
  <c r="AB172" i="5"/>
  <c r="V172" i="5"/>
  <c r="Q172" i="5"/>
  <c r="O172" i="5"/>
  <c r="M172" i="5"/>
  <c r="I172" i="5"/>
  <c r="F172" i="5"/>
  <c r="A172" i="5"/>
  <c r="AU171" i="5"/>
  <c r="AT171" i="5"/>
  <c r="AQ171" i="5"/>
  <c r="AN171" i="5"/>
  <c r="AK171" i="5"/>
  <c r="AH171" i="5"/>
  <c r="AE171" i="5"/>
  <c r="AB171" i="5"/>
  <c r="Y171" i="5"/>
  <c r="V171" i="5"/>
  <c r="S171" i="5"/>
  <c r="Q171" i="5"/>
  <c r="O171" i="5"/>
  <c r="M171" i="5"/>
  <c r="K171" i="5"/>
  <c r="I171" i="5"/>
  <c r="F171" i="5"/>
  <c r="A171" i="5"/>
  <c r="AU170" i="5"/>
  <c r="AT170" i="5"/>
  <c r="AN170" i="5"/>
  <c r="AH170" i="5"/>
  <c r="AB170" i="5"/>
  <c r="V170" i="5"/>
  <c r="Q170" i="5"/>
  <c r="O170" i="5"/>
  <c r="M170" i="5"/>
  <c r="I170" i="5"/>
  <c r="F170" i="5"/>
  <c r="A170" i="5"/>
  <c r="AU169" i="5"/>
  <c r="AT169" i="5"/>
  <c r="AQ169" i="5"/>
  <c r="AN169" i="5"/>
  <c r="AK169" i="5"/>
  <c r="AH169" i="5"/>
  <c r="AE169" i="5"/>
  <c r="AB169" i="5"/>
  <c r="Y169" i="5"/>
  <c r="V169" i="5"/>
  <c r="S169" i="5"/>
  <c r="Q169" i="5"/>
  <c r="O169" i="5"/>
  <c r="M169" i="5"/>
  <c r="K169" i="5"/>
  <c r="I169" i="5"/>
  <c r="F169" i="5"/>
  <c r="A169" i="5"/>
  <c r="AU168" i="5"/>
  <c r="AT168" i="5"/>
  <c r="AN168" i="5"/>
  <c r="AH168" i="5"/>
  <c r="AB168" i="5"/>
  <c r="V168" i="5"/>
  <c r="Q168" i="5"/>
  <c r="O168" i="5"/>
  <c r="M168" i="5"/>
  <c r="I168" i="5"/>
  <c r="F168" i="5"/>
  <c r="A168" i="5"/>
  <c r="AU167" i="5"/>
  <c r="AT167" i="5"/>
  <c r="AQ167" i="5"/>
  <c r="AN167" i="5"/>
  <c r="AK167" i="5"/>
  <c r="AH167" i="5"/>
  <c r="AE167" i="5"/>
  <c r="AB167" i="5"/>
  <c r="Y167" i="5"/>
  <c r="V167" i="5"/>
  <c r="S167" i="5"/>
  <c r="Q167" i="5"/>
  <c r="O167" i="5"/>
  <c r="M167" i="5"/>
  <c r="K167" i="5"/>
  <c r="I167" i="5"/>
  <c r="F167" i="5"/>
  <c r="A167" i="5"/>
  <c r="AU166" i="5"/>
  <c r="AT166" i="5"/>
  <c r="AN166" i="5"/>
  <c r="AH166" i="5"/>
  <c r="AB166" i="5"/>
  <c r="V166" i="5"/>
  <c r="Q166" i="5"/>
  <c r="O166" i="5"/>
  <c r="M166" i="5"/>
  <c r="I166" i="5"/>
  <c r="F166" i="5"/>
  <c r="A166" i="5"/>
  <c r="AU165" i="5"/>
  <c r="AT165" i="5"/>
  <c r="AQ165" i="5"/>
  <c r="AN165" i="5"/>
  <c r="AK165" i="5"/>
  <c r="AH165" i="5"/>
  <c r="AE165" i="5"/>
  <c r="AB165" i="5"/>
  <c r="Y165" i="5"/>
  <c r="V165" i="5"/>
  <c r="S165" i="5"/>
  <c r="Q165" i="5"/>
  <c r="O165" i="5"/>
  <c r="M165" i="5"/>
  <c r="K165" i="5"/>
  <c r="I165" i="5"/>
  <c r="F165" i="5"/>
  <c r="A165" i="5"/>
  <c r="AU164" i="5"/>
  <c r="AT164" i="5"/>
  <c r="AN164" i="5"/>
  <c r="AH164" i="5"/>
  <c r="AB164" i="5"/>
  <c r="V164" i="5"/>
  <c r="Q164" i="5"/>
  <c r="O164" i="5"/>
  <c r="M164" i="5"/>
  <c r="I164" i="5"/>
  <c r="F164" i="5"/>
  <c r="A164" i="5"/>
  <c r="AU163" i="5"/>
  <c r="AT163" i="5"/>
  <c r="AQ163" i="5"/>
  <c r="AN163" i="5"/>
  <c r="AK163" i="5"/>
  <c r="AH163" i="5"/>
  <c r="AE163" i="5"/>
  <c r="AB163" i="5"/>
  <c r="Y163" i="5"/>
  <c r="V163" i="5"/>
  <c r="S163" i="5"/>
  <c r="Q163" i="5"/>
  <c r="O163" i="5"/>
  <c r="M163" i="5"/>
  <c r="K163" i="5"/>
  <c r="I163" i="5"/>
  <c r="F163" i="5"/>
  <c r="A163" i="5"/>
  <c r="AU162" i="5"/>
  <c r="AT162" i="5"/>
  <c r="AN162" i="5"/>
  <c r="AH162" i="5"/>
  <c r="AB162" i="5"/>
  <c r="V162" i="5"/>
  <c r="Q162" i="5"/>
  <c r="O162" i="5"/>
  <c r="M162" i="5"/>
  <c r="I162" i="5"/>
  <c r="F162" i="5"/>
  <c r="A162" i="5"/>
  <c r="AU161" i="5"/>
  <c r="AT161" i="5"/>
  <c r="AQ161" i="5"/>
  <c r="AN161" i="5"/>
  <c r="AK161" i="5"/>
  <c r="AH161" i="5"/>
  <c r="AE161" i="5"/>
  <c r="AB161" i="5"/>
  <c r="Y161" i="5"/>
  <c r="V161" i="5"/>
  <c r="S161" i="5"/>
  <c r="Q161" i="5"/>
  <c r="O161" i="5"/>
  <c r="M161" i="5"/>
  <c r="K161" i="5"/>
  <c r="I161" i="5"/>
  <c r="F161" i="5"/>
  <c r="A161" i="5"/>
  <c r="AU160" i="5"/>
  <c r="AT160" i="5"/>
  <c r="AN160" i="5"/>
  <c r="AH160" i="5"/>
  <c r="AB160" i="5"/>
  <c r="V160" i="5"/>
  <c r="Q160" i="5"/>
  <c r="O160" i="5"/>
  <c r="M160" i="5"/>
  <c r="I160" i="5"/>
  <c r="F160" i="5"/>
  <c r="A160" i="5"/>
  <c r="AU159" i="5"/>
  <c r="AU187" i="5" s="1"/>
  <c r="AT159" i="5"/>
  <c r="AT187" i="5" s="1"/>
  <c r="AQ159" i="5"/>
  <c r="AQ187" i="5" s="1"/>
  <c r="AN159" i="5"/>
  <c r="AN187" i="5" s="1"/>
  <c r="AK159" i="5"/>
  <c r="AK187" i="5" s="1"/>
  <c r="AH159" i="5"/>
  <c r="AE159" i="5"/>
  <c r="AE187" i="5" s="1"/>
  <c r="AB159" i="5"/>
  <c r="AB187" i="5" s="1"/>
  <c r="Y159" i="5"/>
  <c r="V159" i="5"/>
  <c r="S159" i="5"/>
  <c r="S187" i="5" s="1"/>
  <c r="Q159" i="5"/>
  <c r="O159" i="5"/>
  <c r="O187" i="5" s="1"/>
  <c r="M159" i="5"/>
  <c r="K159" i="5"/>
  <c r="K187" i="5" s="1"/>
  <c r="I159" i="5"/>
  <c r="F159" i="5"/>
  <c r="A159" i="5"/>
  <c r="AU158" i="5"/>
  <c r="AT158" i="5"/>
  <c r="AQ158" i="5"/>
  <c r="AN158" i="5"/>
  <c r="AH158" i="5"/>
  <c r="AB158" i="5"/>
  <c r="V158" i="5"/>
  <c r="Q158" i="5"/>
  <c r="O158" i="5"/>
  <c r="M158" i="5"/>
  <c r="I158" i="5"/>
  <c r="F158" i="5"/>
  <c r="A158" i="5"/>
  <c r="AU157" i="5"/>
  <c r="AT157" i="5"/>
  <c r="AQ157" i="5"/>
  <c r="AN157" i="5"/>
  <c r="AK157" i="5"/>
  <c r="AH157" i="5"/>
  <c r="AE157" i="5"/>
  <c r="AB157" i="5"/>
  <c r="Y157" i="5"/>
  <c r="V157" i="5"/>
  <c r="S157" i="5"/>
  <c r="Q157" i="5"/>
  <c r="O157" i="5"/>
  <c r="M157" i="5"/>
  <c r="K157" i="5"/>
  <c r="I157" i="5"/>
  <c r="F157" i="5"/>
  <c r="A157" i="5"/>
  <c r="AU156" i="5"/>
  <c r="AT156" i="5"/>
  <c r="AQ156" i="5"/>
  <c r="AN156" i="5"/>
  <c r="AH156" i="5"/>
  <c r="AE156" i="5"/>
  <c r="AB156" i="5"/>
  <c r="V156" i="5"/>
  <c r="S156" i="5"/>
  <c r="Q156" i="5"/>
  <c r="O156" i="5"/>
  <c r="M156" i="5"/>
  <c r="I156" i="5"/>
  <c r="F156" i="5"/>
  <c r="A156" i="5"/>
  <c r="AU155" i="5"/>
  <c r="AT155" i="5"/>
  <c r="AQ155" i="5"/>
  <c r="AN155" i="5"/>
  <c r="AK155" i="5"/>
  <c r="AH155" i="5"/>
  <c r="AE155" i="5"/>
  <c r="AB155" i="5"/>
  <c r="Y155" i="5"/>
  <c r="V155" i="5"/>
  <c r="S155" i="5"/>
  <c r="Q155" i="5"/>
  <c r="O155" i="5"/>
  <c r="M155" i="5"/>
  <c r="K155" i="5"/>
  <c r="I155" i="5"/>
  <c r="F155" i="5"/>
  <c r="A155" i="5"/>
  <c r="AU154" i="5"/>
  <c r="AT154" i="5"/>
  <c r="AQ154" i="5"/>
  <c r="AN154" i="5"/>
  <c r="AH154" i="5"/>
  <c r="AE154" i="5"/>
  <c r="AB154" i="5"/>
  <c r="V154" i="5"/>
  <c r="S154" i="5"/>
  <c r="Q154" i="5"/>
  <c r="O154" i="5"/>
  <c r="M154" i="5"/>
  <c r="I154" i="5"/>
  <c r="F154" i="5"/>
  <c r="A154" i="5"/>
  <c r="AU153" i="5"/>
  <c r="AT153" i="5"/>
  <c r="AQ153" i="5"/>
  <c r="AN153" i="5"/>
  <c r="AK153" i="5"/>
  <c r="AH153" i="5"/>
  <c r="AE153" i="5"/>
  <c r="AB153" i="5"/>
  <c r="Y153" i="5"/>
  <c r="V153" i="5"/>
  <c r="S153" i="5"/>
  <c r="Q153" i="5"/>
  <c r="O153" i="5"/>
  <c r="M153" i="5"/>
  <c r="K153" i="5"/>
  <c r="I153" i="5"/>
  <c r="F153" i="5"/>
  <c r="A153" i="5"/>
  <c r="AU152" i="5"/>
  <c r="AT152" i="5"/>
  <c r="AQ152" i="5"/>
  <c r="AN152" i="5"/>
  <c r="AK152" i="5"/>
  <c r="AH152" i="5"/>
  <c r="AE152" i="5"/>
  <c r="AB152" i="5"/>
  <c r="Y152" i="5"/>
  <c r="V152" i="5"/>
  <c r="S152" i="5"/>
  <c r="Q152" i="5"/>
  <c r="O152" i="5"/>
  <c r="M152" i="5"/>
  <c r="K152" i="5"/>
  <c r="I152" i="5"/>
  <c r="F152" i="5"/>
  <c r="A152" i="5"/>
  <c r="AU151" i="5"/>
  <c r="AT151" i="5"/>
  <c r="AQ151" i="5"/>
  <c r="AN151" i="5"/>
  <c r="AK151" i="5"/>
  <c r="AH151" i="5"/>
  <c r="AE151" i="5"/>
  <c r="AB151" i="5"/>
  <c r="Y151" i="5"/>
  <c r="V151" i="5"/>
  <c r="S151" i="5"/>
  <c r="Q151" i="5"/>
  <c r="O151" i="5"/>
  <c r="M151" i="5"/>
  <c r="K151" i="5"/>
  <c r="I151" i="5"/>
  <c r="F151" i="5"/>
  <c r="A151" i="5"/>
  <c r="AU150" i="5"/>
  <c r="AT150" i="5"/>
  <c r="AQ150" i="5"/>
  <c r="AN150" i="5"/>
  <c r="AK150" i="5"/>
  <c r="AH150" i="5"/>
  <c r="AE150" i="5"/>
  <c r="AB150" i="5"/>
  <c r="Y150" i="5"/>
  <c r="V150" i="5"/>
  <c r="S150" i="5"/>
  <c r="Q150" i="5"/>
  <c r="O150" i="5"/>
  <c r="M150" i="5"/>
  <c r="K150" i="5"/>
  <c r="I150" i="5"/>
  <c r="F150" i="5"/>
  <c r="A150" i="5"/>
  <c r="AU149" i="5"/>
  <c r="AT149" i="5"/>
  <c r="AQ149" i="5"/>
  <c r="AN149" i="5"/>
  <c r="AK149" i="5"/>
  <c r="AH149" i="5"/>
  <c r="AE149" i="5"/>
  <c r="AB149" i="5"/>
  <c r="Y149" i="5"/>
  <c r="V149" i="5"/>
  <c r="S149" i="5"/>
  <c r="Q149" i="5"/>
  <c r="O149" i="5"/>
  <c r="M149" i="5"/>
  <c r="K149" i="5"/>
  <c r="I149" i="5"/>
  <c r="F149" i="5"/>
  <c r="A149" i="5"/>
  <c r="AU148" i="5"/>
  <c r="AT148" i="5"/>
  <c r="AQ148" i="5"/>
  <c r="AN148" i="5"/>
  <c r="AK148" i="5"/>
  <c r="AH148" i="5"/>
  <c r="AE148" i="5"/>
  <c r="AB148" i="5"/>
  <c r="Y148" i="5"/>
  <c r="V148" i="5"/>
  <c r="S148" i="5"/>
  <c r="Q148" i="5"/>
  <c r="O148" i="5"/>
  <c r="M148" i="5"/>
  <c r="K148" i="5"/>
  <c r="I148" i="5"/>
  <c r="F148" i="5"/>
  <c r="A148" i="5"/>
  <c r="AU147" i="5"/>
  <c r="AT147" i="5"/>
  <c r="AQ147" i="5"/>
  <c r="AN147" i="5"/>
  <c r="AK147" i="5"/>
  <c r="AH147" i="5"/>
  <c r="AE147" i="5"/>
  <c r="AB147" i="5"/>
  <c r="Y147" i="5"/>
  <c r="V147" i="5"/>
  <c r="S147" i="5"/>
  <c r="Q147" i="5"/>
  <c r="O147" i="5"/>
  <c r="M147" i="5"/>
  <c r="K147" i="5"/>
  <c r="I147" i="5"/>
  <c r="F147" i="5"/>
  <c r="A147" i="5"/>
  <c r="AU146" i="5"/>
  <c r="AT146" i="5"/>
  <c r="AQ146" i="5"/>
  <c r="AN146" i="5"/>
  <c r="AK146" i="5"/>
  <c r="AH146" i="5"/>
  <c r="AE146" i="5"/>
  <c r="AB146" i="5"/>
  <c r="Y146" i="5"/>
  <c r="V146" i="5"/>
  <c r="S146" i="5"/>
  <c r="Q146" i="5"/>
  <c r="O146" i="5"/>
  <c r="M146" i="5"/>
  <c r="K146" i="5"/>
  <c r="I146" i="5"/>
  <c r="F146" i="5"/>
  <c r="A146" i="5"/>
  <c r="AU145" i="5"/>
  <c r="AT145" i="5"/>
  <c r="AQ145" i="5"/>
  <c r="AN145" i="5"/>
  <c r="AK145" i="5"/>
  <c r="AH145" i="5"/>
  <c r="AE145" i="5"/>
  <c r="AB145" i="5"/>
  <c r="Y145" i="5"/>
  <c r="V145" i="5"/>
  <c r="S145" i="5"/>
  <c r="Q145" i="5"/>
  <c r="O145" i="5"/>
  <c r="M145" i="5"/>
  <c r="K145" i="5"/>
  <c r="I145" i="5"/>
  <c r="F145" i="5"/>
  <c r="A145" i="5"/>
  <c r="AU144" i="5"/>
  <c r="AT144" i="5"/>
  <c r="AQ144" i="5"/>
  <c r="AN144" i="5"/>
  <c r="AK144" i="5"/>
  <c r="AH144" i="5"/>
  <c r="AE144" i="5"/>
  <c r="AB144" i="5"/>
  <c r="Y144" i="5"/>
  <c r="V144" i="5"/>
  <c r="S144" i="5"/>
  <c r="Q144" i="5"/>
  <c r="O144" i="5"/>
  <c r="M144" i="5"/>
  <c r="K144" i="5"/>
  <c r="I144" i="5"/>
  <c r="F144" i="5"/>
  <c r="A144" i="5"/>
  <c r="AU143" i="5"/>
  <c r="AT143" i="5"/>
  <c r="AQ143" i="5"/>
  <c r="AN143" i="5"/>
  <c r="AK143" i="5"/>
  <c r="AH143" i="5"/>
  <c r="AE143" i="5"/>
  <c r="AB143" i="5"/>
  <c r="Y143" i="5"/>
  <c r="V143" i="5"/>
  <c r="S143" i="5"/>
  <c r="Q143" i="5"/>
  <c r="O143" i="5"/>
  <c r="M143" i="5"/>
  <c r="K143" i="5"/>
  <c r="I143" i="5"/>
  <c r="F143" i="5"/>
  <c r="A143" i="5"/>
  <c r="AU142" i="5"/>
  <c r="AT142" i="5"/>
  <c r="AQ142" i="5"/>
  <c r="AN142" i="5"/>
  <c r="AK142" i="5"/>
  <c r="AH142" i="5"/>
  <c r="AE142" i="5"/>
  <c r="AB142" i="5"/>
  <c r="Y142" i="5"/>
  <c r="V142" i="5"/>
  <c r="S142" i="5"/>
  <c r="Q142" i="5"/>
  <c r="O142" i="5"/>
  <c r="M142" i="5"/>
  <c r="K142" i="5"/>
  <c r="I142" i="5"/>
  <c r="F142" i="5"/>
  <c r="A142" i="5"/>
  <c r="AU141" i="5"/>
  <c r="AT141" i="5"/>
  <c r="AQ141" i="5"/>
  <c r="AN141" i="5"/>
  <c r="AK141" i="5"/>
  <c r="AH141" i="5"/>
  <c r="AE141" i="5"/>
  <c r="AB141" i="5"/>
  <c r="Y141" i="5"/>
  <c r="V141" i="5"/>
  <c r="S141" i="5"/>
  <c r="Q141" i="5"/>
  <c r="O141" i="5"/>
  <c r="M141" i="5"/>
  <c r="K141" i="5"/>
  <c r="I141" i="5"/>
  <c r="F141" i="5"/>
  <c r="A141" i="5"/>
  <c r="AU140" i="5"/>
  <c r="AT140" i="5"/>
  <c r="AQ140" i="5"/>
  <c r="AN140" i="5"/>
  <c r="AK140" i="5"/>
  <c r="AH140" i="5"/>
  <c r="AE140" i="5"/>
  <c r="AB140" i="5"/>
  <c r="Y140" i="5"/>
  <c r="V140" i="5"/>
  <c r="S140" i="5"/>
  <c r="Q140" i="5"/>
  <c r="O140" i="5"/>
  <c r="M140" i="5"/>
  <c r="K140" i="5"/>
  <c r="I140" i="5"/>
  <c r="F140" i="5"/>
  <c r="A140" i="5"/>
  <c r="AU139" i="5"/>
  <c r="AT139" i="5"/>
  <c r="AQ139" i="5"/>
  <c r="AN139" i="5"/>
  <c r="AK139" i="5"/>
  <c r="AH139" i="5"/>
  <c r="AE139" i="5"/>
  <c r="AB139" i="5"/>
  <c r="Y139" i="5"/>
  <c r="V139" i="5"/>
  <c r="S139" i="5"/>
  <c r="Q139" i="5"/>
  <c r="O139" i="5"/>
  <c r="M139" i="5"/>
  <c r="K139" i="5"/>
  <c r="I139" i="5"/>
  <c r="F139" i="5"/>
  <c r="A139" i="5"/>
  <c r="AU138" i="5"/>
  <c r="AT138" i="5"/>
  <c r="AQ138" i="5"/>
  <c r="AN138" i="5"/>
  <c r="AK138" i="5"/>
  <c r="AH138" i="5"/>
  <c r="AE138" i="5"/>
  <c r="AB138" i="5"/>
  <c r="Y138" i="5"/>
  <c r="V138" i="5"/>
  <c r="S138" i="5"/>
  <c r="Q138" i="5"/>
  <c r="O138" i="5"/>
  <c r="M138" i="5"/>
  <c r="K138" i="5"/>
  <c r="I138" i="5"/>
  <c r="F138" i="5"/>
  <c r="A138" i="5"/>
  <c r="AU137" i="5"/>
  <c r="AT137" i="5"/>
  <c r="AQ137" i="5"/>
  <c r="AN137" i="5"/>
  <c r="AK137" i="5"/>
  <c r="AH137" i="5"/>
  <c r="AE137" i="5"/>
  <c r="AB137" i="5"/>
  <c r="Y137" i="5"/>
  <c r="V137" i="5"/>
  <c r="S137" i="5"/>
  <c r="Q137" i="5"/>
  <c r="O137" i="5"/>
  <c r="M137" i="5"/>
  <c r="K137" i="5"/>
  <c r="I137" i="5"/>
  <c r="F137" i="5"/>
  <c r="A137" i="5"/>
  <c r="AU136" i="5"/>
  <c r="AT136" i="5"/>
  <c r="AQ136" i="5"/>
  <c r="AN136" i="5"/>
  <c r="AK136" i="5"/>
  <c r="AH136" i="5"/>
  <c r="AE136" i="5"/>
  <c r="AB136" i="5"/>
  <c r="Y136" i="5"/>
  <c r="V136" i="5"/>
  <c r="S136" i="5"/>
  <c r="Q136" i="5"/>
  <c r="O136" i="5"/>
  <c r="M136" i="5"/>
  <c r="K136" i="5"/>
  <c r="I136" i="5"/>
  <c r="F136" i="5"/>
  <c r="A136" i="5"/>
  <c r="AU135" i="5"/>
  <c r="AT135" i="5"/>
  <c r="AQ135" i="5"/>
  <c r="AN135" i="5"/>
  <c r="AK135" i="5"/>
  <c r="AH135" i="5"/>
  <c r="AE135" i="5"/>
  <c r="AB135" i="5"/>
  <c r="Y135" i="5"/>
  <c r="V135" i="5"/>
  <c r="S135" i="5"/>
  <c r="Q135" i="5"/>
  <c r="O135" i="5"/>
  <c r="M135" i="5"/>
  <c r="K135" i="5"/>
  <c r="I135" i="5"/>
  <c r="F135" i="5"/>
  <c r="A135" i="5"/>
  <c r="AU134" i="5"/>
  <c r="AT134" i="5"/>
  <c r="AQ134" i="5"/>
  <c r="AN134" i="5"/>
  <c r="AK134" i="5"/>
  <c r="AH134" i="5"/>
  <c r="AE134" i="5"/>
  <c r="AB134" i="5"/>
  <c r="Y134" i="5"/>
  <c r="V134" i="5"/>
  <c r="S134" i="5"/>
  <c r="Q134" i="5"/>
  <c r="O134" i="5"/>
  <c r="M134" i="5"/>
  <c r="K134" i="5"/>
  <c r="I134" i="5"/>
  <c r="F134" i="5"/>
  <c r="A134" i="5"/>
  <c r="AU133" i="5"/>
  <c r="AT133" i="5"/>
  <c r="AQ133" i="5"/>
  <c r="AN133" i="5"/>
  <c r="AK133" i="5"/>
  <c r="AH133" i="5"/>
  <c r="AE133" i="5"/>
  <c r="AB133" i="5"/>
  <c r="Y133" i="5"/>
  <c r="V133" i="5"/>
  <c r="S133" i="5"/>
  <c r="Q133" i="5"/>
  <c r="O133" i="5"/>
  <c r="M133" i="5"/>
  <c r="K133" i="5"/>
  <c r="I133" i="5"/>
  <c r="F133" i="5"/>
  <c r="A133" i="5"/>
  <c r="AU132" i="5"/>
  <c r="AT132" i="5"/>
  <c r="AQ132" i="5"/>
  <c r="AN132" i="5"/>
  <c r="AK132" i="5"/>
  <c r="AH132" i="5"/>
  <c r="AE132" i="5"/>
  <c r="AB132" i="5"/>
  <c r="Y132" i="5"/>
  <c r="V132" i="5"/>
  <c r="S132" i="5"/>
  <c r="Q132" i="5"/>
  <c r="O132" i="5"/>
  <c r="M132" i="5"/>
  <c r="K132" i="5"/>
  <c r="I132" i="5"/>
  <c r="F132" i="5"/>
  <c r="A132" i="5"/>
  <c r="AU131" i="5"/>
  <c r="AT131" i="5"/>
  <c r="AQ131" i="5"/>
  <c r="AN131" i="5"/>
  <c r="AK131" i="5"/>
  <c r="AH131" i="5"/>
  <c r="AE131" i="5"/>
  <c r="AB131" i="5"/>
  <c r="Y131" i="5"/>
  <c r="V131" i="5"/>
  <c r="S131" i="5"/>
  <c r="Q131" i="5"/>
  <c r="O131" i="5"/>
  <c r="M131" i="5"/>
  <c r="K131" i="5"/>
  <c r="I131" i="5"/>
  <c r="F131" i="5"/>
  <c r="A131" i="5"/>
  <c r="AU130" i="5"/>
  <c r="AT130" i="5"/>
  <c r="AQ130" i="5"/>
  <c r="AN130" i="5"/>
  <c r="AK130" i="5"/>
  <c r="AH130" i="5"/>
  <c r="AE130" i="5"/>
  <c r="AB130" i="5"/>
  <c r="Y130" i="5"/>
  <c r="V130" i="5"/>
  <c r="S130" i="5"/>
  <c r="Q130" i="5"/>
  <c r="O130" i="5"/>
  <c r="M130" i="5"/>
  <c r="K130" i="5"/>
  <c r="I130" i="5"/>
  <c r="F130" i="5"/>
  <c r="A130" i="5"/>
  <c r="AU129" i="5"/>
  <c r="AT129" i="5"/>
  <c r="AQ129" i="5"/>
  <c r="AN129" i="5"/>
  <c r="AK129" i="5"/>
  <c r="AH129" i="5"/>
  <c r="AE129" i="5"/>
  <c r="AB129" i="5"/>
  <c r="Y129" i="5"/>
  <c r="V129" i="5"/>
  <c r="S129" i="5"/>
  <c r="Q129" i="5"/>
  <c r="O129" i="5"/>
  <c r="M129" i="5"/>
  <c r="K129" i="5"/>
  <c r="I129" i="5"/>
  <c r="F129" i="5"/>
  <c r="A129" i="5"/>
  <c r="AU128" i="5"/>
  <c r="AT128" i="5"/>
  <c r="AQ128" i="5"/>
  <c r="AN128" i="5"/>
  <c r="AK128" i="5"/>
  <c r="AH128" i="5"/>
  <c r="AE128" i="5"/>
  <c r="AB128" i="5"/>
  <c r="Y128" i="5"/>
  <c r="V128" i="5"/>
  <c r="S128" i="5"/>
  <c r="Q128" i="5"/>
  <c r="O128" i="5"/>
  <c r="M128" i="5"/>
  <c r="K128" i="5"/>
  <c r="I128" i="5"/>
  <c r="F128" i="5"/>
  <c r="A128" i="5"/>
  <c r="AU127" i="5"/>
  <c r="AT127" i="5"/>
  <c r="AQ127" i="5"/>
  <c r="AN127" i="5"/>
  <c r="AK127" i="5"/>
  <c r="AH127" i="5"/>
  <c r="AE127" i="5"/>
  <c r="AB127" i="5"/>
  <c r="Y127" i="5"/>
  <c r="V127" i="5"/>
  <c r="S127" i="5"/>
  <c r="Q127" i="5"/>
  <c r="O127" i="5"/>
  <c r="M127" i="5"/>
  <c r="K127" i="5"/>
  <c r="I127" i="5"/>
  <c r="F127" i="5"/>
  <c r="A127" i="5"/>
  <c r="AU126" i="5"/>
  <c r="AT126" i="5"/>
  <c r="AQ126" i="5"/>
  <c r="AN126" i="5"/>
  <c r="AK126" i="5"/>
  <c r="AH126" i="5"/>
  <c r="AE126" i="5"/>
  <c r="AB126" i="5"/>
  <c r="Y126" i="5"/>
  <c r="V126" i="5"/>
  <c r="S126" i="5"/>
  <c r="Q126" i="5"/>
  <c r="O126" i="5"/>
  <c r="M126" i="5"/>
  <c r="K126" i="5"/>
  <c r="I126" i="5"/>
  <c r="F126" i="5"/>
  <c r="A126" i="5"/>
  <c r="AU125" i="5"/>
  <c r="AT125" i="5"/>
  <c r="AQ125" i="5"/>
  <c r="AN125" i="5"/>
  <c r="AK125" i="5"/>
  <c r="AH125" i="5"/>
  <c r="AE125" i="5"/>
  <c r="AB125" i="5"/>
  <c r="Y125" i="5"/>
  <c r="V125" i="5"/>
  <c r="S125" i="5"/>
  <c r="Q125" i="5"/>
  <c r="O125" i="5"/>
  <c r="M125" i="5"/>
  <c r="K125" i="5"/>
  <c r="I125" i="5"/>
  <c r="F125" i="5"/>
  <c r="A125" i="5"/>
  <c r="AU124" i="5"/>
  <c r="AT124" i="5"/>
  <c r="AQ124" i="5"/>
  <c r="AN124" i="5"/>
  <c r="AK124" i="5"/>
  <c r="AH124" i="5"/>
  <c r="AE124" i="5"/>
  <c r="AB124" i="5"/>
  <c r="Y124" i="5"/>
  <c r="V124" i="5"/>
  <c r="S124" i="5"/>
  <c r="Q124" i="5"/>
  <c r="O124" i="5"/>
  <c r="M124" i="5"/>
  <c r="K124" i="5"/>
  <c r="I124" i="5"/>
  <c r="F124" i="5"/>
  <c r="A124" i="5"/>
  <c r="AU123" i="5"/>
  <c r="AT123" i="5"/>
  <c r="AQ123" i="5"/>
  <c r="AN123" i="5"/>
  <c r="AK123" i="5"/>
  <c r="AH123" i="5"/>
  <c r="AE123" i="5"/>
  <c r="AB123" i="5"/>
  <c r="Y123" i="5"/>
  <c r="V123" i="5"/>
  <c r="S123" i="5"/>
  <c r="Q123" i="5"/>
  <c r="O123" i="5"/>
  <c r="M123" i="5"/>
  <c r="K123" i="5"/>
  <c r="I123" i="5"/>
  <c r="F123" i="5"/>
  <c r="A123" i="5"/>
  <c r="AU122" i="5"/>
  <c r="AT122" i="5"/>
  <c r="AQ122" i="5"/>
  <c r="AN122" i="5"/>
  <c r="AK122" i="5"/>
  <c r="AH122" i="5"/>
  <c r="AE122" i="5"/>
  <c r="AB122" i="5"/>
  <c r="Y122" i="5"/>
  <c r="V122" i="5"/>
  <c r="S122" i="5"/>
  <c r="Q122" i="5"/>
  <c r="O122" i="5"/>
  <c r="M122" i="5"/>
  <c r="K122" i="5"/>
  <c r="I122" i="5"/>
  <c r="F122" i="5"/>
  <c r="A122" i="5"/>
  <c r="AU121" i="5"/>
  <c r="AT121" i="5"/>
  <c r="AQ121" i="5"/>
  <c r="AN121" i="5"/>
  <c r="AK121" i="5"/>
  <c r="AH121" i="5"/>
  <c r="AE121" i="5"/>
  <c r="AB121" i="5"/>
  <c r="Y121" i="5"/>
  <c r="V121" i="5"/>
  <c r="S121" i="5"/>
  <c r="Q121" i="5"/>
  <c r="O121" i="5"/>
  <c r="M121" i="5"/>
  <c r="K121" i="5"/>
  <c r="I121" i="5"/>
  <c r="F121" i="5"/>
  <c r="A121" i="5"/>
  <c r="AU120" i="5"/>
  <c r="AT120" i="5"/>
  <c r="AQ120" i="5"/>
  <c r="AN120" i="5"/>
  <c r="AK120" i="5"/>
  <c r="AH120" i="5"/>
  <c r="AE120" i="5"/>
  <c r="AB120" i="5"/>
  <c r="Y120" i="5"/>
  <c r="V120" i="5"/>
  <c r="S120" i="5"/>
  <c r="Q120" i="5"/>
  <c r="O120" i="5"/>
  <c r="M120" i="5"/>
  <c r="K120" i="5"/>
  <c r="I120" i="5"/>
  <c r="F120" i="5"/>
  <c r="A120" i="5"/>
  <c r="AU119" i="5"/>
  <c r="AT119" i="5"/>
  <c r="AQ119" i="5"/>
  <c r="AN119" i="5"/>
  <c r="AK119" i="5"/>
  <c r="AH119" i="5"/>
  <c r="AE119" i="5"/>
  <c r="AB119" i="5"/>
  <c r="Y119" i="5"/>
  <c r="V119" i="5"/>
  <c r="S119" i="5"/>
  <c r="Q119" i="5"/>
  <c r="O119" i="5"/>
  <c r="M119" i="5"/>
  <c r="K119" i="5"/>
  <c r="I119" i="5"/>
  <c r="F119" i="5"/>
  <c r="A119" i="5"/>
  <c r="AU118" i="5"/>
  <c r="AT118" i="5"/>
  <c r="AQ118" i="5"/>
  <c r="AN118" i="5"/>
  <c r="AK118" i="5"/>
  <c r="AH118" i="5"/>
  <c r="AE118" i="5"/>
  <c r="AB118" i="5"/>
  <c r="Y118" i="5"/>
  <c r="V118" i="5"/>
  <c r="S118" i="5"/>
  <c r="Q118" i="5"/>
  <c r="O118" i="5"/>
  <c r="M118" i="5"/>
  <c r="K118" i="5"/>
  <c r="I118" i="5"/>
  <c r="F118" i="5"/>
  <c r="A118" i="5"/>
  <c r="AU117" i="5"/>
  <c r="AT117" i="5"/>
  <c r="AQ117" i="5"/>
  <c r="AN117" i="5"/>
  <c r="AK117" i="5"/>
  <c r="AH117" i="5"/>
  <c r="AE117" i="5"/>
  <c r="AB117" i="5"/>
  <c r="Y117" i="5"/>
  <c r="V117" i="5"/>
  <c r="S117" i="5"/>
  <c r="Q117" i="5"/>
  <c r="O117" i="5"/>
  <c r="M117" i="5"/>
  <c r="K117" i="5"/>
  <c r="I117" i="5"/>
  <c r="F117" i="5"/>
  <c r="A117" i="5"/>
  <c r="AU116" i="5"/>
  <c r="AT116" i="5"/>
  <c r="AQ116" i="5"/>
  <c r="AN116" i="5"/>
  <c r="AK116" i="5"/>
  <c r="AH116" i="5"/>
  <c r="AE116" i="5"/>
  <c r="AB116" i="5"/>
  <c r="Y116" i="5"/>
  <c r="V116" i="5"/>
  <c r="S116" i="5"/>
  <c r="Q116" i="5"/>
  <c r="O116" i="5"/>
  <c r="M116" i="5"/>
  <c r="K116" i="5"/>
  <c r="I116" i="5"/>
  <c r="F116" i="5"/>
  <c r="A116" i="5"/>
  <c r="AU115" i="5"/>
  <c r="AT115" i="5"/>
  <c r="AQ115" i="5"/>
  <c r="AN115" i="5"/>
  <c r="AK115" i="5"/>
  <c r="AH115" i="5"/>
  <c r="AE115" i="5"/>
  <c r="AB115" i="5"/>
  <c r="Y115" i="5"/>
  <c r="V115" i="5"/>
  <c r="S115" i="5"/>
  <c r="Q115" i="5"/>
  <c r="O115" i="5"/>
  <c r="M115" i="5"/>
  <c r="K115" i="5"/>
  <c r="I115" i="5"/>
  <c r="F115" i="5"/>
  <c r="A115" i="5"/>
  <c r="AU114" i="5"/>
  <c r="AT114" i="5"/>
  <c r="AQ114" i="5"/>
  <c r="AN114" i="5"/>
  <c r="AK114" i="5"/>
  <c r="AH114" i="5"/>
  <c r="AE114" i="5"/>
  <c r="AB114" i="5"/>
  <c r="Y114" i="5"/>
  <c r="V114" i="5"/>
  <c r="S114" i="5"/>
  <c r="Q114" i="5"/>
  <c r="O114" i="5"/>
  <c r="M114" i="5"/>
  <c r="K114" i="5"/>
  <c r="I114" i="5"/>
  <c r="F114" i="5"/>
  <c r="A114" i="5"/>
  <c r="AU113" i="5"/>
  <c r="AT113" i="5"/>
  <c r="AQ113" i="5"/>
  <c r="AN113" i="5"/>
  <c r="AK113" i="5"/>
  <c r="AH113" i="5"/>
  <c r="AE113" i="5"/>
  <c r="AB113" i="5"/>
  <c r="Y113" i="5"/>
  <c r="V113" i="5"/>
  <c r="S113" i="5"/>
  <c r="Q113" i="5"/>
  <c r="O113" i="5"/>
  <c r="M113" i="5"/>
  <c r="K113" i="5"/>
  <c r="I113" i="5"/>
  <c r="F113" i="5"/>
  <c r="A113" i="5"/>
  <c r="AU112" i="5"/>
  <c r="AT112" i="5"/>
  <c r="AQ112" i="5"/>
  <c r="AN112" i="5"/>
  <c r="AK112" i="5"/>
  <c r="AH112" i="5"/>
  <c r="AE112" i="5"/>
  <c r="AB112" i="5"/>
  <c r="Y112" i="5"/>
  <c r="V112" i="5"/>
  <c r="S112" i="5"/>
  <c r="Q112" i="5"/>
  <c r="O112" i="5"/>
  <c r="M112" i="5"/>
  <c r="K112" i="5"/>
  <c r="I112" i="5"/>
  <c r="F112" i="5"/>
  <c r="A112" i="5"/>
  <c r="AU111" i="5"/>
  <c r="AT111" i="5"/>
  <c r="AQ111" i="5"/>
  <c r="AN111" i="5"/>
  <c r="AK111" i="5"/>
  <c r="AH111" i="5"/>
  <c r="AE111" i="5"/>
  <c r="AB111" i="5"/>
  <c r="Y111" i="5"/>
  <c r="V111" i="5"/>
  <c r="S111" i="5"/>
  <c r="Q111" i="5"/>
  <c r="O111" i="5"/>
  <c r="M111" i="5"/>
  <c r="K111" i="5"/>
  <c r="I111" i="5"/>
  <c r="F111" i="5"/>
  <c r="A111" i="5"/>
  <c r="AU110" i="5"/>
  <c r="AT110" i="5"/>
  <c r="AQ110" i="5"/>
  <c r="AN110" i="5"/>
  <c r="AK110" i="5"/>
  <c r="AH110" i="5"/>
  <c r="AE110" i="5"/>
  <c r="AB110" i="5"/>
  <c r="Y110" i="5"/>
  <c r="V110" i="5"/>
  <c r="S110" i="5"/>
  <c r="Q110" i="5"/>
  <c r="O110" i="5"/>
  <c r="M110" i="5"/>
  <c r="K110" i="5"/>
  <c r="I110" i="5"/>
  <c r="F110" i="5"/>
  <c r="A110" i="5"/>
  <c r="AU109" i="5"/>
  <c r="AT109" i="5"/>
  <c r="AQ109" i="5"/>
  <c r="AN109" i="5"/>
  <c r="AK109" i="5"/>
  <c r="AH109" i="5"/>
  <c r="AE109" i="5"/>
  <c r="AB109" i="5"/>
  <c r="Y109" i="5"/>
  <c r="V109" i="5"/>
  <c r="S109" i="5"/>
  <c r="Q109" i="5"/>
  <c r="O109" i="5"/>
  <c r="M109" i="5"/>
  <c r="K109" i="5"/>
  <c r="I109" i="5"/>
  <c r="F109" i="5"/>
  <c r="A109" i="5"/>
  <c r="AU108" i="5"/>
  <c r="AT108" i="5"/>
  <c r="AQ108" i="5"/>
  <c r="AN108" i="5"/>
  <c r="AK108" i="5"/>
  <c r="AH108" i="5"/>
  <c r="AE108" i="5"/>
  <c r="AB108" i="5"/>
  <c r="Y108" i="5"/>
  <c r="V108" i="5"/>
  <c r="S108" i="5"/>
  <c r="Q108" i="5"/>
  <c r="O108" i="5"/>
  <c r="M108" i="5"/>
  <c r="K108" i="5"/>
  <c r="I108" i="5"/>
  <c r="F108" i="5"/>
  <c r="A108" i="5"/>
  <c r="AU107" i="5"/>
  <c r="AT107" i="5"/>
  <c r="AQ107" i="5"/>
  <c r="AN107" i="5"/>
  <c r="AK107" i="5"/>
  <c r="AH107" i="5"/>
  <c r="AE107" i="5"/>
  <c r="AB107" i="5"/>
  <c r="Y107" i="5"/>
  <c r="V107" i="5"/>
  <c r="S107" i="5"/>
  <c r="Q107" i="5"/>
  <c r="O107" i="5"/>
  <c r="M107" i="5"/>
  <c r="K107" i="5"/>
  <c r="I107" i="5"/>
  <c r="F107" i="5"/>
  <c r="A107" i="5"/>
  <c r="AU106" i="5"/>
  <c r="AT106" i="5"/>
  <c r="AQ106" i="5"/>
  <c r="AN106" i="5"/>
  <c r="AK106" i="5"/>
  <c r="AH106" i="5"/>
  <c r="AE106" i="5"/>
  <c r="AB106" i="5"/>
  <c r="Y106" i="5"/>
  <c r="V106" i="5"/>
  <c r="S106" i="5"/>
  <c r="Q106" i="5"/>
  <c r="O106" i="5"/>
  <c r="M106" i="5"/>
  <c r="K106" i="5"/>
  <c r="I106" i="5"/>
  <c r="F106" i="5"/>
  <c r="A106" i="5"/>
  <c r="AU105" i="5"/>
  <c r="AS105" i="5"/>
  <c r="AT105" i="5" s="1"/>
  <c r="AQ105" i="5"/>
  <c r="AN105" i="5"/>
  <c r="AK105" i="5"/>
  <c r="AH105" i="5"/>
  <c r="AE105" i="5"/>
  <c r="AB105" i="5"/>
  <c r="Y105" i="5"/>
  <c r="V105" i="5"/>
  <c r="S105" i="5"/>
  <c r="Q105" i="5"/>
  <c r="O105" i="5"/>
  <c r="M105" i="5"/>
  <c r="K105" i="5"/>
  <c r="I105" i="5"/>
  <c r="F105" i="5"/>
  <c r="A105" i="5"/>
  <c r="AU104" i="5"/>
  <c r="AT104" i="5"/>
  <c r="AQ104" i="5"/>
  <c r="AN104" i="5"/>
  <c r="AK104" i="5"/>
  <c r="AH104" i="5"/>
  <c r="AE104" i="5"/>
  <c r="AB104" i="5"/>
  <c r="Y104" i="5"/>
  <c r="V104" i="5"/>
  <c r="S104" i="5"/>
  <c r="Q104" i="5"/>
  <c r="O104" i="5"/>
  <c r="M104" i="5"/>
  <c r="K104" i="5"/>
  <c r="I104" i="5"/>
  <c r="F104" i="5"/>
  <c r="A104" i="5"/>
  <c r="AU103" i="5"/>
  <c r="AT103" i="5"/>
  <c r="AQ103" i="5"/>
  <c r="AN103" i="5"/>
  <c r="AK103" i="5"/>
  <c r="AH103" i="5"/>
  <c r="AE103" i="5"/>
  <c r="AB103" i="5"/>
  <c r="Y103" i="5"/>
  <c r="V103" i="5"/>
  <c r="S103" i="5"/>
  <c r="Q103" i="5"/>
  <c r="O103" i="5"/>
  <c r="M103" i="5"/>
  <c r="K103" i="5"/>
  <c r="I103" i="5"/>
  <c r="F103" i="5"/>
  <c r="A103" i="5"/>
  <c r="AU102" i="5"/>
  <c r="AT102" i="5"/>
  <c r="AQ102" i="5"/>
  <c r="AN102" i="5"/>
  <c r="AK102" i="5"/>
  <c r="AH102" i="5"/>
  <c r="AE102" i="5"/>
  <c r="AB102" i="5"/>
  <c r="Y102" i="5"/>
  <c r="V102" i="5"/>
  <c r="S102" i="5"/>
  <c r="Q102" i="5"/>
  <c r="O102" i="5"/>
  <c r="M102" i="5"/>
  <c r="K102" i="5"/>
  <c r="I102" i="5"/>
  <c r="F102" i="5"/>
  <c r="A102" i="5"/>
  <c r="AU101" i="5"/>
  <c r="AT101" i="5"/>
  <c r="AQ101" i="5"/>
  <c r="AN101" i="5"/>
  <c r="AK101" i="5"/>
  <c r="AH101" i="5"/>
  <c r="AE101" i="5"/>
  <c r="AB101" i="5"/>
  <c r="Y101" i="5"/>
  <c r="V101" i="5"/>
  <c r="S101" i="5"/>
  <c r="Q101" i="5"/>
  <c r="O101" i="5"/>
  <c r="M101" i="5"/>
  <c r="K101" i="5"/>
  <c r="I101" i="5"/>
  <c r="F101" i="5"/>
  <c r="A101" i="5"/>
  <c r="AU100" i="5"/>
  <c r="AT100" i="5"/>
  <c r="AQ100" i="5"/>
  <c r="AN100" i="5"/>
  <c r="AK100" i="5"/>
  <c r="AH100" i="5"/>
  <c r="AE100" i="5"/>
  <c r="AB100" i="5"/>
  <c r="Y100" i="5"/>
  <c r="V100" i="5"/>
  <c r="S100" i="5"/>
  <c r="Q100" i="5"/>
  <c r="O100" i="5"/>
  <c r="M100" i="5"/>
  <c r="K100" i="5"/>
  <c r="I100" i="5"/>
  <c r="F100" i="5"/>
  <c r="A100" i="5"/>
  <c r="AU99" i="5"/>
  <c r="AT99" i="5"/>
  <c r="AQ99" i="5"/>
  <c r="AN99" i="5"/>
  <c r="AK99" i="5"/>
  <c r="AH99" i="5"/>
  <c r="AE99" i="5"/>
  <c r="AB99" i="5"/>
  <c r="Y99" i="5"/>
  <c r="V99" i="5"/>
  <c r="S99" i="5"/>
  <c r="Q99" i="5"/>
  <c r="O99" i="5"/>
  <c r="M99" i="5"/>
  <c r="K99" i="5"/>
  <c r="I99" i="5"/>
  <c r="F99" i="5"/>
  <c r="A99" i="5"/>
  <c r="AU98" i="5"/>
  <c r="AT98" i="5"/>
  <c r="AQ98" i="5"/>
  <c r="AN98" i="5"/>
  <c r="AK98" i="5"/>
  <c r="AH98" i="5"/>
  <c r="AE98" i="5"/>
  <c r="AB98" i="5"/>
  <c r="Y98" i="5"/>
  <c r="V98" i="5"/>
  <c r="S98" i="5"/>
  <c r="Q98" i="5"/>
  <c r="O98" i="5"/>
  <c r="M98" i="5"/>
  <c r="K98" i="5"/>
  <c r="I98" i="5"/>
  <c r="F98" i="5"/>
  <c r="A98" i="5"/>
  <c r="AU97" i="5"/>
  <c r="AT97" i="5"/>
  <c r="AQ97" i="5"/>
  <c r="AN97" i="5"/>
  <c r="AK97" i="5"/>
  <c r="AH97" i="5"/>
  <c r="AE97" i="5"/>
  <c r="AB97" i="5"/>
  <c r="Y97" i="5"/>
  <c r="V97" i="5"/>
  <c r="S97" i="5"/>
  <c r="Q97" i="5"/>
  <c r="O97" i="5"/>
  <c r="M97" i="5"/>
  <c r="K97" i="5"/>
  <c r="I97" i="5"/>
  <c r="F97" i="5"/>
  <c r="A97" i="5"/>
  <c r="AU96" i="5"/>
  <c r="AT96" i="5"/>
  <c r="AQ96" i="5"/>
  <c r="AN96" i="5"/>
  <c r="AK96" i="5"/>
  <c r="AH96" i="5"/>
  <c r="AE96" i="5"/>
  <c r="AB96" i="5"/>
  <c r="Y96" i="5"/>
  <c r="V96" i="5"/>
  <c r="S96" i="5"/>
  <c r="Q96" i="5"/>
  <c r="O96" i="5"/>
  <c r="M96" i="5"/>
  <c r="K96" i="5"/>
  <c r="I96" i="5"/>
  <c r="F96" i="5"/>
  <c r="A96" i="5"/>
  <c r="AU95" i="5"/>
  <c r="AT95" i="5"/>
  <c r="AQ95" i="5"/>
  <c r="AN95" i="5"/>
  <c r="AK95" i="5"/>
  <c r="AH95" i="5"/>
  <c r="AE95" i="5"/>
  <c r="AB95" i="5"/>
  <c r="Y95" i="5"/>
  <c r="V95" i="5"/>
  <c r="S95" i="5"/>
  <c r="Q95" i="5"/>
  <c r="O95" i="5"/>
  <c r="M95" i="5"/>
  <c r="K95" i="5"/>
  <c r="I95" i="5"/>
  <c r="F95" i="5"/>
  <c r="A95" i="5"/>
  <c r="AU94" i="5"/>
  <c r="AT94" i="5"/>
  <c r="AQ94" i="5"/>
  <c r="AN94" i="5"/>
  <c r="AK94" i="5"/>
  <c r="AH94" i="5"/>
  <c r="AE94" i="5"/>
  <c r="AB94" i="5"/>
  <c r="Y94" i="5"/>
  <c r="V94" i="5"/>
  <c r="S94" i="5"/>
  <c r="Q94" i="5"/>
  <c r="O94" i="5"/>
  <c r="M94" i="5"/>
  <c r="K94" i="5"/>
  <c r="I94" i="5"/>
  <c r="F94" i="5"/>
  <c r="A94" i="5"/>
  <c r="AU93" i="5"/>
  <c r="AT93" i="5"/>
  <c r="AQ93" i="5"/>
  <c r="AN93" i="5"/>
  <c r="AK93" i="5"/>
  <c r="AH93" i="5"/>
  <c r="AE93" i="5"/>
  <c r="AB93" i="5"/>
  <c r="Y93" i="5"/>
  <c r="V93" i="5"/>
  <c r="S93" i="5"/>
  <c r="Q93" i="5"/>
  <c r="O93" i="5"/>
  <c r="M93" i="5"/>
  <c r="K93" i="5"/>
  <c r="I93" i="5"/>
  <c r="F93" i="5"/>
  <c r="A93" i="5"/>
  <c r="AU92" i="5"/>
  <c r="AT92" i="5"/>
  <c r="AQ92" i="5"/>
  <c r="AN92" i="5"/>
  <c r="AK92" i="5"/>
  <c r="AH92" i="5"/>
  <c r="AE92" i="5"/>
  <c r="AB92" i="5"/>
  <c r="Y92" i="5"/>
  <c r="V92" i="5"/>
  <c r="S92" i="5"/>
  <c r="Q92" i="5"/>
  <c r="O92" i="5"/>
  <c r="M92" i="5"/>
  <c r="K92" i="5"/>
  <c r="I92" i="5"/>
  <c r="F92" i="5"/>
  <c r="A92" i="5"/>
  <c r="AU91" i="5"/>
  <c r="AT91" i="5"/>
  <c r="AQ91" i="5"/>
  <c r="AN91" i="5"/>
  <c r="AK91" i="5"/>
  <c r="AH91" i="5"/>
  <c r="AE91" i="5"/>
  <c r="AB91" i="5"/>
  <c r="Y91" i="5"/>
  <c r="V91" i="5"/>
  <c r="S91" i="5"/>
  <c r="Q91" i="5"/>
  <c r="O91" i="5"/>
  <c r="M91" i="5"/>
  <c r="K91" i="5"/>
  <c r="I91" i="5"/>
  <c r="F91" i="5"/>
  <c r="A91" i="5"/>
  <c r="AU90" i="5"/>
  <c r="AT90" i="5"/>
  <c r="AQ90" i="5"/>
  <c r="AN90" i="5"/>
  <c r="AK90" i="5"/>
  <c r="AH90" i="5"/>
  <c r="AE90" i="5"/>
  <c r="AB90" i="5"/>
  <c r="Y90" i="5"/>
  <c r="V90" i="5"/>
  <c r="S90" i="5"/>
  <c r="Q90" i="5"/>
  <c r="O90" i="5"/>
  <c r="M90" i="5"/>
  <c r="K90" i="5"/>
  <c r="I90" i="5"/>
  <c r="F90" i="5"/>
  <c r="A90" i="5"/>
  <c r="AV89" i="5"/>
  <c r="AU89" i="5"/>
  <c r="AT89" i="5"/>
  <c r="AQ89" i="5"/>
  <c r="AN89" i="5"/>
  <c r="AK89" i="5"/>
  <c r="AH89" i="5"/>
  <c r="AE89" i="5"/>
  <c r="AB89" i="5"/>
  <c r="Y89" i="5"/>
  <c r="V89" i="5"/>
  <c r="S89" i="5"/>
  <c r="Q89" i="5"/>
  <c r="O89" i="5"/>
  <c r="M89" i="5"/>
  <c r="K89" i="5"/>
  <c r="I89" i="5"/>
  <c r="F89" i="5"/>
  <c r="A89" i="5"/>
  <c r="AU88" i="5"/>
  <c r="AT88" i="5"/>
  <c r="AQ88" i="5"/>
  <c r="AN88" i="5"/>
  <c r="AK88" i="5"/>
  <c r="AH88" i="5"/>
  <c r="AE88" i="5"/>
  <c r="AB88" i="5"/>
  <c r="Y88" i="5"/>
  <c r="V88" i="5"/>
  <c r="S88" i="5"/>
  <c r="Q88" i="5"/>
  <c r="O88" i="5"/>
  <c r="M88" i="5"/>
  <c r="K88" i="5"/>
  <c r="I88" i="5"/>
  <c r="F88" i="5"/>
  <c r="A88" i="5"/>
  <c r="AV87" i="5"/>
  <c r="AU87" i="5"/>
  <c r="AT87" i="5"/>
  <c r="AQ87" i="5"/>
  <c r="AN87" i="5"/>
  <c r="AK87" i="5"/>
  <c r="AH87" i="5"/>
  <c r="AE87" i="5"/>
  <c r="AB87" i="5"/>
  <c r="Y87" i="5"/>
  <c r="V87" i="5"/>
  <c r="S87" i="5"/>
  <c r="Q87" i="5"/>
  <c r="O87" i="5"/>
  <c r="M87" i="5"/>
  <c r="K87" i="5"/>
  <c r="I87" i="5"/>
  <c r="F87" i="5"/>
  <c r="A87" i="5"/>
  <c r="AU86" i="5"/>
  <c r="AT86" i="5"/>
  <c r="AQ86" i="5"/>
  <c r="AN86" i="5"/>
  <c r="AK86" i="5"/>
  <c r="AH86" i="5"/>
  <c r="AE86" i="5"/>
  <c r="AB86" i="5"/>
  <c r="Y86" i="5"/>
  <c r="V86" i="5"/>
  <c r="S86" i="5"/>
  <c r="Q86" i="5"/>
  <c r="O86" i="5"/>
  <c r="M86" i="5"/>
  <c r="K86" i="5"/>
  <c r="I86" i="5"/>
  <c r="F86" i="5"/>
  <c r="A86" i="5"/>
  <c r="AV85" i="5"/>
  <c r="AU85" i="5"/>
  <c r="AT85" i="5"/>
  <c r="AQ85" i="5"/>
  <c r="AN85" i="5"/>
  <c r="AK85" i="5"/>
  <c r="AH85" i="5"/>
  <c r="AE85" i="5"/>
  <c r="AB85" i="5"/>
  <c r="Y85" i="5"/>
  <c r="V85" i="5"/>
  <c r="S85" i="5"/>
  <c r="Q85" i="5"/>
  <c r="O85" i="5"/>
  <c r="M85" i="5"/>
  <c r="K85" i="5"/>
  <c r="I85" i="5"/>
  <c r="F85" i="5"/>
  <c r="A85" i="5"/>
  <c r="AU84" i="5"/>
  <c r="AT84" i="5"/>
  <c r="AQ84" i="5"/>
  <c r="AN84" i="5"/>
  <c r="AK84" i="5"/>
  <c r="AH84" i="5"/>
  <c r="AE84" i="5"/>
  <c r="AB84" i="5"/>
  <c r="Y84" i="5"/>
  <c r="V84" i="5"/>
  <c r="S84" i="5"/>
  <c r="Q84" i="5"/>
  <c r="O84" i="5"/>
  <c r="M84" i="5"/>
  <c r="K84" i="5"/>
  <c r="I84" i="5"/>
  <c r="F84" i="5"/>
  <c r="A84" i="5"/>
  <c r="AV83" i="5"/>
  <c r="AU83" i="5"/>
  <c r="AT83" i="5"/>
  <c r="AQ83" i="5"/>
  <c r="AN83" i="5"/>
  <c r="AK83" i="5"/>
  <c r="AH83" i="5"/>
  <c r="AE83" i="5"/>
  <c r="AB83" i="5"/>
  <c r="Y83" i="5"/>
  <c r="V83" i="5"/>
  <c r="S83" i="5"/>
  <c r="Q83" i="5"/>
  <c r="O83" i="5"/>
  <c r="M83" i="5"/>
  <c r="K83" i="5"/>
  <c r="I83" i="5"/>
  <c r="F83" i="5"/>
  <c r="A83" i="5"/>
  <c r="AU82" i="5"/>
  <c r="AT82" i="5"/>
  <c r="AQ82" i="5"/>
  <c r="AN82" i="5"/>
  <c r="AK82" i="5"/>
  <c r="AH82" i="5"/>
  <c r="AE82" i="5"/>
  <c r="AB82" i="5"/>
  <c r="Y82" i="5"/>
  <c r="V82" i="5"/>
  <c r="S82" i="5"/>
  <c r="Q82" i="5"/>
  <c r="O82" i="5"/>
  <c r="M82" i="5"/>
  <c r="K82" i="5"/>
  <c r="I82" i="5"/>
  <c r="F82" i="5"/>
  <c r="A82" i="5"/>
  <c r="AV81" i="5"/>
  <c r="AU81" i="5"/>
  <c r="AT81" i="5"/>
  <c r="AQ81" i="5"/>
  <c r="AN81" i="5"/>
  <c r="AK81" i="5"/>
  <c r="AH81" i="5"/>
  <c r="AE81" i="5"/>
  <c r="AB81" i="5"/>
  <c r="Y81" i="5"/>
  <c r="V81" i="5"/>
  <c r="S81" i="5"/>
  <c r="Q81" i="5"/>
  <c r="O81" i="5"/>
  <c r="M81" i="5"/>
  <c r="K81" i="5"/>
  <c r="I81" i="5"/>
  <c r="F81" i="5"/>
  <c r="A81" i="5"/>
  <c r="AU80" i="5"/>
  <c r="AT80" i="5"/>
  <c r="AQ80" i="5"/>
  <c r="AN80" i="5"/>
  <c r="AK80" i="5"/>
  <c r="AH80" i="5"/>
  <c r="AE80" i="5"/>
  <c r="AB80" i="5"/>
  <c r="Y80" i="5"/>
  <c r="V80" i="5"/>
  <c r="S80" i="5"/>
  <c r="Q80" i="5"/>
  <c r="O80" i="5"/>
  <c r="M80" i="5"/>
  <c r="K80" i="5"/>
  <c r="I80" i="5"/>
  <c r="F80" i="5"/>
  <c r="A80" i="5"/>
  <c r="AT79" i="5"/>
  <c r="AS79" i="5"/>
  <c r="AU79" i="5" s="1"/>
  <c r="AV79" i="5" s="1"/>
  <c r="AQ79" i="5"/>
  <c r="AN79" i="5"/>
  <c r="AK79" i="5"/>
  <c r="AH79" i="5"/>
  <c r="AE79" i="5"/>
  <c r="AB79" i="5"/>
  <c r="Y79" i="5"/>
  <c r="V79" i="5"/>
  <c r="S79" i="5"/>
  <c r="Q79" i="5"/>
  <c r="O79" i="5"/>
  <c r="M79" i="5"/>
  <c r="K79" i="5"/>
  <c r="I79" i="5"/>
  <c r="F79" i="5"/>
  <c r="A79" i="5"/>
  <c r="AV78" i="5"/>
  <c r="AU78" i="5"/>
  <c r="AT78" i="5"/>
  <c r="AQ78" i="5"/>
  <c r="AN78" i="5"/>
  <c r="AK78" i="5"/>
  <c r="AH78" i="5"/>
  <c r="AE78" i="5"/>
  <c r="AB78" i="5"/>
  <c r="Y78" i="5"/>
  <c r="V78" i="5"/>
  <c r="S78" i="5"/>
  <c r="Q78" i="5"/>
  <c r="O78" i="5"/>
  <c r="M78" i="5"/>
  <c r="K78" i="5"/>
  <c r="I78" i="5"/>
  <c r="F78" i="5"/>
  <c r="A78" i="5"/>
  <c r="AU77" i="5"/>
  <c r="AT77" i="5"/>
  <c r="AQ77" i="5"/>
  <c r="AN77" i="5"/>
  <c r="AK77" i="5"/>
  <c r="AH77" i="5"/>
  <c r="AE77" i="5"/>
  <c r="AB77" i="5"/>
  <c r="Y77" i="5"/>
  <c r="V77" i="5"/>
  <c r="S77" i="5"/>
  <c r="Q77" i="5"/>
  <c r="O77" i="5"/>
  <c r="M77" i="5"/>
  <c r="K77" i="5"/>
  <c r="I77" i="5"/>
  <c r="F77" i="5"/>
  <c r="A77" i="5"/>
  <c r="AV76" i="5"/>
  <c r="AU76" i="5"/>
  <c r="AT76" i="5"/>
  <c r="AQ76" i="5"/>
  <c r="AN76" i="5"/>
  <c r="AK76" i="5"/>
  <c r="AH76" i="5"/>
  <c r="AE76" i="5"/>
  <c r="AB76" i="5"/>
  <c r="Y76" i="5"/>
  <c r="V76" i="5"/>
  <c r="S76" i="5"/>
  <c r="Q76" i="5"/>
  <c r="O76" i="5"/>
  <c r="M76" i="5"/>
  <c r="K76" i="5"/>
  <c r="I76" i="5"/>
  <c r="F76" i="5"/>
  <c r="A76" i="5"/>
  <c r="AU75" i="5"/>
  <c r="AT75" i="5"/>
  <c r="AQ75" i="5"/>
  <c r="AN75" i="5"/>
  <c r="AK75" i="5"/>
  <c r="AH75" i="5"/>
  <c r="AE75" i="5"/>
  <c r="AB75" i="5"/>
  <c r="Y75" i="5"/>
  <c r="V75" i="5"/>
  <c r="S75" i="5"/>
  <c r="Q75" i="5"/>
  <c r="O75" i="5"/>
  <c r="M75" i="5"/>
  <c r="K75" i="5"/>
  <c r="I75" i="5"/>
  <c r="F75" i="5"/>
  <c r="A75" i="5"/>
  <c r="AV74" i="5"/>
  <c r="AU74" i="5"/>
  <c r="AT74" i="5"/>
  <c r="AQ74" i="5"/>
  <c r="AN74" i="5"/>
  <c r="AK74" i="5"/>
  <c r="AH74" i="5"/>
  <c r="AE74" i="5"/>
  <c r="AB74" i="5"/>
  <c r="Y74" i="5"/>
  <c r="V74" i="5"/>
  <c r="S74" i="5"/>
  <c r="Q74" i="5"/>
  <c r="O74" i="5"/>
  <c r="M74" i="5"/>
  <c r="K74" i="5"/>
  <c r="I74" i="5"/>
  <c r="F74" i="5"/>
  <c r="A74" i="5"/>
  <c r="AS73" i="5"/>
  <c r="AQ73" i="5"/>
  <c r="AN73" i="5"/>
  <c r="AK73" i="5"/>
  <c r="AH73" i="5"/>
  <c r="AE73" i="5"/>
  <c r="AB73" i="5"/>
  <c r="Y73" i="5"/>
  <c r="V73" i="5"/>
  <c r="S73" i="5"/>
  <c r="Q73" i="5"/>
  <c r="O73" i="5"/>
  <c r="M73" i="5"/>
  <c r="K73" i="5"/>
  <c r="I73" i="5"/>
  <c r="F73" i="5"/>
  <c r="A73" i="5"/>
  <c r="AU72" i="5"/>
  <c r="AT72" i="5"/>
  <c r="AQ72" i="5"/>
  <c r="AN72" i="5"/>
  <c r="AK72" i="5"/>
  <c r="AH72" i="5"/>
  <c r="AE72" i="5"/>
  <c r="AB72" i="5"/>
  <c r="Y72" i="5"/>
  <c r="V72" i="5"/>
  <c r="S72" i="5"/>
  <c r="Q72" i="5"/>
  <c r="O72" i="5"/>
  <c r="M72" i="5"/>
  <c r="K72" i="5"/>
  <c r="I72" i="5"/>
  <c r="F72" i="5"/>
  <c r="A72" i="5"/>
  <c r="AV71" i="5"/>
  <c r="AU71" i="5"/>
  <c r="AT71" i="5"/>
  <c r="AQ71" i="5"/>
  <c r="AN71" i="5"/>
  <c r="AK71" i="5"/>
  <c r="AH71" i="5"/>
  <c r="AE71" i="5"/>
  <c r="AB71" i="5"/>
  <c r="Y71" i="5"/>
  <c r="V71" i="5"/>
  <c r="S71" i="5"/>
  <c r="Q71" i="5"/>
  <c r="O71" i="5"/>
  <c r="M71" i="5"/>
  <c r="K71" i="5"/>
  <c r="I71" i="5"/>
  <c r="F71" i="5"/>
  <c r="A71" i="5"/>
  <c r="AU70" i="5"/>
  <c r="AT70" i="5"/>
  <c r="AQ70" i="5"/>
  <c r="AN70" i="5"/>
  <c r="AK70" i="5"/>
  <c r="AH70" i="5"/>
  <c r="AE70" i="5"/>
  <c r="AB70" i="5"/>
  <c r="Y70" i="5"/>
  <c r="V70" i="5"/>
  <c r="S70" i="5"/>
  <c r="Q70" i="5"/>
  <c r="O70" i="5"/>
  <c r="M70" i="5"/>
  <c r="K70" i="5"/>
  <c r="I70" i="5"/>
  <c r="F70" i="5"/>
  <c r="A70" i="5"/>
  <c r="AV69" i="5"/>
  <c r="AU69" i="5"/>
  <c r="AT69" i="5"/>
  <c r="AQ69" i="5"/>
  <c r="AN69" i="5"/>
  <c r="AK69" i="5"/>
  <c r="AH69" i="5"/>
  <c r="AE69" i="5"/>
  <c r="AB69" i="5"/>
  <c r="Y69" i="5"/>
  <c r="V69" i="5"/>
  <c r="S69" i="5"/>
  <c r="Q69" i="5"/>
  <c r="O69" i="5"/>
  <c r="M69" i="5"/>
  <c r="K69" i="5"/>
  <c r="I69" i="5"/>
  <c r="F69" i="5"/>
  <c r="A69" i="5"/>
  <c r="AU68" i="5"/>
  <c r="AT68" i="5"/>
  <c r="AQ68" i="5"/>
  <c r="AN68" i="5"/>
  <c r="AK68" i="5"/>
  <c r="AH68" i="5"/>
  <c r="AE68" i="5"/>
  <c r="AB68" i="5"/>
  <c r="Y68" i="5"/>
  <c r="V68" i="5"/>
  <c r="S68" i="5"/>
  <c r="Q68" i="5"/>
  <c r="O68" i="5"/>
  <c r="M68" i="5"/>
  <c r="K68" i="5"/>
  <c r="I68" i="5"/>
  <c r="F68" i="5"/>
  <c r="A68" i="5"/>
  <c r="AV67" i="5"/>
  <c r="AU67" i="5"/>
  <c r="AT67" i="5"/>
  <c r="AQ67" i="5"/>
  <c r="AN67" i="5"/>
  <c r="AK67" i="5"/>
  <c r="AH67" i="5"/>
  <c r="AE67" i="5"/>
  <c r="AB67" i="5"/>
  <c r="Y67" i="5"/>
  <c r="V67" i="5"/>
  <c r="S67" i="5"/>
  <c r="Q67" i="5"/>
  <c r="O67" i="5"/>
  <c r="M67" i="5"/>
  <c r="K67" i="5"/>
  <c r="I67" i="5"/>
  <c r="F67" i="5"/>
  <c r="A67" i="5"/>
  <c r="AU66" i="5"/>
  <c r="AT66" i="5"/>
  <c r="AQ66" i="5"/>
  <c r="AN66" i="5"/>
  <c r="AK66" i="5"/>
  <c r="AH66" i="5"/>
  <c r="AE66" i="5"/>
  <c r="AB66" i="5"/>
  <c r="Y66" i="5"/>
  <c r="V66" i="5"/>
  <c r="S66" i="5"/>
  <c r="Q66" i="5"/>
  <c r="O66" i="5"/>
  <c r="M66" i="5"/>
  <c r="K66" i="5"/>
  <c r="I66" i="5"/>
  <c r="F66" i="5"/>
  <c r="A66" i="5"/>
  <c r="AV65" i="5"/>
  <c r="AU65" i="5"/>
  <c r="AT65" i="5"/>
  <c r="AQ65" i="5"/>
  <c r="AN65" i="5"/>
  <c r="AK65" i="5"/>
  <c r="AH65" i="5"/>
  <c r="AE65" i="5"/>
  <c r="AB65" i="5"/>
  <c r="Y65" i="5"/>
  <c r="V65" i="5"/>
  <c r="S65" i="5"/>
  <c r="Q65" i="5"/>
  <c r="O65" i="5"/>
  <c r="M65" i="5"/>
  <c r="K65" i="5"/>
  <c r="I65" i="5"/>
  <c r="F65" i="5"/>
  <c r="A65" i="5"/>
  <c r="AU64" i="5"/>
  <c r="AT64" i="5"/>
  <c r="AQ64" i="5"/>
  <c r="AN64" i="5"/>
  <c r="AK64" i="5"/>
  <c r="AH64" i="5"/>
  <c r="AE64" i="5"/>
  <c r="AB64" i="5"/>
  <c r="Y64" i="5"/>
  <c r="V64" i="5"/>
  <c r="S64" i="5"/>
  <c r="Q64" i="5"/>
  <c r="O64" i="5"/>
  <c r="M64" i="5"/>
  <c r="K64" i="5"/>
  <c r="I64" i="5"/>
  <c r="F64" i="5"/>
  <c r="A64" i="5"/>
  <c r="AV63" i="5"/>
  <c r="AU63" i="5"/>
  <c r="AT63" i="5"/>
  <c r="AQ63" i="5"/>
  <c r="AN63" i="5"/>
  <c r="AK63" i="5"/>
  <c r="AH63" i="5"/>
  <c r="AE63" i="5"/>
  <c r="AB63" i="5"/>
  <c r="Y63" i="5"/>
  <c r="V63" i="5"/>
  <c r="S63" i="5"/>
  <c r="Q63" i="5"/>
  <c r="O63" i="5"/>
  <c r="M63" i="5"/>
  <c r="K63" i="5"/>
  <c r="I63" i="5"/>
  <c r="F63" i="5"/>
  <c r="A63" i="5"/>
  <c r="AS62" i="5"/>
  <c r="AE200" i="5" s="1"/>
  <c r="AQ62" i="5"/>
  <c r="AN62" i="5"/>
  <c r="AK62" i="5"/>
  <c r="AH62" i="5"/>
  <c r="AE62" i="5"/>
  <c r="AB62" i="5"/>
  <c r="Y62" i="5"/>
  <c r="V62" i="5"/>
  <c r="S62" i="5"/>
  <c r="Q62" i="5"/>
  <c r="O62" i="5"/>
  <c r="M62" i="5"/>
  <c r="K62" i="5"/>
  <c r="I62" i="5"/>
  <c r="F62" i="5"/>
  <c r="A62" i="5"/>
  <c r="AU61" i="5"/>
  <c r="AV61" i="5" s="1"/>
  <c r="AT61" i="5"/>
  <c r="AQ61" i="5"/>
  <c r="AN61" i="5"/>
  <c r="AK61" i="5"/>
  <c r="AH61" i="5"/>
  <c r="AE61" i="5"/>
  <c r="AB61" i="5"/>
  <c r="Y61" i="5"/>
  <c r="V61" i="5"/>
  <c r="S61" i="5"/>
  <c r="Q61" i="5"/>
  <c r="O61" i="5"/>
  <c r="M61" i="5"/>
  <c r="K61" i="5"/>
  <c r="I61" i="5"/>
  <c r="F61" i="5"/>
  <c r="A61" i="5"/>
  <c r="AV60" i="5"/>
  <c r="AU60" i="5"/>
  <c r="AT60" i="5"/>
  <c r="AQ60" i="5"/>
  <c r="AN60" i="5"/>
  <c r="AK60" i="5"/>
  <c r="AH60" i="5"/>
  <c r="AE60" i="5"/>
  <c r="AB60" i="5"/>
  <c r="Y60" i="5"/>
  <c r="V60" i="5"/>
  <c r="S60" i="5"/>
  <c r="Q60" i="5"/>
  <c r="O60" i="5"/>
  <c r="M60" i="5"/>
  <c r="K60" i="5"/>
  <c r="I60" i="5"/>
  <c r="F60" i="5"/>
  <c r="A60" i="5"/>
  <c r="AU59" i="5"/>
  <c r="AV59" i="5" s="1"/>
  <c r="AT59" i="5"/>
  <c r="AQ59" i="5"/>
  <c r="AN59" i="5"/>
  <c r="AK59" i="5"/>
  <c r="AH59" i="5"/>
  <c r="AE59" i="5"/>
  <c r="AB59" i="5"/>
  <c r="Y59" i="5"/>
  <c r="V59" i="5"/>
  <c r="S59" i="5"/>
  <c r="Q59" i="5"/>
  <c r="O59" i="5"/>
  <c r="M59" i="5"/>
  <c r="K59" i="5"/>
  <c r="I59" i="5"/>
  <c r="F59" i="5"/>
  <c r="A59" i="5"/>
  <c r="AV58" i="5"/>
  <c r="AU58" i="5"/>
  <c r="AT58" i="5"/>
  <c r="AQ58" i="5"/>
  <c r="AN58" i="5"/>
  <c r="AK58" i="5"/>
  <c r="AH58" i="5"/>
  <c r="AE58" i="5"/>
  <c r="AB58" i="5"/>
  <c r="Y58" i="5"/>
  <c r="V58" i="5"/>
  <c r="S58" i="5"/>
  <c r="Q58" i="5"/>
  <c r="O58" i="5"/>
  <c r="M58" i="5"/>
  <c r="K58" i="5"/>
  <c r="I58" i="5"/>
  <c r="F58" i="5"/>
  <c r="A58" i="5"/>
  <c r="AU57" i="5"/>
  <c r="AV57" i="5" s="1"/>
  <c r="AT57" i="5"/>
  <c r="AQ57" i="5"/>
  <c r="AN57" i="5"/>
  <c r="AK57" i="5"/>
  <c r="AH57" i="5"/>
  <c r="AE57" i="5"/>
  <c r="AB57" i="5"/>
  <c r="Y57" i="5"/>
  <c r="V57" i="5"/>
  <c r="S57" i="5"/>
  <c r="Q57" i="5"/>
  <c r="O57" i="5"/>
  <c r="M57" i="5"/>
  <c r="K57" i="5"/>
  <c r="I57" i="5"/>
  <c r="F57" i="5"/>
  <c r="A57" i="5"/>
  <c r="AV56" i="5"/>
  <c r="AU56" i="5"/>
  <c r="AT56" i="5"/>
  <c r="AQ56" i="5"/>
  <c r="AN56" i="5"/>
  <c r="AK56" i="5"/>
  <c r="AH56" i="5"/>
  <c r="AE56" i="5"/>
  <c r="AB56" i="5"/>
  <c r="Y56" i="5"/>
  <c r="V56" i="5"/>
  <c r="S56" i="5"/>
  <c r="Q56" i="5"/>
  <c r="O56" i="5"/>
  <c r="M56" i="5"/>
  <c r="K56" i="5"/>
  <c r="I56" i="5"/>
  <c r="F56" i="5"/>
  <c r="A56" i="5"/>
  <c r="AU55" i="5"/>
  <c r="AV55" i="5" s="1"/>
  <c r="AT55" i="5"/>
  <c r="AQ55" i="5"/>
  <c r="AN55" i="5"/>
  <c r="AK55" i="5"/>
  <c r="AH55" i="5"/>
  <c r="AE55" i="5"/>
  <c r="AB55" i="5"/>
  <c r="Y55" i="5"/>
  <c r="V55" i="5"/>
  <c r="S55" i="5"/>
  <c r="Q55" i="5"/>
  <c r="O55" i="5"/>
  <c r="M55" i="5"/>
  <c r="K55" i="5"/>
  <c r="I55" i="5"/>
  <c r="F55" i="5"/>
  <c r="A55" i="5"/>
  <c r="AV54" i="5"/>
  <c r="AU54" i="5"/>
  <c r="AT54" i="5"/>
  <c r="AQ54" i="5"/>
  <c r="AN54" i="5"/>
  <c r="AK54" i="5"/>
  <c r="AH54" i="5"/>
  <c r="AE54" i="5"/>
  <c r="AB54" i="5"/>
  <c r="Y54" i="5"/>
  <c r="V54" i="5"/>
  <c r="S54" i="5"/>
  <c r="Q54" i="5"/>
  <c r="O54" i="5"/>
  <c r="M54" i="5"/>
  <c r="K54" i="5"/>
  <c r="I54" i="5"/>
  <c r="F54" i="5"/>
  <c r="A54" i="5"/>
  <c r="AU53" i="5"/>
  <c r="AV53" i="5" s="1"/>
  <c r="AT53" i="5"/>
  <c r="AQ53" i="5"/>
  <c r="AN53" i="5"/>
  <c r="AK53" i="5"/>
  <c r="AH53" i="5"/>
  <c r="AE53" i="5"/>
  <c r="AB53" i="5"/>
  <c r="Y53" i="5"/>
  <c r="V53" i="5"/>
  <c r="S53" i="5"/>
  <c r="Q53" i="5"/>
  <c r="O53" i="5"/>
  <c r="M53" i="5"/>
  <c r="K53" i="5"/>
  <c r="I53" i="5"/>
  <c r="F53" i="5"/>
  <c r="A53" i="5"/>
  <c r="AV52" i="5"/>
  <c r="AU52" i="5"/>
  <c r="AT52" i="5"/>
  <c r="AQ52" i="5"/>
  <c r="AN52" i="5"/>
  <c r="AK52" i="5"/>
  <c r="AH52" i="5"/>
  <c r="AE52" i="5"/>
  <c r="AB52" i="5"/>
  <c r="Y52" i="5"/>
  <c r="V52" i="5"/>
  <c r="S52" i="5"/>
  <c r="Q52" i="5"/>
  <c r="O52" i="5"/>
  <c r="M52" i="5"/>
  <c r="K52" i="5"/>
  <c r="I52" i="5"/>
  <c r="F52" i="5"/>
  <c r="A52" i="5"/>
  <c r="AU51" i="5"/>
  <c r="AV51" i="5" s="1"/>
  <c r="AT51" i="5"/>
  <c r="AQ51" i="5"/>
  <c r="AN51" i="5"/>
  <c r="AK51" i="5"/>
  <c r="AH51" i="5"/>
  <c r="AE51" i="5"/>
  <c r="AB51" i="5"/>
  <c r="Y51" i="5"/>
  <c r="V51" i="5"/>
  <c r="S51" i="5"/>
  <c r="Q51" i="5"/>
  <c r="O51" i="5"/>
  <c r="M51" i="5"/>
  <c r="K51" i="5"/>
  <c r="I51" i="5"/>
  <c r="F51" i="5"/>
  <c r="A51" i="5"/>
  <c r="AV50" i="5"/>
  <c r="AU50" i="5"/>
  <c r="AT50" i="5"/>
  <c r="AQ50" i="5"/>
  <c r="AN50" i="5"/>
  <c r="AK50" i="5"/>
  <c r="AH50" i="5"/>
  <c r="AE50" i="5"/>
  <c r="AB50" i="5"/>
  <c r="Y50" i="5"/>
  <c r="V50" i="5"/>
  <c r="S50" i="5"/>
  <c r="Q50" i="5"/>
  <c r="O50" i="5"/>
  <c r="M50" i="5"/>
  <c r="K50" i="5"/>
  <c r="I50" i="5"/>
  <c r="F50" i="5"/>
  <c r="A50" i="5"/>
  <c r="AU49" i="5"/>
  <c r="AV49" i="5" s="1"/>
  <c r="AT49" i="5"/>
  <c r="AQ49" i="5"/>
  <c r="AN49" i="5"/>
  <c r="AK49" i="5"/>
  <c r="AH49" i="5"/>
  <c r="AE49" i="5"/>
  <c r="AB49" i="5"/>
  <c r="Y49" i="5"/>
  <c r="V49" i="5"/>
  <c r="S49" i="5"/>
  <c r="Q49" i="5"/>
  <c r="O49" i="5"/>
  <c r="M49" i="5"/>
  <c r="K49" i="5"/>
  <c r="I49" i="5"/>
  <c r="F49" i="5"/>
  <c r="A49" i="5"/>
  <c r="AV48" i="5"/>
  <c r="AU48" i="5"/>
  <c r="AT48" i="5"/>
  <c r="AQ48" i="5"/>
  <c r="AN48" i="5"/>
  <c r="AK48" i="5"/>
  <c r="AH48" i="5"/>
  <c r="AE48" i="5"/>
  <c r="AB48" i="5"/>
  <c r="Y48" i="5"/>
  <c r="V48" i="5"/>
  <c r="S48" i="5"/>
  <c r="Q48" i="5"/>
  <c r="O48" i="5"/>
  <c r="M48" i="5"/>
  <c r="K48" i="5"/>
  <c r="I48" i="5"/>
  <c r="F48" i="5"/>
  <c r="A48" i="5"/>
  <c r="AU47" i="5"/>
  <c r="AV47" i="5" s="1"/>
  <c r="AT47" i="5"/>
  <c r="AQ47" i="5"/>
  <c r="AN47" i="5"/>
  <c r="AK47" i="5"/>
  <c r="AH47" i="5"/>
  <c r="AE47" i="5"/>
  <c r="AB47" i="5"/>
  <c r="Y47" i="5"/>
  <c r="V47" i="5"/>
  <c r="S47" i="5"/>
  <c r="Q47" i="5"/>
  <c r="O47" i="5"/>
  <c r="M47" i="5"/>
  <c r="K47" i="5"/>
  <c r="I47" i="5"/>
  <c r="F47" i="5"/>
  <c r="A47" i="5"/>
  <c r="AV46" i="5"/>
  <c r="AU46" i="5"/>
  <c r="AT46" i="5"/>
  <c r="AQ46" i="5"/>
  <c r="AN46" i="5"/>
  <c r="AK46" i="5"/>
  <c r="AH46" i="5"/>
  <c r="AE46" i="5"/>
  <c r="AB46" i="5"/>
  <c r="Y46" i="5"/>
  <c r="V46" i="5"/>
  <c r="S46" i="5"/>
  <c r="Q46" i="5"/>
  <c r="O46" i="5"/>
  <c r="M46" i="5"/>
  <c r="K46" i="5"/>
  <c r="I46" i="5"/>
  <c r="F46" i="5"/>
  <c r="A46" i="5"/>
  <c r="AU45" i="5"/>
  <c r="AV45" i="5" s="1"/>
  <c r="AT45" i="5"/>
  <c r="AQ45" i="5"/>
  <c r="AN45" i="5"/>
  <c r="AK45" i="5"/>
  <c r="AH45" i="5"/>
  <c r="AE45" i="5"/>
  <c r="AB45" i="5"/>
  <c r="Y45" i="5"/>
  <c r="V45" i="5"/>
  <c r="S45" i="5"/>
  <c r="Q45" i="5"/>
  <c r="O45" i="5"/>
  <c r="M45" i="5"/>
  <c r="K45" i="5"/>
  <c r="I45" i="5"/>
  <c r="F45" i="5"/>
  <c r="A45" i="5"/>
  <c r="AV44" i="5"/>
  <c r="AU44" i="5"/>
  <c r="AT44" i="5"/>
  <c r="AQ44" i="5"/>
  <c r="AN44" i="5"/>
  <c r="AK44" i="5"/>
  <c r="AH44" i="5"/>
  <c r="AE44" i="5"/>
  <c r="AB44" i="5"/>
  <c r="Y44" i="5"/>
  <c r="V44" i="5"/>
  <c r="S44" i="5"/>
  <c r="Q44" i="5"/>
  <c r="O44" i="5"/>
  <c r="M44" i="5"/>
  <c r="K44" i="5"/>
  <c r="I44" i="5"/>
  <c r="F44" i="5"/>
  <c r="A44" i="5"/>
  <c r="AU43" i="5"/>
  <c r="AV43" i="5" s="1"/>
  <c r="AT43" i="5"/>
  <c r="AQ43" i="5"/>
  <c r="AN43" i="5"/>
  <c r="AK43" i="5"/>
  <c r="AH43" i="5"/>
  <c r="AE43" i="5"/>
  <c r="AB43" i="5"/>
  <c r="Y43" i="5"/>
  <c r="V43" i="5"/>
  <c r="S43" i="5"/>
  <c r="Q43" i="5"/>
  <c r="O43" i="5"/>
  <c r="M43" i="5"/>
  <c r="K43" i="5"/>
  <c r="I43" i="5"/>
  <c r="F43" i="5"/>
  <c r="A43" i="5"/>
  <c r="AV42" i="5"/>
  <c r="AU42" i="5"/>
  <c r="AT42" i="5"/>
  <c r="AQ42" i="5"/>
  <c r="AN42" i="5"/>
  <c r="AK42" i="5"/>
  <c r="AH42" i="5"/>
  <c r="AE42" i="5"/>
  <c r="AB42" i="5"/>
  <c r="Y42" i="5"/>
  <c r="V42" i="5"/>
  <c r="S42" i="5"/>
  <c r="Q42" i="5"/>
  <c r="O42" i="5"/>
  <c r="M42" i="5"/>
  <c r="K42" i="5"/>
  <c r="I42" i="5"/>
  <c r="F42" i="5"/>
  <c r="A42" i="5"/>
  <c r="AU41" i="5"/>
  <c r="AV41" i="5" s="1"/>
  <c r="AT41" i="5"/>
  <c r="AQ41" i="5"/>
  <c r="AN41" i="5"/>
  <c r="AK41" i="5"/>
  <c r="AH41" i="5"/>
  <c r="AE41" i="5"/>
  <c r="AB41" i="5"/>
  <c r="Y41" i="5"/>
  <c r="V41" i="5"/>
  <c r="S41" i="5"/>
  <c r="Q41" i="5"/>
  <c r="O41" i="5"/>
  <c r="M41" i="5"/>
  <c r="K41" i="5"/>
  <c r="I41" i="5"/>
  <c r="F41" i="5"/>
  <c r="A41" i="5"/>
  <c r="AV40" i="5"/>
  <c r="AU40" i="5"/>
  <c r="AT40" i="5"/>
  <c r="AQ40" i="5"/>
  <c r="AN40" i="5"/>
  <c r="AK40" i="5"/>
  <c r="AH40" i="5"/>
  <c r="AE40" i="5"/>
  <c r="AB40" i="5"/>
  <c r="Y40" i="5"/>
  <c r="V40" i="5"/>
  <c r="S40" i="5"/>
  <c r="Q40" i="5"/>
  <c r="O40" i="5"/>
  <c r="M40" i="5"/>
  <c r="K40" i="5"/>
  <c r="I40" i="5"/>
  <c r="F40" i="5"/>
  <c r="A40" i="5"/>
  <c r="AU39" i="5"/>
  <c r="AV39" i="5" s="1"/>
  <c r="AT39" i="5"/>
  <c r="AQ39" i="5"/>
  <c r="AN39" i="5"/>
  <c r="AK39" i="5"/>
  <c r="AH39" i="5"/>
  <c r="AE39" i="5"/>
  <c r="AB39" i="5"/>
  <c r="Y39" i="5"/>
  <c r="V39" i="5"/>
  <c r="S39" i="5"/>
  <c r="Q39" i="5"/>
  <c r="O39" i="5"/>
  <c r="M39" i="5"/>
  <c r="K39" i="5"/>
  <c r="I39" i="5"/>
  <c r="F39" i="5"/>
  <c r="A39" i="5"/>
  <c r="AV38" i="5"/>
  <c r="AU38" i="5"/>
  <c r="AT38" i="5"/>
  <c r="AQ38" i="5"/>
  <c r="AN38" i="5"/>
  <c r="AK38" i="5"/>
  <c r="AH38" i="5"/>
  <c r="AE38" i="5"/>
  <c r="AB38" i="5"/>
  <c r="Y38" i="5"/>
  <c r="V38" i="5"/>
  <c r="S38" i="5"/>
  <c r="Q38" i="5"/>
  <c r="O38" i="5"/>
  <c r="M38" i="5"/>
  <c r="K38" i="5"/>
  <c r="I38" i="5"/>
  <c r="F38" i="5"/>
  <c r="A38" i="5"/>
  <c r="AU37" i="5"/>
  <c r="AV37" i="5" s="1"/>
  <c r="AT37" i="5"/>
  <c r="AQ37" i="5"/>
  <c r="AN37" i="5"/>
  <c r="AK37" i="5"/>
  <c r="AH37" i="5"/>
  <c r="AE37" i="5"/>
  <c r="AB37" i="5"/>
  <c r="Y37" i="5"/>
  <c r="V37" i="5"/>
  <c r="S37" i="5"/>
  <c r="Q37" i="5"/>
  <c r="O37" i="5"/>
  <c r="M37" i="5"/>
  <c r="K37" i="5"/>
  <c r="I37" i="5"/>
  <c r="F37" i="5"/>
  <c r="A37" i="5"/>
  <c r="AV36" i="5"/>
  <c r="AU36" i="5"/>
  <c r="AT36" i="5"/>
  <c r="AQ36" i="5"/>
  <c r="AN36" i="5"/>
  <c r="AK36" i="5"/>
  <c r="AH36" i="5"/>
  <c r="AE36" i="5"/>
  <c r="AB36" i="5"/>
  <c r="Y36" i="5"/>
  <c r="V36" i="5"/>
  <c r="S36" i="5"/>
  <c r="Q36" i="5"/>
  <c r="O36" i="5"/>
  <c r="M36" i="5"/>
  <c r="K36" i="5"/>
  <c r="I36" i="5"/>
  <c r="F36" i="5"/>
  <c r="A36" i="5"/>
  <c r="AU35" i="5"/>
  <c r="AV35" i="5" s="1"/>
  <c r="AT35" i="5"/>
  <c r="AQ35" i="5"/>
  <c r="AN35" i="5"/>
  <c r="AK35" i="5"/>
  <c r="AH35" i="5"/>
  <c r="AE35" i="5"/>
  <c r="AB35" i="5"/>
  <c r="Y35" i="5"/>
  <c r="V35" i="5"/>
  <c r="S35" i="5"/>
  <c r="Q35" i="5"/>
  <c r="O35" i="5"/>
  <c r="M35" i="5"/>
  <c r="K35" i="5"/>
  <c r="I35" i="5"/>
  <c r="F35" i="5"/>
  <c r="A35" i="5"/>
  <c r="AV34" i="5"/>
  <c r="AU34" i="5"/>
  <c r="AT34" i="5"/>
  <c r="AQ34" i="5"/>
  <c r="AN34" i="5"/>
  <c r="AK34" i="5"/>
  <c r="AH34" i="5"/>
  <c r="AE34" i="5"/>
  <c r="AB34" i="5"/>
  <c r="Y34" i="5"/>
  <c r="V34" i="5"/>
  <c r="S34" i="5"/>
  <c r="Q34" i="5"/>
  <c r="O34" i="5"/>
  <c r="M34" i="5"/>
  <c r="K34" i="5"/>
  <c r="I34" i="5"/>
  <c r="F34" i="5"/>
  <c r="A34" i="5"/>
  <c r="AU33" i="5"/>
  <c r="AV33" i="5" s="1"/>
  <c r="AT33" i="5"/>
  <c r="AQ33" i="5"/>
  <c r="AN33" i="5"/>
  <c r="AK33" i="5"/>
  <c r="AH33" i="5"/>
  <c r="AE33" i="5"/>
  <c r="AB33" i="5"/>
  <c r="Y33" i="5"/>
  <c r="V33" i="5"/>
  <c r="S33" i="5"/>
  <c r="Q33" i="5"/>
  <c r="O33" i="5"/>
  <c r="M33" i="5"/>
  <c r="K33" i="5"/>
  <c r="I33" i="5"/>
  <c r="F33" i="5"/>
  <c r="A33" i="5"/>
  <c r="AV32" i="5"/>
  <c r="AU32" i="5"/>
  <c r="AT32" i="5"/>
  <c r="AQ32" i="5"/>
  <c r="AN32" i="5"/>
  <c r="AK32" i="5"/>
  <c r="AH32" i="5"/>
  <c r="AE32" i="5"/>
  <c r="AB32" i="5"/>
  <c r="Y32" i="5"/>
  <c r="V32" i="5"/>
  <c r="S32" i="5"/>
  <c r="Q32" i="5"/>
  <c r="O32" i="5"/>
  <c r="M32" i="5"/>
  <c r="K32" i="5"/>
  <c r="I32" i="5"/>
  <c r="F32" i="5"/>
  <c r="A32" i="5"/>
  <c r="AU31" i="5"/>
  <c r="AV31" i="5" s="1"/>
  <c r="AT31" i="5"/>
  <c r="AQ31" i="5"/>
  <c r="AN31" i="5"/>
  <c r="AK31" i="5"/>
  <c r="AH31" i="5"/>
  <c r="AE31" i="5"/>
  <c r="AB31" i="5"/>
  <c r="Y31" i="5"/>
  <c r="V31" i="5"/>
  <c r="S31" i="5"/>
  <c r="Q31" i="5"/>
  <c r="O31" i="5"/>
  <c r="M31" i="5"/>
  <c r="K31" i="5"/>
  <c r="I31" i="5"/>
  <c r="F31" i="5"/>
  <c r="A31" i="5"/>
  <c r="AV30" i="5"/>
  <c r="AU30" i="5"/>
  <c r="AT30" i="5"/>
  <c r="AQ30" i="5"/>
  <c r="AN30" i="5"/>
  <c r="AK30" i="5"/>
  <c r="AH30" i="5"/>
  <c r="AE30" i="5"/>
  <c r="AB30" i="5"/>
  <c r="Y30" i="5"/>
  <c r="V30" i="5"/>
  <c r="S30" i="5"/>
  <c r="Q30" i="5"/>
  <c r="O30" i="5"/>
  <c r="M30" i="5"/>
  <c r="K30" i="5"/>
  <c r="I30" i="5"/>
  <c r="F30" i="5"/>
  <c r="A30" i="5"/>
  <c r="AU29" i="5"/>
  <c r="AV29" i="5" s="1"/>
  <c r="AT29" i="5"/>
  <c r="AQ29" i="5"/>
  <c r="AN29" i="5"/>
  <c r="AK29" i="5"/>
  <c r="AH29" i="5"/>
  <c r="AE29" i="5"/>
  <c r="AB29" i="5"/>
  <c r="Y29" i="5"/>
  <c r="V29" i="5"/>
  <c r="S29" i="5"/>
  <c r="Q29" i="5"/>
  <c r="O29" i="5"/>
  <c r="M29" i="5"/>
  <c r="K29" i="5"/>
  <c r="I29" i="5"/>
  <c r="F29" i="5"/>
  <c r="A29" i="5"/>
  <c r="AV28" i="5"/>
  <c r="AU28" i="5"/>
  <c r="AT28" i="5"/>
  <c r="AQ28" i="5"/>
  <c r="AN28" i="5"/>
  <c r="AK28" i="5"/>
  <c r="AH28" i="5"/>
  <c r="AE28" i="5"/>
  <c r="AB28" i="5"/>
  <c r="Y28" i="5"/>
  <c r="V28" i="5"/>
  <c r="S28" i="5"/>
  <c r="Q28" i="5"/>
  <c r="O28" i="5"/>
  <c r="M28" i="5"/>
  <c r="K28" i="5"/>
  <c r="I28" i="5"/>
  <c r="F28" i="5"/>
  <c r="A28" i="5"/>
  <c r="AU27" i="5"/>
  <c r="AV27" i="5" s="1"/>
  <c r="AT27" i="5"/>
  <c r="AQ27" i="5"/>
  <c r="AN27" i="5"/>
  <c r="AK27" i="5"/>
  <c r="AH27" i="5"/>
  <c r="AE27" i="5"/>
  <c r="AB27" i="5"/>
  <c r="Y27" i="5"/>
  <c r="V27" i="5"/>
  <c r="S27" i="5"/>
  <c r="Q27" i="5"/>
  <c r="O27" i="5"/>
  <c r="M27" i="5"/>
  <c r="K27" i="5"/>
  <c r="I27" i="5"/>
  <c r="F27" i="5"/>
  <c r="A27" i="5"/>
  <c r="AV26" i="5"/>
  <c r="AU26" i="5"/>
  <c r="AT26" i="5"/>
  <c r="AQ26" i="5"/>
  <c r="AN26" i="5"/>
  <c r="AK26" i="5"/>
  <c r="AH26" i="5"/>
  <c r="AE26" i="5"/>
  <c r="AB26" i="5"/>
  <c r="Y26" i="5"/>
  <c r="V26" i="5"/>
  <c r="S26" i="5"/>
  <c r="Q26" i="5"/>
  <c r="O26" i="5"/>
  <c r="M26" i="5"/>
  <c r="K26" i="5"/>
  <c r="I26" i="5"/>
  <c r="F26" i="5"/>
  <c r="A26" i="5"/>
  <c r="AU25" i="5"/>
  <c r="AV25" i="5" s="1"/>
  <c r="AT25" i="5"/>
  <c r="AQ25" i="5"/>
  <c r="AN25" i="5"/>
  <c r="AK25" i="5"/>
  <c r="AH25" i="5"/>
  <c r="AE25" i="5"/>
  <c r="AB25" i="5"/>
  <c r="Y25" i="5"/>
  <c r="V25" i="5"/>
  <c r="S25" i="5"/>
  <c r="Q25" i="5"/>
  <c r="O25" i="5"/>
  <c r="M25" i="5"/>
  <c r="K25" i="5"/>
  <c r="I25" i="5"/>
  <c r="F25" i="5"/>
  <c r="A25" i="5"/>
  <c r="AT24" i="5"/>
  <c r="AQ24" i="5"/>
  <c r="AN24" i="5"/>
  <c r="AK24" i="5"/>
  <c r="AH24" i="5"/>
  <c r="AE24" i="5"/>
  <c r="AB24" i="5"/>
  <c r="Y24" i="5"/>
  <c r="V24" i="5"/>
  <c r="U24" i="5"/>
  <c r="AU24" i="5" s="1"/>
  <c r="AV24" i="5" s="1"/>
  <c r="S24" i="5"/>
  <c r="Q24" i="5"/>
  <c r="O24" i="5"/>
  <c r="M24" i="5"/>
  <c r="K24" i="5"/>
  <c r="I24" i="5"/>
  <c r="F24" i="5"/>
  <c r="A24" i="5"/>
  <c r="AV23" i="5"/>
  <c r="AU23" i="5"/>
  <c r="AT23" i="5"/>
  <c r="AQ23" i="5"/>
  <c r="AN23" i="5"/>
  <c r="AK23" i="5"/>
  <c r="AH23" i="5"/>
  <c r="AE23" i="5"/>
  <c r="AB23" i="5"/>
  <c r="Y23" i="5"/>
  <c r="V23" i="5"/>
  <c r="S23" i="5"/>
  <c r="Q23" i="5"/>
  <c r="O23" i="5"/>
  <c r="M23" i="5"/>
  <c r="K23" i="5"/>
  <c r="I23" i="5"/>
  <c r="F23" i="5"/>
  <c r="A23" i="5"/>
  <c r="AU22" i="5"/>
  <c r="AV22" i="5" s="1"/>
  <c r="AT22" i="5"/>
  <c r="AQ22" i="5"/>
  <c r="AN22" i="5"/>
  <c r="AK22" i="5"/>
  <c r="AH22" i="5"/>
  <c r="AE22" i="5"/>
  <c r="AB22" i="5"/>
  <c r="Y22" i="5"/>
  <c r="V22" i="5"/>
  <c r="S22" i="5"/>
  <c r="Q22" i="5"/>
  <c r="O22" i="5"/>
  <c r="M22" i="5"/>
  <c r="K22" i="5"/>
  <c r="I22" i="5"/>
  <c r="F22" i="5"/>
  <c r="A22" i="5"/>
  <c r="AV21" i="5"/>
  <c r="AU21" i="5"/>
  <c r="AT21" i="5"/>
  <c r="AQ21" i="5"/>
  <c r="AN21" i="5"/>
  <c r="AK21" i="5"/>
  <c r="AH21" i="5"/>
  <c r="AE21" i="5"/>
  <c r="AB21" i="5"/>
  <c r="Y21" i="5"/>
  <c r="V21" i="5"/>
  <c r="S21" i="5"/>
  <c r="Q21" i="5"/>
  <c r="O21" i="5"/>
  <c r="M21" i="5"/>
  <c r="K21" i="5"/>
  <c r="I21" i="5"/>
  <c r="F21" i="5"/>
  <c r="A21" i="5"/>
  <c r="AT20" i="5"/>
  <c r="AQ20" i="5"/>
  <c r="AN20" i="5"/>
  <c r="AK20" i="5"/>
  <c r="AH20" i="5"/>
  <c r="AE20" i="5"/>
  <c r="AB20" i="5"/>
  <c r="Y20" i="5"/>
  <c r="U20" i="5"/>
  <c r="O195" i="5" s="1"/>
  <c r="S20" i="5"/>
  <c r="Q20" i="5"/>
  <c r="O20" i="5"/>
  <c r="M20" i="5"/>
  <c r="K20" i="5"/>
  <c r="I20" i="5"/>
  <c r="F20" i="5"/>
  <c r="A20" i="5"/>
  <c r="AU19" i="5"/>
  <c r="AV19" i="5" s="1"/>
  <c r="AT19" i="5"/>
  <c r="AQ19" i="5"/>
  <c r="AN19" i="5"/>
  <c r="AK19" i="5"/>
  <c r="AH19" i="5"/>
  <c r="AE19" i="5"/>
  <c r="AB19" i="5"/>
  <c r="Y19" i="5"/>
  <c r="V19" i="5"/>
  <c r="S19" i="5"/>
  <c r="Q19" i="5"/>
  <c r="O19" i="5"/>
  <c r="M19" i="5"/>
  <c r="K19" i="5"/>
  <c r="I19" i="5"/>
  <c r="F19" i="5"/>
  <c r="A19" i="5"/>
  <c r="AV18" i="5"/>
  <c r="AU18" i="5"/>
  <c r="AT18" i="5"/>
  <c r="AQ18" i="5"/>
  <c r="AN18" i="5"/>
  <c r="AK18" i="5"/>
  <c r="AH18" i="5"/>
  <c r="AE18" i="5"/>
  <c r="AB18" i="5"/>
  <c r="Y18" i="5"/>
  <c r="V18" i="5"/>
  <c r="S18" i="5"/>
  <c r="Q18" i="5"/>
  <c r="O18" i="5"/>
  <c r="M18" i="5"/>
  <c r="K18" i="5"/>
  <c r="I18" i="5"/>
  <c r="F18" i="5"/>
  <c r="A18" i="5"/>
  <c r="AU17" i="5"/>
  <c r="AV17" i="5" s="1"/>
  <c r="AT17" i="5"/>
  <c r="AQ17" i="5"/>
  <c r="AN17" i="5"/>
  <c r="AK17" i="5"/>
  <c r="AH17" i="5"/>
  <c r="AE17" i="5"/>
  <c r="AB17" i="5"/>
  <c r="Y17" i="5"/>
  <c r="V17" i="5"/>
  <c r="S17" i="5"/>
  <c r="Q17" i="5"/>
  <c r="O17" i="5"/>
  <c r="M17" i="5"/>
  <c r="K17" i="5"/>
  <c r="I17" i="5"/>
  <c r="F17" i="5"/>
  <c r="A17" i="5"/>
  <c r="AV16" i="5"/>
  <c r="AU16" i="5"/>
  <c r="AT16" i="5"/>
  <c r="AQ16" i="5"/>
  <c r="AN16" i="5"/>
  <c r="AK16" i="5"/>
  <c r="AH16" i="5"/>
  <c r="AE16" i="5"/>
  <c r="AB16" i="5"/>
  <c r="Y16" i="5"/>
  <c r="V16" i="5"/>
  <c r="S16" i="5"/>
  <c r="Q16" i="5"/>
  <c r="O16" i="5"/>
  <c r="M16" i="5"/>
  <c r="K16" i="5"/>
  <c r="I16" i="5"/>
  <c r="F16" i="5"/>
  <c r="A16" i="5"/>
  <c r="AU15" i="5"/>
  <c r="AV15" i="5" s="1"/>
  <c r="AT15" i="5"/>
  <c r="AQ15" i="5"/>
  <c r="AN15" i="5"/>
  <c r="AK15" i="5"/>
  <c r="AH15" i="5"/>
  <c r="AE15" i="5"/>
  <c r="AB15" i="5"/>
  <c r="Y15" i="5"/>
  <c r="V15" i="5"/>
  <c r="S15" i="5"/>
  <c r="Q15" i="5"/>
  <c r="O15" i="5"/>
  <c r="M15" i="5"/>
  <c r="K15" i="5"/>
  <c r="I15" i="5"/>
  <c r="F15" i="5"/>
  <c r="A15" i="5"/>
  <c r="AV14" i="5"/>
  <c r="AU14" i="5"/>
  <c r="AT14" i="5"/>
  <c r="AQ14" i="5"/>
  <c r="AN14" i="5"/>
  <c r="AK14" i="5"/>
  <c r="AH14" i="5"/>
  <c r="AE14" i="5"/>
  <c r="AB14" i="5"/>
  <c r="Y14" i="5"/>
  <c r="V14" i="5"/>
  <c r="S14" i="5"/>
  <c r="Q14" i="5"/>
  <c r="O14" i="5"/>
  <c r="M14" i="5"/>
  <c r="K14" i="5"/>
  <c r="I14" i="5"/>
  <c r="F14" i="5"/>
  <c r="A14" i="5"/>
  <c r="AU13" i="5"/>
  <c r="AV13" i="5" s="1"/>
  <c r="AT13" i="5"/>
  <c r="AQ13" i="5"/>
  <c r="AN13" i="5"/>
  <c r="AK13" i="5"/>
  <c r="AH13" i="5"/>
  <c r="AE13" i="5"/>
  <c r="AB13" i="5"/>
  <c r="Y13" i="5"/>
  <c r="V13" i="5"/>
  <c r="S13" i="5"/>
  <c r="Q13" i="5"/>
  <c r="O13" i="5"/>
  <c r="M13" i="5"/>
  <c r="K13" i="5"/>
  <c r="I13" i="5"/>
  <c r="F13" i="5"/>
  <c r="A13" i="5"/>
  <c r="AV12" i="5"/>
  <c r="AU12" i="5"/>
  <c r="AT12" i="5"/>
  <c r="AQ12" i="5"/>
  <c r="AN12" i="5"/>
  <c r="AK12" i="5"/>
  <c r="AH12" i="5"/>
  <c r="AE12" i="5"/>
  <c r="AB12" i="5"/>
  <c r="Y12" i="5"/>
  <c r="V12" i="5"/>
  <c r="S12" i="5"/>
  <c r="Q12" i="5"/>
  <c r="O12" i="5"/>
  <c r="M12" i="5"/>
  <c r="K12" i="5"/>
  <c r="I12" i="5"/>
  <c r="F12" i="5"/>
  <c r="A12" i="5"/>
  <c r="AU11" i="5"/>
  <c r="AV11" i="5" s="1"/>
  <c r="AT11" i="5"/>
  <c r="AQ11" i="5"/>
  <c r="AN11" i="5"/>
  <c r="AK11" i="5"/>
  <c r="AH11" i="5"/>
  <c r="AE11" i="5"/>
  <c r="AB11" i="5"/>
  <c r="Y11" i="5"/>
  <c r="V11" i="5"/>
  <c r="S11" i="5"/>
  <c r="Q11" i="5"/>
  <c r="O11" i="5"/>
  <c r="M11" i="5"/>
  <c r="K11" i="5"/>
  <c r="I11" i="5"/>
  <c r="F11" i="5"/>
  <c r="A11" i="5"/>
  <c r="AV10" i="5"/>
  <c r="AU10" i="5"/>
  <c r="AT10" i="5"/>
  <c r="AQ10" i="5"/>
  <c r="AN10" i="5"/>
  <c r="AK10" i="5"/>
  <c r="AH10" i="5"/>
  <c r="AE10" i="5"/>
  <c r="AB10" i="5"/>
  <c r="Y10" i="5"/>
  <c r="V10" i="5"/>
  <c r="S10" i="5"/>
  <c r="Q10" i="5"/>
  <c r="O10" i="5"/>
  <c r="M10" i="5"/>
  <c r="K10" i="5"/>
  <c r="I10" i="5"/>
  <c r="F10" i="5"/>
  <c r="A10" i="5"/>
  <c r="AU9" i="5"/>
  <c r="AV9" i="5" s="1"/>
  <c r="AT9" i="5"/>
  <c r="AQ9" i="5"/>
  <c r="AN9" i="5"/>
  <c r="AK9" i="5"/>
  <c r="AH9" i="5"/>
  <c r="AE9" i="5"/>
  <c r="AB9" i="5"/>
  <c r="Y9" i="5"/>
  <c r="V9" i="5"/>
  <c r="S9" i="5"/>
  <c r="Q9" i="5"/>
  <c r="O9" i="5"/>
  <c r="M9" i="5"/>
  <c r="K9" i="5"/>
  <c r="I9" i="5"/>
  <c r="F9" i="5"/>
  <c r="A9" i="5"/>
  <c r="AV8" i="5"/>
  <c r="AU8" i="5"/>
  <c r="AT8" i="5"/>
  <c r="AQ8" i="5"/>
  <c r="AN8" i="5"/>
  <c r="AK8" i="5"/>
  <c r="AH8" i="5"/>
  <c r="AE8" i="5"/>
  <c r="AB8" i="5"/>
  <c r="Y8" i="5"/>
  <c r="V8" i="5"/>
  <c r="S8" i="5"/>
  <c r="Q8" i="5"/>
  <c r="O8" i="5"/>
  <c r="M8" i="5"/>
  <c r="K8" i="5"/>
  <c r="I8" i="5"/>
  <c r="F8" i="5"/>
  <c r="A8" i="5"/>
  <c r="AU7" i="5"/>
  <c r="AV7" i="5" s="1"/>
  <c r="AT7" i="5"/>
  <c r="AQ7" i="5"/>
  <c r="AN7" i="5"/>
  <c r="AK7" i="5"/>
  <c r="AH7" i="5"/>
  <c r="AE7" i="5"/>
  <c r="AB7" i="5"/>
  <c r="Y7" i="5"/>
  <c r="V7" i="5"/>
  <c r="S7" i="5"/>
  <c r="Q7" i="5"/>
  <c r="O7" i="5"/>
  <c r="M7" i="5"/>
  <c r="K7" i="5"/>
  <c r="I7" i="5"/>
  <c r="F7" i="5"/>
  <c r="A7" i="5"/>
  <c r="AV6" i="5"/>
  <c r="AU6" i="5"/>
  <c r="AT6" i="5"/>
  <c r="AQ6" i="5"/>
  <c r="AN6" i="5"/>
  <c r="AK6" i="5"/>
  <c r="AH6" i="5"/>
  <c r="AE6" i="5"/>
  <c r="AB6" i="5"/>
  <c r="Y6" i="5"/>
  <c r="V6" i="5"/>
  <c r="S6" i="5"/>
  <c r="Q6" i="5"/>
  <c r="O6" i="5"/>
  <c r="M6" i="5"/>
  <c r="K6" i="5"/>
  <c r="I6" i="5"/>
  <c r="F6" i="5"/>
  <c r="A6" i="5"/>
  <c r="AU5" i="5"/>
  <c r="AV5" i="5" s="1"/>
  <c r="AT5" i="5"/>
  <c r="AQ5" i="5"/>
  <c r="AN5" i="5"/>
  <c r="AK5" i="5"/>
  <c r="AH5" i="5"/>
  <c r="AE5" i="5"/>
  <c r="AB5" i="5"/>
  <c r="Y5" i="5"/>
  <c r="V5" i="5"/>
  <c r="S5" i="5"/>
  <c r="Q5" i="5"/>
  <c r="O5" i="5"/>
  <c r="M5" i="5"/>
  <c r="K5" i="5"/>
  <c r="I5" i="5"/>
  <c r="F5" i="5"/>
  <c r="A5" i="5"/>
  <c r="AV4" i="5"/>
  <c r="AU4" i="5"/>
  <c r="AT4" i="5"/>
  <c r="AQ4" i="5"/>
  <c r="AN4" i="5"/>
  <c r="AK4" i="5"/>
  <c r="AH4" i="5"/>
  <c r="AE4" i="5"/>
  <c r="AB4" i="5"/>
  <c r="Y4" i="5"/>
  <c r="V4" i="5"/>
  <c r="S4" i="5"/>
  <c r="Q4" i="5"/>
  <c r="O4" i="5"/>
  <c r="M4" i="5"/>
  <c r="K4" i="5"/>
  <c r="I4" i="5"/>
  <c r="F4" i="5"/>
  <c r="A4" i="5"/>
  <c r="AU3" i="5"/>
  <c r="AV3" i="5" s="1"/>
  <c r="AT3" i="5"/>
  <c r="AQ3" i="5"/>
  <c r="AN3" i="5"/>
  <c r="AK3" i="5"/>
  <c r="AH3" i="5"/>
  <c r="AE3" i="5"/>
  <c r="AB3" i="5"/>
  <c r="Y3" i="5"/>
  <c r="V3" i="5"/>
  <c r="S3" i="5"/>
  <c r="Q3" i="5"/>
  <c r="O3" i="5"/>
  <c r="M3" i="5"/>
  <c r="K3" i="5"/>
  <c r="I3" i="5"/>
  <c r="F3" i="5"/>
  <c r="A3" i="5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L9" i="6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L568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A9" i="6"/>
  <c r="A8" i="6"/>
  <c r="J3" i="6"/>
  <c r="J5" i="6" s="1"/>
  <c r="I3" i="6"/>
  <c r="I5" i="6" s="1"/>
  <c r="D3" i="6"/>
  <c r="D5" i="6" s="1"/>
  <c r="C3" i="6"/>
  <c r="C5" i="6" s="1"/>
  <c r="K2" i="6"/>
  <c r="E2" i="6"/>
  <c r="AC157" i="7"/>
  <c r="W157" i="7"/>
  <c r="V157" i="7"/>
  <c r="U157" i="7"/>
  <c r="O157" i="7"/>
  <c r="AF157" i="7" s="1"/>
  <c r="A157" i="7"/>
  <c r="AE156" i="7"/>
  <c r="AD156" i="7"/>
  <c r="AC156" i="7"/>
  <c r="W156" i="7"/>
  <c r="V156" i="7"/>
  <c r="U156" i="7"/>
  <c r="O156" i="7"/>
  <c r="AF156" i="7" s="1"/>
  <c r="A156" i="7"/>
  <c r="AC155" i="7"/>
  <c r="W155" i="7"/>
  <c r="V155" i="7"/>
  <c r="U155" i="7"/>
  <c r="O155" i="7"/>
  <c r="AF155" i="7" s="1"/>
  <c r="A155" i="7"/>
  <c r="AC154" i="7"/>
  <c r="W154" i="7"/>
  <c r="V154" i="7"/>
  <c r="U154" i="7"/>
  <c r="O154" i="7"/>
  <c r="A154" i="7"/>
  <c r="AC153" i="7"/>
  <c r="W153" i="7"/>
  <c r="V153" i="7"/>
  <c r="U153" i="7"/>
  <c r="O153" i="7"/>
  <c r="A153" i="7"/>
  <c r="AC152" i="7"/>
  <c r="W152" i="7"/>
  <c r="V152" i="7"/>
  <c r="U152" i="7"/>
  <c r="O152" i="7"/>
  <c r="A152" i="7"/>
  <c r="W151" i="7"/>
  <c r="V151" i="7"/>
  <c r="U151" i="7"/>
  <c r="O151" i="7"/>
  <c r="A151" i="7"/>
  <c r="AC150" i="7"/>
  <c r="W150" i="7"/>
  <c r="V150" i="7"/>
  <c r="U150" i="7"/>
  <c r="O150" i="7"/>
  <c r="A150" i="7"/>
  <c r="AC149" i="7"/>
  <c r="W149" i="7"/>
  <c r="V149" i="7"/>
  <c r="U149" i="7"/>
  <c r="O149" i="7"/>
  <c r="A149" i="7"/>
  <c r="AC148" i="7"/>
  <c r="W148" i="7"/>
  <c r="V148" i="7"/>
  <c r="U148" i="7"/>
  <c r="O148" i="7"/>
  <c r="A148" i="7"/>
  <c r="W147" i="7"/>
  <c r="U147" i="7"/>
  <c r="O147" i="7"/>
  <c r="X147" i="7" s="1"/>
  <c r="L147" i="7"/>
  <c r="V147" i="7" s="1"/>
  <c r="A147" i="7"/>
  <c r="V146" i="7"/>
  <c r="U146" i="7"/>
  <c r="N146" i="7"/>
  <c r="W146" i="7" s="1"/>
  <c r="A146" i="7"/>
  <c r="AC145" i="7"/>
  <c r="W145" i="7"/>
  <c r="V145" i="7"/>
  <c r="U145" i="7"/>
  <c r="O145" i="7"/>
  <c r="A145" i="7"/>
  <c r="W144" i="7"/>
  <c r="V144" i="7"/>
  <c r="U144" i="7"/>
  <c r="O144" i="7"/>
  <c r="AC144" i="7" s="1"/>
  <c r="A144" i="7"/>
  <c r="AC143" i="7"/>
  <c r="W143" i="7"/>
  <c r="V143" i="7"/>
  <c r="U143" i="7"/>
  <c r="O143" i="7"/>
  <c r="A143" i="7"/>
  <c r="V142" i="7"/>
  <c r="U142" i="7"/>
  <c r="X142" i="7" s="1"/>
  <c r="O142" i="7"/>
  <c r="N142" i="7"/>
  <c r="W142" i="7" s="1"/>
  <c r="A142" i="7"/>
  <c r="W141" i="7"/>
  <c r="V141" i="7"/>
  <c r="U141" i="7"/>
  <c r="O141" i="7"/>
  <c r="A141" i="7"/>
  <c r="AC140" i="7"/>
  <c r="W140" i="7"/>
  <c r="V140" i="7"/>
  <c r="U140" i="7"/>
  <c r="O140" i="7"/>
  <c r="A140" i="7"/>
  <c r="W139" i="7"/>
  <c r="V139" i="7"/>
  <c r="U139" i="7"/>
  <c r="O139" i="7"/>
  <c r="A139" i="7"/>
  <c r="AC138" i="7"/>
  <c r="W138" i="7"/>
  <c r="V138" i="7"/>
  <c r="U138" i="7"/>
  <c r="O138" i="7"/>
  <c r="A138" i="7"/>
  <c r="W137" i="7"/>
  <c r="V137" i="7"/>
  <c r="U137" i="7"/>
  <c r="O137" i="7"/>
  <c r="A137" i="7"/>
  <c r="AC136" i="7"/>
  <c r="W136" i="7"/>
  <c r="V136" i="7"/>
  <c r="U136" i="7"/>
  <c r="O136" i="7"/>
  <c r="A136" i="7"/>
  <c r="W135" i="7"/>
  <c r="V135" i="7"/>
  <c r="U135" i="7"/>
  <c r="O135" i="7"/>
  <c r="A135" i="7"/>
  <c r="AC134" i="7"/>
  <c r="W134" i="7"/>
  <c r="V134" i="7"/>
  <c r="U134" i="7"/>
  <c r="O134" i="7"/>
  <c r="A134" i="7"/>
  <c r="W133" i="7"/>
  <c r="V133" i="7"/>
  <c r="U133" i="7"/>
  <c r="O133" i="7"/>
  <c r="A133" i="7"/>
  <c r="AC132" i="7"/>
  <c r="W132" i="7"/>
  <c r="V132" i="7"/>
  <c r="U132" i="7"/>
  <c r="O132" i="7"/>
  <c r="A132" i="7"/>
  <c r="W131" i="7"/>
  <c r="V131" i="7"/>
  <c r="U131" i="7"/>
  <c r="O131" i="7"/>
  <c r="A131" i="7"/>
  <c r="AC130" i="7"/>
  <c r="W130" i="7"/>
  <c r="V130" i="7"/>
  <c r="U130" i="7"/>
  <c r="O130" i="7"/>
  <c r="A130" i="7"/>
  <c r="W129" i="7"/>
  <c r="V129" i="7"/>
  <c r="U129" i="7"/>
  <c r="O129" i="7"/>
  <c r="A129" i="7"/>
  <c r="AC128" i="7"/>
  <c r="W128" i="7"/>
  <c r="V128" i="7"/>
  <c r="U128" i="7"/>
  <c r="O128" i="7"/>
  <c r="A128" i="7"/>
  <c r="W127" i="7"/>
  <c r="V127" i="7"/>
  <c r="U127" i="7"/>
  <c r="O127" i="7"/>
  <c r="A127" i="7"/>
  <c r="AC126" i="7"/>
  <c r="W126" i="7"/>
  <c r="V126" i="7"/>
  <c r="U126" i="7"/>
  <c r="O126" i="7"/>
  <c r="A126" i="7"/>
  <c r="W125" i="7"/>
  <c r="V125" i="7"/>
  <c r="U125" i="7"/>
  <c r="O125" i="7"/>
  <c r="A125" i="7"/>
  <c r="AC124" i="7"/>
  <c r="W124" i="7"/>
  <c r="V124" i="7"/>
  <c r="U124" i="7"/>
  <c r="O124" i="7"/>
  <c r="A124" i="7"/>
  <c r="W123" i="7"/>
  <c r="V123" i="7"/>
  <c r="U123" i="7"/>
  <c r="O123" i="7"/>
  <c r="A123" i="7"/>
  <c r="AC122" i="7"/>
  <c r="W122" i="7"/>
  <c r="V122" i="7"/>
  <c r="U122" i="7"/>
  <c r="O122" i="7"/>
  <c r="A122" i="7"/>
  <c r="W121" i="7"/>
  <c r="V121" i="7"/>
  <c r="U121" i="7"/>
  <c r="O121" i="7"/>
  <c r="A121" i="7"/>
  <c r="AC120" i="7"/>
  <c r="W120" i="7"/>
  <c r="V120" i="7"/>
  <c r="U120" i="7"/>
  <c r="O120" i="7"/>
  <c r="A120" i="7"/>
  <c r="W119" i="7"/>
  <c r="V119" i="7"/>
  <c r="U119" i="7"/>
  <c r="O119" i="7"/>
  <c r="A119" i="7"/>
  <c r="AC118" i="7"/>
  <c r="W118" i="7"/>
  <c r="V118" i="7"/>
  <c r="U118" i="7"/>
  <c r="O118" i="7"/>
  <c r="A118" i="7"/>
  <c r="W117" i="7"/>
  <c r="V117" i="7"/>
  <c r="U117" i="7"/>
  <c r="O117" i="7"/>
  <c r="A117" i="7"/>
  <c r="AC116" i="7"/>
  <c r="W116" i="7"/>
  <c r="V116" i="7"/>
  <c r="U116" i="7"/>
  <c r="O116" i="7"/>
  <c r="A116" i="7"/>
  <c r="W115" i="7"/>
  <c r="V115" i="7"/>
  <c r="U115" i="7"/>
  <c r="O115" i="7"/>
  <c r="A115" i="7"/>
  <c r="AC114" i="7"/>
  <c r="W114" i="7"/>
  <c r="V114" i="7"/>
  <c r="U114" i="7"/>
  <c r="O114" i="7"/>
  <c r="A114" i="7"/>
  <c r="W113" i="7"/>
  <c r="V113" i="7"/>
  <c r="U113" i="7"/>
  <c r="O113" i="7"/>
  <c r="A113" i="7"/>
  <c r="AC112" i="7"/>
  <c r="W112" i="7"/>
  <c r="V112" i="7"/>
  <c r="U112" i="7"/>
  <c r="O112" i="7"/>
  <c r="A112" i="7"/>
  <c r="W111" i="7"/>
  <c r="V111" i="7"/>
  <c r="U111" i="7"/>
  <c r="O111" i="7"/>
  <c r="A111" i="7"/>
  <c r="AC110" i="7"/>
  <c r="W110" i="7"/>
  <c r="V110" i="7"/>
  <c r="U110" i="7"/>
  <c r="O110" i="7"/>
  <c r="A110" i="7"/>
  <c r="W109" i="7"/>
  <c r="V109" i="7"/>
  <c r="U109" i="7"/>
  <c r="O109" i="7"/>
  <c r="A109" i="7"/>
  <c r="AC108" i="7"/>
  <c r="W108" i="7"/>
  <c r="V108" i="7"/>
  <c r="U108" i="7"/>
  <c r="O108" i="7"/>
  <c r="A108" i="7"/>
  <c r="W107" i="7"/>
  <c r="V107" i="7"/>
  <c r="U107" i="7"/>
  <c r="O107" i="7"/>
  <c r="A107" i="7"/>
  <c r="AC106" i="7"/>
  <c r="W106" i="7"/>
  <c r="V106" i="7"/>
  <c r="U106" i="7"/>
  <c r="O106" i="7"/>
  <c r="A106" i="7"/>
  <c r="W105" i="7"/>
  <c r="V105" i="7"/>
  <c r="U105" i="7"/>
  <c r="O105" i="7"/>
  <c r="A105" i="7"/>
  <c r="AC104" i="7"/>
  <c r="W104" i="7"/>
  <c r="V104" i="7"/>
  <c r="U104" i="7"/>
  <c r="O104" i="7"/>
  <c r="A104" i="7"/>
  <c r="W103" i="7"/>
  <c r="V103" i="7"/>
  <c r="U103" i="7"/>
  <c r="N103" i="7"/>
  <c r="O103" i="7" s="1"/>
  <c r="A103" i="7"/>
  <c r="AC102" i="7"/>
  <c r="W102" i="7"/>
  <c r="V102" i="7"/>
  <c r="U102" i="7"/>
  <c r="O102" i="7"/>
  <c r="A102" i="7"/>
  <c r="W101" i="7"/>
  <c r="V101" i="7"/>
  <c r="U101" i="7"/>
  <c r="O101" i="7"/>
  <c r="A101" i="7"/>
  <c r="AC100" i="7"/>
  <c r="W100" i="7"/>
  <c r="V100" i="7"/>
  <c r="U100" i="7"/>
  <c r="O100" i="7"/>
  <c r="A100" i="7"/>
  <c r="W99" i="7"/>
  <c r="V99" i="7"/>
  <c r="U99" i="7"/>
  <c r="O99" i="7"/>
  <c r="A99" i="7"/>
  <c r="W98" i="7"/>
  <c r="V98" i="7"/>
  <c r="U98" i="7"/>
  <c r="N98" i="7"/>
  <c r="O98" i="7" s="1"/>
  <c r="A98" i="7"/>
  <c r="AC97" i="7"/>
  <c r="W97" i="7"/>
  <c r="V97" i="7"/>
  <c r="U97" i="7"/>
  <c r="O97" i="7"/>
  <c r="A97" i="7"/>
  <c r="W96" i="7"/>
  <c r="V96" i="7"/>
  <c r="U96" i="7"/>
  <c r="O96" i="7"/>
  <c r="A96" i="7"/>
  <c r="AC95" i="7"/>
  <c r="W95" i="7"/>
  <c r="V95" i="7"/>
  <c r="U95" i="7"/>
  <c r="O95" i="7"/>
  <c r="A95" i="7"/>
  <c r="W94" i="7"/>
  <c r="V94" i="7"/>
  <c r="U94" i="7"/>
  <c r="O94" i="7"/>
  <c r="A94" i="7"/>
  <c r="AC93" i="7"/>
  <c r="W93" i="7"/>
  <c r="V93" i="7"/>
  <c r="U93" i="7"/>
  <c r="O93" i="7"/>
  <c r="A93" i="7"/>
  <c r="W92" i="7"/>
  <c r="V92" i="7"/>
  <c r="U92" i="7"/>
  <c r="O92" i="7"/>
  <c r="A92" i="7"/>
  <c r="AC91" i="7"/>
  <c r="W91" i="7"/>
  <c r="V91" i="7"/>
  <c r="U91" i="7"/>
  <c r="O91" i="7"/>
  <c r="A91" i="7"/>
  <c r="W90" i="7"/>
  <c r="V90" i="7"/>
  <c r="U90" i="7"/>
  <c r="O90" i="7"/>
  <c r="A90" i="7"/>
  <c r="AC89" i="7"/>
  <c r="W89" i="7"/>
  <c r="V89" i="7"/>
  <c r="U89" i="7"/>
  <c r="O89" i="7"/>
  <c r="A89" i="7"/>
  <c r="W88" i="7"/>
  <c r="V88" i="7"/>
  <c r="U88" i="7"/>
  <c r="O88" i="7"/>
  <c r="A88" i="7"/>
  <c r="AC87" i="7"/>
  <c r="W87" i="7"/>
  <c r="V87" i="7"/>
  <c r="U87" i="7"/>
  <c r="O87" i="7"/>
  <c r="A87" i="7"/>
  <c r="W86" i="7"/>
  <c r="V86" i="7"/>
  <c r="U86" i="7"/>
  <c r="O86" i="7"/>
  <c r="A86" i="7"/>
  <c r="AC85" i="7"/>
  <c r="W85" i="7"/>
  <c r="V85" i="7"/>
  <c r="U85" i="7"/>
  <c r="O85" i="7"/>
  <c r="A85" i="7"/>
  <c r="W84" i="7"/>
  <c r="V84" i="7"/>
  <c r="U84" i="7"/>
  <c r="O84" i="7"/>
  <c r="A84" i="7"/>
  <c r="AC83" i="7"/>
  <c r="W83" i="7"/>
  <c r="V83" i="7"/>
  <c r="U83" i="7"/>
  <c r="O83" i="7"/>
  <c r="A83" i="7"/>
  <c r="W82" i="7"/>
  <c r="V82" i="7"/>
  <c r="U82" i="7"/>
  <c r="O82" i="7"/>
  <c r="A82" i="7"/>
  <c r="AC81" i="7"/>
  <c r="W81" i="7"/>
  <c r="V81" i="7"/>
  <c r="U81" i="7"/>
  <c r="O81" i="7"/>
  <c r="A81" i="7"/>
  <c r="W80" i="7"/>
  <c r="V80" i="7"/>
  <c r="U80" i="7"/>
  <c r="O80" i="7"/>
  <c r="A80" i="7"/>
  <c r="AC79" i="7"/>
  <c r="W79" i="7"/>
  <c r="V79" i="7"/>
  <c r="U79" i="7"/>
  <c r="O79" i="7"/>
  <c r="A79" i="7"/>
  <c r="W78" i="7"/>
  <c r="V78" i="7"/>
  <c r="U78" i="7"/>
  <c r="O78" i="7"/>
  <c r="A78" i="7"/>
  <c r="AC77" i="7"/>
  <c r="W77" i="7"/>
  <c r="V77" i="7"/>
  <c r="U77" i="7"/>
  <c r="O77" i="7"/>
  <c r="A77" i="7"/>
  <c r="W76" i="7"/>
  <c r="V76" i="7"/>
  <c r="U76" i="7"/>
  <c r="O76" i="7"/>
  <c r="A76" i="7"/>
  <c r="AC75" i="7"/>
  <c r="W75" i="7"/>
  <c r="V75" i="7"/>
  <c r="U75" i="7"/>
  <c r="O75" i="7"/>
  <c r="A75" i="7"/>
  <c r="W74" i="7"/>
  <c r="V74" i="7"/>
  <c r="U74" i="7"/>
  <c r="O74" i="7"/>
  <c r="A74" i="7"/>
  <c r="AC73" i="7"/>
  <c r="W73" i="7"/>
  <c r="V73" i="7"/>
  <c r="U73" i="7"/>
  <c r="O73" i="7"/>
  <c r="A73" i="7"/>
  <c r="W72" i="7"/>
  <c r="V72" i="7"/>
  <c r="U72" i="7"/>
  <c r="O72" i="7"/>
  <c r="A72" i="7"/>
  <c r="AC71" i="7"/>
  <c r="W71" i="7"/>
  <c r="V71" i="7"/>
  <c r="U71" i="7"/>
  <c r="O71" i="7"/>
  <c r="A71" i="7"/>
  <c r="W70" i="7"/>
  <c r="V70" i="7"/>
  <c r="U70" i="7"/>
  <c r="O70" i="7"/>
  <c r="A70" i="7"/>
  <c r="AC69" i="7"/>
  <c r="W69" i="7"/>
  <c r="V69" i="7"/>
  <c r="U69" i="7"/>
  <c r="O69" i="7"/>
  <c r="A69" i="7"/>
  <c r="W68" i="7"/>
  <c r="V68" i="7"/>
  <c r="U68" i="7"/>
  <c r="O68" i="7"/>
  <c r="A68" i="7"/>
  <c r="AC67" i="7"/>
  <c r="W67" i="7"/>
  <c r="V67" i="7"/>
  <c r="U67" i="7"/>
  <c r="O67" i="7"/>
  <c r="A67" i="7"/>
  <c r="W66" i="7"/>
  <c r="V66" i="7"/>
  <c r="U66" i="7"/>
  <c r="O66" i="7"/>
  <c r="A66" i="7"/>
  <c r="AC65" i="7"/>
  <c r="W65" i="7"/>
  <c r="V65" i="7"/>
  <c r="U65" i="7"/>
  <c r="O65" i="7"/>
  <c r="A65" i="7"/>
  <c r="W64" i="7"/>
  <c r="V64" i="7"/>
  <c r="U64" i="7"/>
  <c r="O64" i="7"/>
  <c r="A64" i="7"/>
  <c r="AC63" i="7"/>
  <c r="W63" i="7"/>
  <c r="V63" i="7"/>
  <c r="U63" i="7"/>
  <c r="O63" i="7"/>
  <c r="A63" i="7"/>
  <c r="W62" i="7"/>
  <c r="V62" i="7"/>
  <c r="U62" i="7"/>
  <c r="O62" i="7"/>
  <c r="A62" i="7"/>
  <c r="AC61" i="7"/>
  <c r="W61" i="7"/>
  <c r="V61" i="7"/>
  <c r="U61" i="7"/>
  <c r="O61" i="7"/>
  <c r="A61" i="7"/>
  <c r="W60" i="7"/>
  <c r="V60" i="7"/>
  <c r="U60" i="7"/>
  <c r="O60" i="7"/>
  <c r="A60" i="7"/>
  <c r="AC59" i="7"/>
  <c r="W59" i="7"/>
  <c r="V59" i="7"/>
  <c r="U59" i="7"/>
  <c r="O59" i="7"/>
  <c r="A59" i="7"/>
  <c r="W58" i="7"/>
  <c r="V58" i="7"/>
  <c r="U58" i="7"/>
  <c r="O58" i="7"/>
  <c r="A58" i="7"/>
  <c r="AC57" i="7"/>
  <c r="W57" i="7"/>
  <c r="V57" i="7"/>
  <c r="U57" i="7"/>
  <c r="O57" i="7"/>
  <c r="A57" i="7"/>
  <c r="W56" i="7"/>
  <c r="V56" i="7"/>
  <c r="U56" i="7"/>
  <c r="O56" i="7"/>
  <c r="A56" i="7"/>
  <c r="AC55" i="7"/>
  <c r="W55" i="7"/>
  <c r="V55" i="7"/>
  <c r="U55" i="7"/>
  <c r="O55" i="7"/>
  <c r="A55" i="7"/>
  <c r="W54" i="7"/>
  <c r="V54" i="7"/>
  <c r="U54" i="7"/>
  <c r="O54" i="7"/>
  <c r="A54" i="7"/>
  <c r="AC53" i="7"/>
  <c r="W53" i="7"/>
  <c r="V53" i="7"/>
  <c r="U53" i="7"/>
  <c r="O53" i="7"/>
  <c r="A53" i="7"/>
  <c r="W52" i="7"/>
  <c r="V52" i="7"/>
  <c r="U52" i="7"/>
  <c r="O52" i="7"/>
  <c r="A52" i="7"/>
  <c r="AC51" i="7"/>
  <c r="W51" i="7"/>
  <c r="V51" i="7"/>
  <c r="U51" i="7"/>
  <c r="O51" i="7"/>
  <c r="A51" i="7"/>
  <c r="W50" i="7"/>
  <c r="V50" i="7"/>
  <c r="U50" i="7"/>
  <c r="O50" i="7"/>
  <c r="A50" i="7"/>
  <c r="AC49" i="7"/>
  <c r="W49" i="7"/>
  <c r="V49" i="7"/>
  <c r="U49" i="7"/>
  <c r="O49" i="7"/>
  <c r="A49" i="7"/>
  <c r="W48" i="7"/>
  <c r="V48" i="7"/>
  <c r="U48" i="7"/>
  <c r="O48" i="7"/>
  <c r="A48" i="7"/>
  <c r="AC47" i="7"/>
  <c r="W47" i="7"/>
  <c r="V47" i="7"/>
  <c r="U47" i="7"/>
  <c r="O47" i="7"/>
  <c r="A47" i="7"/>
  <c r="W46" i="7"/>
  <c r="V46" i="7"/>
  <c r="U46" i="7"/>
  <c r="O46" i="7"/>
  <c r="A46" i="7"/>
  <c r="AC45" i="7"/>
  <c r="W45" i="7"/>
  <c r="V45" i="7"/>
  <c r="U45" i="7"/>
  <c r="O45" i="7"/>
  <c r="A45" i="7"/>
  <c r="W44" i="7"/>
  <c r="V44" i="7"/>
  <c r="U44" i="7"/>
  <c r="O44" i="7"/>
  <c r="A44" i="7"/>
  <c r="W43" i="7"/>
  <c r="V43" i="7"/>
  <c r="U43" i="7"/>
  <c r="O43" i="7"/>
  <c r="A43" i="7"/>
  <c r="W42" i="7"/>
  <c r="V42" i="7"/>
  <c r="U42" i="7"/>
  <c r="O42" i="7"/>
  <c r="AC42" i="7" s="1"/>
  <c r="A42" i="7"/>
  <c r="W41" i="7"/>
  <c r="V41" i="7"/>
  <c r="U41" i="7"/>
  <c r="O41" i="7"/>
  <c r="AC41" i="7" s="1"/>
  <c r="A41" i="7"/>
  <c r="W40" i="7"/>
  <c r="V40" i="7"/>
  <c r="U40" i="7"/>
  <c r="O40" i="7"/>
  <c r="AC40" i="7" s="1"/>
  <c r="A40" i="7"/>
  <c r="W39" i="7"/>
  <c r="V39" i="7"/>
  <c r="U39" i="7"/>
  <c r="O39" i="7"/>
  <c r="A39" i="7"/>
  <c r="W38" i="7"/>
  <c r="V38" i="7"/>
  <c r="U38" i="7"/>
  <c r="O38" i="7"/>
  <c r="AC38" i="7" s="1"/>
  <c r="A38" i="7"/>
  <c r="W37" i="7"/>
  <c r="V37" i="7"/>
  <c r="U37" i="7"/>
  <c r="O37" i="7"/>
  <c r="AC37" i="7" s="1"/>
  <c r="A37" i="7"/>
  <c r="W36" i="7"/>
  <c r="V36" i="7"/>
  <c r="U36" i="7"/>
  <c r="O36" i="7"/>
  <c r="AC36" i="7" s="1"/>
  <c r="A36" i="7"/>
  <c r="W35" i="7"/>
  <c r="V35" i="7"/>
  <c r="U35" i="7"/>
  <c r="O35" i="7"/>
  <c r="A35" i="7"/>
  <c r="W34" i="7"/>
  <c r="V34" i="7"/>
  <c r="U34" i="7"/>
  <c r="O34" i="7"/>
  <c r="AC34" i="7" s="1"/>
  <c r="A34" i="7"/>
  <c r="W33" i="7"/>
  <c r="V33" i="7"/>
  <c r="U33" i="7"/>
  <c r="O33" i="7"/>
  <c r="AC33" i="7" s="1"/>
  <c r="A33" i="7"/>
  <c r="W32" i="7"/>
  <c r="V32" i="7"/>
  <c r="U32" i="7"/>
  <c r="O32" i="7"/>
  <c r="A32" i="7"/>
  <c r="AC31" i="7"/>
  <c r="W31" i="7"/>
  <c r="V31" i="7"/>
  <c r="U31" i="7"/>
  <c r="O31" i="7"/>
  <c r="A31" i="7"/>
  <c r="W30" i="7"/>
  <c r="V30" i="7"/>
  <c r="U30" i="7"/>
  <c r="O30" i="7"/>
  <c r="AC30" i="7" s="1"/>
  <c r="A30" i="7"/>
  <c r="W29" i="7"/>
  <c r="V29" i="7"/>
  <c r="U29" i="7"/>
  <c r="O29" i="7"/>
  <c r="AC29" i="7" s="1"/>
  <c r="A29" i="7"/>
  <c r="W28" i="7"/>
  <c r="V28" i="7"/>
  <c r="U28" i="7"/>
  <c r="O28" i="7"/>
  <c r="A28" i="7"/>
  <c r="AC27" i="7"/>
  <c r="W27" i="7"/>
  <c r="V27" i="7"/>
  <c r="U27" i="7"/>
  <c r="O27" i="7"/>
  <c r="A27" i="7"/>
  <c r="W26" i="7"/>
  <c r="V26" i="7"/>
  <c r="U26" i="7"/>
  <c r="O26" i="7"/>
  <c r="AC26" i="7" s="1"/>
  <c r="A26" i="7"/>
  <c r="W25" i="7"/>
  <c r="V25" i="7"/>
  <c r="U25" i="7"/>
  <c r="O25" i="7"/>
  <c r="AC25" i="7" s="1"/>
  <c r="A25" i="7"/>
  <c r="W24" i="7"/>
  <c r="V24" i="7"/>
  <c r="U24" i="7"/>
  <c r="O24" i="7"/>
  <c r="A24" i="7"/>
  <c r="AC23" i="7"/>
  <c r="W23" i="7"/>
  <c r="V23" i="7"/>
  <c r="U23" i="7"/>
  <c r="O23" i="7"/>
  <c r="A23" i="7"/>
  <c r="W22" i="7"/>
  <c r="V22" i="7"/>
  <c r="U22" i="7"/>
  <c r="O22" i="7"/>
  <c r="AC22" i="7" s="1"/>
  <c r="A22" i="7"/>
  <c r="W21" i="7"/>
  <c r="V21" i="7"/>
  <c r="U21" i="7"/>
  <c r="O21" i="7"/>
  <c r="A21" i="7"/>
  <c r="W20" i="7"/>
  <c r="V20" i="7"/>
  <c r="U20" i="7"/>
  <c r="O20" i="7"/>
  <c r="A20" i="7"/>
  <c r="W19" i="7"/>
  <c r="V19" i="7"/>
  <c r="U19" i="7"/>
  <c r="O19" i="7"/>
  <c r="A19" i="7"/>
  <c r="W18" i="7"/>
  <c r="V18" i="7"/>
  <c r="U18" i="7"/>
  <c r="O18" i="7"/>
  <c r="AC18" i="7" s="1"/>
  <c r="A18" i="7"/>
  <c r="AC17" i="7"/>
  <c r="W17" i="7"/>
  <c r="V17" i="7"/>
  <c r="U17" i="7"/>
  <c r="O17" i="7"/>
  <c r="A17" i="7"/>
  <c r="AC16" i="7"/>
  <c r="W16" i="7"/>
  <c r="V16" i="7"/>
  <c r="U16" i="7"/>
  <c r="O16" i="7"/>
  <c r="A16" i="7"/>
  <c r="W15" i="7"/>
  <c r="V15" i="7"/>
  <c r="U15" i="7"/>
  <c r="O15" i="7"/>
  <c r="A15" i="7"/>
  <c r="AC14" i="7"/>
  <c r="W14" i="7"/>
  <c r="V14" i="7"/>
  <c r="U14" i="7"/>
  <c r="O14" i="7"/>
  <c r="A14" i="7"/>
  <c r="AC13" i="7"/>
  <c r="W13" i="7"/>
  <c r="V13" i="7"/>
  <c r="U13" i="7"/>
  <c r="O13" i="7"/>
  <c r="A13" i="7"/>
  <c r="AC12" i="7"/>
  <c r="W12" i="7"/>
  <c r="V12" i="7"/>
  <c r="U12" i="7"/>
  <c r="O12" i="7"/>
  <c r="A12" i="7"/>
  <c r="W11" i="7"/>
  <c r="V11" i="7"/>
  <c r="U11" i="7"/>
  <c r="O11" i="7"/>
  <c r="A11" i="7"/>
  <c r="AC10" i="7"/>
  <c r="W10" i="7"/>
  <c r="V10" i="7"/>
  <c r="U10" i="7"/>
  <c r="O10" i="7"/>
  <c r="A10" i="7"/>
  <c r="AC9" i="7"/>
  <c r="W9" i="7"/>
  <c r="V9" i="7"/>
  <c r="U9" i="7"/>
  <c r="O9" i="7"/>
  <c r="A9" i="7"/>
  <c r="AC8" i="7"/>
  <c r="W8" i="7"/>
  <c r="V8" i="7"/>
  <c r="U8" i="7"/>
  <c r="O8" i="7"/>
  <c r="A8" i="7"/>
  <c r="W7" i="7"/>
  <c r="V7" i="7"/>
  <c r="U7" i="7"/>
  <c r="O7" i="7"/>
  <c r="A7" i="7"/>
  <c r="AC6" i="7"/>
  <c r="W6" i="7"/>
  <c r="V6" i="7"/>
  <c r="U6" i="7"/>
  <c r="O6" i="7"/>
  <c r="A6" i="7"/>
  <c r="AB2" i="7"/>
  <c r="AB1" i="7" s="1"/>
  <c r="I2" i="7"/>
  <c r="H2" i="7"/>
  <c r="G2" i="7"/>
  <c r="I16" i="9"/>
  <c r="H16" i="9"/>
  <c r="J16" i="9" s="1"/>
  <c r="J5" i="9"/>
  <c r="J6" i="9" s="1"/>
  <c r="J7" i="9" s="1"/>
  <c r="J8" i="9" s="1"/>
  <c r="J9" i="9" s="1"/>
  <c r="J10" i="9" s="1"/>
  <c r="J11" i="9" s="1"/>
  <c r="J12" i="9" s="1"/>
  <c r="J13" i="9" s="1"/>
  <c r="J14" i="9" s="1"/>
  <c r="I23" i="10"/>
  <c r="J23" i="10" s="1"/>
  <c r="H23" i="10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I70" i="13"/>
  <c r="H6" i="13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H490" i="4" l="1"/>
  <c r="P25" i="15"/>
  <c r="K5" i="6"/>
  <c r="AC11" i="7"/>
  <c r="AD13" i="7"/>
  <c r="X13" i="7"/>
  <c r="AC19" i="7"/>
  <c r="AC35" i="7"/>
  <c r="X35" i="7"/>
  <c r="AD35" i="7" s="1"/>
  <c r="AE35" i="7" s="1"/>
  <c r="AF35" i="7" s="1"/>
  <c r="AC39" i="7"/>
  <c r="X39" i="7"/>
  <c r="AD39" i="7" s="1"/>
  <c r="AE39" i="7" s="1"/>
  <c r="AF39" i="7" s="1"/>
  <c r="AE43" i="7"/>
  <c r="AD43" i="7"/>
  <c r="AC43" i="7"/>
  <c r="X43" i="7"/>
  <c r="AF43" i="7" s="1"/>
  <c r="AD99" i="7"/>
  <c r="AE99" i="7" s="1"/>
  <c r="AF99" i="7" s="1"/>
  <c r="AC99" i="7"/>
  <c r="X99" i="7"/>
  <c r="AC101" i="7"/>
  <c r="X101" i="7"/>
  <c r="AD101" i="7" s="1"/>
  <c r="AE101" i="7" s="1"/>
  <c r="AC103" i="7"/>
  <c r="X103" i="7"/>
  <c r="AD103" i="7" s="1"/>
  <c r="AE103" i="7" s="1"/>
  <c r="X7" i="7"/>
  <c r="AD15" i="7"/>
  <c r="AE15" i="7" s="1"/>
  <c r="X15" i="7"/>
  <c r="AF15" i="7" s="1"/>
  <c r="AC24" i="7"/>
  <c r="AD24" i="7"/>
  <c r="AE24" i="7" s="1"/>
  <c r="AF24" i="7" s="1"/>
  <c r="X24" i="7"/>
  <c r="AC28" i="7"/>
  <c r="AD28" i="7"/>
  <c r="AE28" i="7" s="1"/>
  <c r="AF28" i="7" s="1"/>
  <c r="X28" i="7"/>
  <c r="AC32" i="7"/>
  <c r="AD32" i="7"/>
  <c r="AE32" i="7" s="1"/>
  <c r="O2" i="7"/>
  <c r="X32" i="7"/>
  <c r="AC7" i="7"/>
  <c r="AD7" i="7" s="1"/>
  <c r="AE7" i="7" s="1"/>
  <c r="AF7" i="7" s="1"/>
  <c r="X9" i="7"/>
  <c r="AD9" i="7" s="1"/>
  <c r="AE9" i="7" s="1"/>
  <c r="AE13" i="7"/>
  <c r="AC15" i="7"/>
  <c r="AD17" i="7"/>
  <c r="AE17" i="7" s="1"/>
  <c r="X17" i="7"/>
  <c r="X23" i="7"/>
  <c r="AD23" i="7" s="1"/>
  <c r="AE23" i="7" s="1"/>
  <c r="AF23" i="7" s="1"/>
  <c r="AD27" i="7"/>
  <c r="AE27" i="7" s="1"/>
  <c r="AF27" i="7" s="1"/>
  <c r="X27" i="7"/>
  <c r="AE31" i="7"/>
  <c r="AF31" i="7" s="1"/>
  <c r="AD31" i="7"/>
  <c r="X31" i="7"/>
  <c r="AC44" i="7"/>
  <c r="X44" i="7"/>
  <c r="AD44" i="7" s="1"/>
  <c r="AE44" i="7" s="1"/>
  <c r="AC52" i="7"/>
  <c r="X52" i="7"/>
  <c r="AD52" i="7" s="1"/>
  <c r="AE52" i="7" s="1"/>
  <c r="AF52" i="7" s="1"/>
  <c r="AC60" i="7"/>
  <c r="X60" i="7"/>
  <c r="AD60" i="7" s="1"/>
  <c r="AE60" i="7" s="1"/>
  <c r="AF60" i="7" s="1"/>
  <c r="AC68" i="7"/>
  <c r="X68" i="7"/>
  <c r="AD68" i="7" s="1"/>
  <c r="AE68" i="7" s="1"/>
  <c r="AC76" i="7"/>
  <c r="X76" i="7"/>
  <c r="AD76" i="7" s="1"/>
  <c r="AE76" i="7" s="1"/>
  <c r="AC84" i="7"/>
  <c r="X84" i="7"/>
  <c r="AD84" i="7" s="1"/>
  <c r="AE84" i="7" s="1"/>
  <c r="AF84" i="7" s="1"/>
  <c r="AC92" i="7"/>
  <c r="X92" i="7"/>
  <c r="AD92" i="7" s="1"/>
  <c r="AE92" i="7" s="1"/>
  <c r="AF92" i="7" s="1"/>
  <c r="H70" i="13"/>
  <c r="AD11" i="7"/>
  <c r="AE11" i="7" s="1"/>
  <c r="X11" i="7"/>
  <c r="AF11" i="7" s="1"/>
  <c r="X19" i="7"/>
  <c r="AD19" i="7" s="1"/>
  <c r="AE19" i="7" s="1"/>
  <c r="AC20" i="7"/>
  <c r="X20" i="7"/>
  <c r="AC21" i="7"/>
  <c r="AD21" i="7" s="1"/>
  <c r="AE21" i="7" s="1"/>
  <c r="X21" i="7"/>
  <c r="AF21" i="7" s="1"/>
  <c r="AC105" i="7"/>
  <c r="X105" i="7"/>
  <c r="AD105" i="7" s="1"/>
  <c r="AE105" i="7" s="1"/>
  <c r="X6" i="7"/>
  <c r="AD6" i="7" s="1"/>
  <c r="AE6" i="7" s="1"/>
  <c r="X8" i="7"/>
  <c r="AD8" i="7" s="1"/>
  <c r="AE8" i="7" s="1"/>
  <c r="X10" i="7"/>
  <c r="AD10" i="7" s="1"/>
  <c r="AE10" i="7" s="1"/>
  <c r="X12" i="7"/>
  <c r="AD12" i="7" s="1"/>
  <c r="AE12" i="7" s="1"/>
  <c r="X14" i="7"/>
  <c r="AD14" i="7" s="1"/>
  <c r="AE14" i="7" s="1"/>
  <c r="X16" i="7"/>
  <c r="AD16" i="7" s="1"/>
  <c r="AE16" i="7" s="1"/>
  <c r="X18" i="7"/>
  <c r="X22" i="7"/>
  <c r="X26" i="7"/>
  <c r="X30" i="7"/>
  <c r="X34" i="7"/>
  <c r="X38" i="7"/>
  <c r="X42" i="7"/>
  <c r="AD46" i="7"/>
  <c r="AE46" i="7" s="1"/>
  <c r="AC46" i="7"/>
  <c r="X46" i="7"/>
  <c r="AD54" i="7"/>
  <c r="AE54" i="7" s="1"/>
  <c r="AC54" i="7"/>
  <c r="X54" i="7"/>
  <c r="AD62" i="7"/>
  <c r="AE62" i="7" s="1"/>
  <c r="AC62" i="7"/>
  <c r="X62" i="7"/>
  <c r="AD70" i="7"/>
  <c r="AE70" i="7" s="1"/>
  <c r="AC70" i="7"/>
  <c r="X70" i="7"/>
  <c r="AD78" i="7"/>
  <c r="AE78" i="7" s="1"/>
  <c r="AC78" i="7"/>
  <c r="X78" i="7"/>
  <c r="AD86" i="7"/>
  <c r="AE86" i="7" s="1"/>
  <c r="AC86" i="7"/>
  <c r="X86" i="7"/>
  <c r="AD94" i="7"/>
  <c r="AE94" i="7" s="1"/>
  <c r="AC94" i="7"/>
  <c r="X94" i="7"/>
  <c r="AD107" i="7"/>
  <c r="AE107" i="7" s="1"/>
  <c r="AC107" i="7"/>
  <c r="X107" i="7"/>
  <c r="AD115" i="7"/>
  <c r="AE115" i="7" s="1"/>
  <c r="AC115" i="7"/>
  <c r="X115" i="7"/>
  <c r="AD123" i="7"/>
  <c r="AE123" i="7" s="1"/>
  <c r="AC123" i="7"/>
  <c r="X123" i="7"/>
  <c r="AD131" i="7"/>
  <c r="AE131" i="7" s="1"/>
  <c r="AC131" i="7"/>
  <c r="X131" i="7"/>
  <c r="AD139" i="7"/>
  <c r="AE139" i="7" s="1"/>
  <c r="AC139" i="7"/>
  <c r="X139" i="7"/>
  <c r="AE142" i="7"/>
  <c r="AF142" i="7" s="1"/>
  <c r="AD142" i="7"/>
  <c r="AC142" i="7"/>
  <c r="O146" i="7"/>
  <c r="AE149" i="7"/>
  <c r="AD149" i="7"/>
  <c r="X149" i="7"/>
  <c r="AF150" i="7"/>
  <c r="X151" i="7"/>
  <c r="AD151" i="7"/>
  <c r="AE151" i="7" s="1"/>
  <c r="AF151" i="7" s="1"/>
  <c r="AC151" i="7"/>
  <c r="AC113" i="7"/>
  <c r="X113" i="7"/>
  <c r="AD113" i="7" s="1"/>
  <c r="AE113" i="7" s="1"/>
  <c r="AC121" i="7"/>
  <c r="X121" i="7"/>
  <c r="AD121" i="7" s="1"/>
  <c r="AE121" i="7" s="1"/>
  <c r="AF121" i="7" s="1"/>
  <c r="AC129" i="7"/>
  <c r="X129" i="7"/>
  <c r="AD129" i="7" s="1"/>
  <c r="AE129" i="7" s="1"/>
  <c r="AC137" i="7"/>
  <c r="X137" i="7"/>
  <c r="AD137" i="7" s="1"/>
  <c r="AE137" i="7" s="1"/>
  <c r="AF137" i="7" s="1"/>
  <c r="AC147" i="7"/>
  <c r="AD147" i="7" s="1"/>
  <c r="AE147" i="7" s="1"/>
  <c r="AF147" i="7" s="1"/>
  <c r="X36" i="7"/>
  <c r="X40" i="7"/>
  <c r="AD50" i="7"/>
  <c r="AE50" i="7" s="1"/>
  <c r="AF50" i="7" s="1"/>
  <c r="AC50" i="7"/>
  <c r="X50" i="7"/>
  <c r="AD58" i="7"/>
  <c r="AC58" i="7"/>
  <c r="X58" i="7"/>
  <c r="AF58" i="7" s="1"/>
  <c r="AD66" i="7"/>
  <c r="AE66" i="7" s="1"/>
  <c r="AF66" i="7" s="1"/>
  <c r="AC66" i="7"/>
  <c r="X66" i="7"/>
  <c r="AD74" i="7"/>
  <c r="AE74" i="7" s="1"/>
  <c r="AC74" i="7"/>
  <c r="X74" i="7"/>
  <c r="AD82" i="7"/>
  <c r="AE82" i="7" s="1"/>
  <c r="AF82" i="7" s="1"/>
  <c r="AC82" i="7"/>
  <c r="X82" i="7"/>
  <c r="AD90" i="7"/>
  <c r="AC90" i="7"/>
  <c r="X90" i="7"/>
  <c r="AF90" i="7" s="1"/>
  <c r="AC98" i="7"/>
  <c r="AD98" i="7" s="1"/>
  <c r="AE98" i="7" s="1"/>
  <c r="AF98" i="7" s="1"/>
  <c r="X98" i="7"/>
  <c r="AD111" i="7"/>
  <c r="AE111" i="7" s="1"/>
  <c r="AC111" i="7"/>
  <c r="X111" i="7"/>
  <c r="AF111" i="7" s="1"/>
  <c r="AC119" i="7"/>
  <c r="X119" i="7"/>
  <c r="AC127" i="7"/>
  <c r="X127" i="7"/>
  <c r="AD135" i="7"/>
  <c r="AC135" i="7"/>
  <c r="X135" i="7"/>
  <c r="AF135" i="7" s="1"/>
  <c r="X25" i="7"/>
  <c r="X29" i="7"/>
  <c r="X33" i="7"/>
  <c r="AD36" i="7"/>
  <c r="AE36" i="7" s="1"/>
  <c r="X37" i="7"/>
  <c r="AD40" i="7"/>
  <c r="AE40" i="7" s="1"/>
  <c r="X41" i="7"/>
  <c r="AC48" i="7"/>
  <c r="X48" i="7"/>
  <c r="AD48" i="7" s="1"/>
  <c r="AE48" i="7" s="1"/>
  <c r="AD56" i="7"/>
  <c r="AE56" i="7" s="1"/>
  <c r="AC56" i="7"/>
  <c r="X56" i="7"/>
  <c r="AE58" i="7"/>
  <c r="AD64" i="7"/>
  <c r="AE64" i="7" s="1"/>
  <c r="AC64" i="7"/>
  <c r="X64" i="7"/>
  <c r="AF65" i="7"/>
  <c r="AC72" i="7"/>
  <c r="X72" i="7"/>
  <c r="AD72" i="7" s="1"/>
  <c r="AE72" i="7" s="1"/>
  <c r="AC80" i="7"/>
  <c r="X80" i="7"/>
  <c r="AD80" i="7" s="1"/>
  <c r="AE80" i="7" s="1"/>
  <c r="AD88" i="7"/>
  <c r="AE88" i="7" s="1"/>
  <c r="AC88" i="7"/>
  <c r="X88" i="7"/>
  <c r="AE90" i="7"/>
  <c r="AD96" i="7"/>
  <c r="AE96" i="7" s="1"/>
  <c r="AC96" i="7"/>
  <c r="X96" i="7"/>
  <c r="AF97" i="7"/>
  <c r="AC109" i="7"/>
  <c r="X109" i="7"/>
  <c r="AD109" i="7" s="1"/>
  <c r="AE109" i="7" s="1"/>
  <c r="AD117" i="7"/>
  <c r="AE117" i="7" s="1"/>
  <c r="AC117" i="7"/>
  <c r="X117" i="7"/>
  <c r="AC125" i="7"/>
  <c r="X125" i="7"/>
  <c r="AD125" i="7" s="1"/>
  <c r="AE125" i="7" s="1"/>
  <c r="AD133" i="7"/>
  <c r="AE133" i="7" s="1"/>
  <c r="AC133" i="7"/>
  <c r="X133" i="7"/>
  <c r="AE135" i="7"/>
  <c r="AC141" i="7"/>
  <c r="X141" i="7"/>
  <c r="AD141" i="7" s="1"/>
  <c r="AE141" i="7" s="1"/>
  <c r="AF143" i="7"/>
  <c r="X144" i="7"/>
  <c r="AD144" i="7" s="1"/>
  <c r="AE144" i="7" s="1"/>
  <c r="AE47" i="7"/>
  <c r="AE49" i="7"/>
  <c r="AE55" i="7"/>
  <c r="AE57" i="7"/>
  <c r="AE63" i="7"/>
  <c r="AE65" i="7"/>
  <c r="AE73" i="7"/>
  <c r="AF73" i="7" s="1"/>
  <c r="AE81" i="7"/>
  <c r="AE89" i="7"/>
  <c r="AE97" i="7"/>
  <c r="X100" i="7"/>
  <c r="AD100" i="7" s="1"/>
  <c r="AE100" i="7" s="1"/>
  <c r="X102" i="7"/>
  <c r="AD102" i="7" s="1"/>
  <c r="AE102" i="7" s="1"/>
  <c r="AE104" i="7"/>
  <c r="AF104" i="7" s="1"/>
  <c r="AE112" i="7"/>
  <c r="AF112" i="7" s="1"/>
  <c r="AE120" i="7"/>
  <c r="AE128" i="7"/>
  <c r="AE136" i="7"/>
  <c r="X143" i="7"/>
  <c r="AD143" i="7" s="1"/>
  <c r="AE143" i="7" s="1"/>
  <c r="X145" i="7"/>
  <c r="AD145" i="7" s="1"/>
  <c r="AE145" i="7" s="1"/>
  <c r="X148" i="7"/>
  <c r="AD148" i="7" s="1"/>
  <c r="AE148" i="7" s="1"/>
  <c r="X150" i="7"/>
  <c r="AD150" i="7" s="1"/>
  <c r="AE150" i="7" s="1"/>
  <c r="X152" i="7"/>
  <c r="AD152" i="7" s="1"/>
  <c r="AE152" i="7" s="1"/>
  <c r="AD153" i="7"/>
  <c r="AE153" i="7" s="1"/>
  <c r="X154" i="7"/>
  <c r="AD154" i="7" s="1"/>
  <c r="AE154" i="7" s="1"/>
  <c r="AD155" i="7"/>
  <c r="X156" i="7"/>
  <c r="AD157" i="7"/>
  <c r="AU20" i="5"/>
  <c r="AV20" i="5" s="1"/>
  <c r="AU62" i="5"/>
  <c r="X45" i="7"/>
  <c r="AD45" i="7" s="1"/>
  <c r="AE45" i="7" s="1"/>
  <c r="X47" i="7"/>
  <c r="AD47" i="7" s="1"/>
  <c r="X49" i="7"/>
  <c r="AD49" i="7" s="1"/>
  <c r="X51" i="7"/>
  <c r="AD51" i="7" s="1"/>
  <c r="AE51" i="7" s="1"/>
  <c r="X53" i="7"/>
  <c r="AD53" i="7" s="1"/>
  <c r="AE53" i="7" s="1"/>
  <c r="X55" i="7"/>
  <c r="AD55" i="7" s="1"/>
  <c r="X57" i="7"/>
  <c r="AD57" i="7" s="1"/>
  <c r="X59" i="7"/>
  <c r="AD59" i="7" s="1"/>
  <c r="AE59" i="7" s="1"/>
  <c r="X61" i="7"/>
  <c r="AD61" i="7" s="1"/>
  <c r="AE61" i="7" s="1"/>
  <c r="X63" i="7"/>
  <c r="AD63" i="7" s="1"/>
  <c r="X65" i="7"/>
  <c r="AD65" i="7" s="1"/>
  <c r="X67" i="7"/>
  <c r="AD67" i="7" s="1"/>
  <c r="AE67" i="7" s="1"/>
  <c r="X69" i="7"/>
  <c r="AD69" i="7" s="1"/>
  <c r="AE69" i="7" s="1"/>
  <c r="X71" i="7"/>
  <c r="AD71" i="7" s="1"/>
  <c r="AE71" i="7" s="1"/>
  <c r="X73" i="7"/>
  <c r="AD73" i="7" s="1"/>
  <c r="X75" i="7"/>
  <c r="AD75" i="7" s="1"/>
  <c r="AE75" i="7" s="1"/>
  <c r="X77" i="7"/>
  <c r="AD77" i="7" s="1"/>
  <c r="AE77" i="7" s="1"/>
  <c r="X79" i="7"/>
  <c r="AD79" i="7" s="1"/>
  <c r="AE79" i="7" s="1"/>
  <c r="X81" i="7"/>
  <c r="AD81" i="7" s="1"/>
  <c r="X83" i="7"/>
  <c r="AD83" i="7" s="1"/>
  <c r="AE83" i="7" s="1"/>
  <c r="X85" i="7"/>
  <c r="AD85" i="7" s="1"/>
  <c r="AE85" i="7" s="1"/>
  <c r="X87" i="7"/>
  <c r="AD87" i="7" s="1"/>
  <c r="AE87" i="7" s="1"/>
  <c r="X89" i="7"/>
  <c r="AD89" i="7" s="1"/>
  <c r="X91" i="7"/>
  <c r="AD91" i="7" s="1"/>
  <c r="AE91" i="7" s="1"/>
  <c r="X93" i="7"/>
  <c r="AD93" i="7" s="1"/>
  <c r="AE93" i="7" s="1"/>
  <c r="X95" i="7"/>
  <c r="AD95" i="7" s="1"/>
  <c r="AE95" i="7" s="1"/>
  <c r="X97" i="7"/>
  <c r="AD97" i="7" s="1"/>
  <c r="X104" i="7"/>
  <c r="AD104" i="7" s="1"/>
  <c r="X106" i="7"/>
  <c r="AD106" i="7" s="1"/>
  <c r="AE106" i="7" s="1"/>
  <c r="X108" i="7"/>
  <c r="AD108" i="7" s="1"/>
  <c r="AE108" i="7" s="1"/>
  <c r="X110" i="7"/>
  <c r="AD110" i="7" s="1"/>
  <c r="AE110" i="7" s="1"/>
  <c r="AF110" i="7" s="1"/>
  <c r="X112" i="7"/>
  <c r="AD112" i="7" s="1"/>
  <c r="X114" i="7"/>
  <c r="AD114" i="7" s="1"/>
  <c r="AE114" i="7" s="1"/>
  <c r="X116" i="7"/>
  <c r="AD116" i="7" s="1"/>
  <c r="AE116" i="7" s="1"/>
  <c r="X118" i="7"/>
  <c r="AD118" i="7" s="1"/>
  <c r="AE118" i="7" s="1"/>
  <c r="X120" i="7"/>
  <c r="AD120" i="7" s="1"/>
  <c r="X122" i="7"/>
  <c r="AD122" i="7" s="1"/>
  <c r="AE122" i="7" s="1"/>
  <c r="X124" i="7"/>
  <c r="AD124" i="7" s="1"/>
  <c r="AE124" i="7" s="1"/>
  <c r="X126" i="7"/>
  <c r="AD126" i="7" s="1"/>
  <c r="AE126" i="7" s="1"/>
  <c r="AF126" i="7" s="1"/>
  <c r="X128" i="7"/>
  <c r="AD128" i="7" s="1"/>
  <c r="X130" i="7"/>
  <c r="AD130" i="7" s="1"/>
  <c r="AE130" i="7" s="1"/>
  <c r="X132" i="7"/>
  <c r="AD132" i="7" s="1"/>
  <c r="AE132" i="7" s="1"/>
  <c r="X134" i="7"/>
  <c r="AD134" i="7" s="1"/>
  <c r="AE134" i="7" s="1"/>
  <c r="X136" i="7"/>
  <c r="AD136" i="7" s="1"/>
  <c r="X138" i="7"/>
  <c r="AD138" i="7" s="1"/>
  <c r="AE138" i="7" s="1"/>
  <c r="X140" i="7"/>
  <c r="AD140" i="7" s="1"/>
  <c r="AE140" i="7" s="1"/>
  <c r="AE155" i="7"/>
  <c r="AE157" i="7"/>
  <c r="AV184" i="5"/>
  <c r="AV180" i="5"/>
  <c r="AV176" i="5"/>
  <c r="AV182" i="5"/>
  <c r="AV178" i="5"/>
  <c r="AV181" i="5"/>
  <c r="AV174" i="5"/>
  <c r="AV170" i="5"/>
  <c r="AV166" i="5"/>
  <c r="AV162" i="5"/>
  <c r="AV158" i="5"/>
  <c r="AV154" i="5"/>
  <c r="AV150" i="5"/>
  <c r="AV146" i="5"/>
  <c r="AV142" i="5"/>
  <c r="AV138" i="5"/>
  <c r="AV134" i="5"/>
  <c r="AV130" i="5"/>
  <c r="AV126" i="5"/>
  <c r="AV122" i="5"/>
  <c r="AV118" i="5"/>
  <c r="AV114" i="5"/>
  <c r="AV110" i="5"/>
  <c r="AV106" i="5"/>
  <c r="AV101" i="5"/>
  <c r="AV97" i="5"/>
  <c r="AV93" i="5"/>
  <c r="AV179" i="5"/>
  <c r="AV171" i="5"/>
  <c r="AV167" i="5"/>
  <c r="AV163" i="5"/>
  <c r="AV159" i="5"/>
  <c r="AV187" i="5" s="1"/>
  <c r="AV155" i="5"/>
  <c r="AV151" i="5"/>
  <c r="AV147" i="5"/>
  <c r="AV143" i="5"/>
  <c r="AV139" i="5"/>
  <c r="AV135" i="5"/>
  <c r="AV131" i="5"/>
  <c r="AV127" i="5"/>
  <c r="AV123" i="5"/>
  <c r="AV119" i="5"/>
  <c r="AV115" i="5"/>
  <c r="AV111" i="5"/>
  <c r="AV107" i="5"/>
  <c r="AV102" i="5"/>
  <c r="AV98" i="5"/>
  <c r="AV94" i="5"/>
  <c r="AV90" i="5"/>
  <c r="AV86" i="5"/>
  <c r="AV82" i="5"/>
  <c r="AV77" i="5"/>
  <c r="AV72" i="5"/>
  <c r="AV68" i="5"/>
  <c r="AV64" i="5"/>
  <c r="AV185" i="5"/>
  <c r="AV177" i="5"/>
  <c r="AV172" i="5"/>
  <c r="AV168" i="5"/>
  <c r="AV164" i="5"/>
  <c r="AV160" i="5"/>
  <c r="AV156" i="5"/>
  <c r="AV152" i="5"/>
  <c r="AV148" i="5"/>
  <c r="AV144" i="5"/>
  <c r="AV140" i="5"/>
  <c r="AV136" i="5"/>
  <c r="AV132" i="5"/>
  <c r="AV128" i="5"/>
  <c r="AV124" i="5"/>
  <c r="AV120" i="5"/>
  <c r="AV116" i="5"/>
  <c r="AV112" i="5"/>
  <c r="AV108" i="5"/>
  <c r="AV103" i="5"/>
  <c r="AV99" i="5"/>
  <c r="AV95" i="5"/>
  <c r="AV91" i="5"/>
  <c r="AV183" i="5"/>
  <c r="AV175" i="5"/>
  <c r="AV173" i="5"/>
  <c r="AV169" i="5"/>
  <c r="AV165" i="5"/>
  <c r="AV161" i="5"/>
  <c r="AV157" i="5"/>
  <c r="AV153" i="5"/>
  <c r="AV149" i="5"/>
  <c r="AV145" i="5"/>
  <c r="AV141" i="5"/>
  <c r="AV137" i="5"/>
  <c r="AV133" i="5"/>
  <c r="AV129" i="5"/>
  <c r="AV125" i="5"/>
  <c r="AV121" i="5"/>
  <c r="AV117" i="5"/>
  <c r="AV113" i="5"/>
  <c r="AV109" i="5"/>
  <c r="AV105" i="5"/>
  <c r="AV104" i="5"/>
  <c r="AV100" i="5"/>
  <c r="AV96" i="5"/>
  <c r="AV92" i="5"/>
  <c r="AV88" i="5"/>
  <c r="AV84" i="5"/>
  <c r="AV80" i="5"/>
  <c r="AV75" i="5"/>
  <c r="AV70" i="5"/>
  <c r="AV66" i="5"/>
  <c r="AV62" i="5"/>
  <c r="X153" i="7"/>
  <c r="AF153" i="7" s="1"/>
  <c r="X155" i="7"/>
  <c r="X157" i="7"/>
  <c r="J250" i="5"/>
  <c r="O204" i="5"/>
  <c r="P195" i="5"/>
  <c r="AE195" i="5"/>
  <c r="AT73" i="5"/>
  <c r="V20" i="5"/>
  <c r="V187" i="5" s="1"/>
  <c r="AT62" i="5"/>
  <c r="AU73" i="5"/>
  <c r="AV73" i="5" s="1"/>
  <c r="K154" i="5"/>
  <c r="Y156" i="5"/>
  <c r="AK156" i="5"/>
  <c r="K158" i="5"/>
  <c r="S158" i="5"/>
  <c r="AE158" i="5"/>
  <c r="Y160" i="5"/>
  <c r="AK160" i="5"/>
  <c r="K162" i="5"/>
  <c r="S162" i="5"/>
  <c r="AE162" i="5"/>
  <c r="AQ162" i="5"/>
  <c r="Y164" i="5"/>
  <c r="AK164" i="5"/>
  <c r="K166" i="5"/>
  <c r="S166" i="5"/>
  <c r="AE166" i="5"/>
  <c r="AQ166" i="5"/>
  <c r="Y168" i="5"/>
  <c r="AK168" i="5"/>
  <c r="K170" i="5"/>
  <c r="S170" i="5"/>
  <c r="AE170" i="5"/>
  <c r="AQ170" i="5"/>
  <c r="Y172" i="5"/>
  <c r="AK172" i="5"/>
  <c r="K174" i="5"/>
  <c r="S174" i="5"/>
  <c r="AE174" i="5"/>
  <c r="AQ174" i="5"/>
  <c r="K176" i="5"/>
  <c r="S176" i="5"/>
  <c r="AQ176" i="5"/>
  <c r="AK178" i="5"/>
  <c r="Y182" i="5"/>
  <c r="K184" i="5"/>
  <c r="O183" i="5"/>
  <c r="O179" i="5"/>
  <c r="O185" i="5"/>
  <c r="O181" i="5"/>
  <c r="O177" i="5"/>
  <c r="AB184" i="5"/>
  <c r="AB180" i="5"/>
  <c r="AB176" i="5"/>
  <c r="AB182" i="5"/>
  <c r="AB178" i="5"/>
  <c r="AN184" i="5"/>
  <c r="AN180" i="5"/>
  <c r="AN176" i="5"/>
  <c r="AN182" i="5"/>
  <c r="AN178" i="5"/>
  <c r="G204" i="5"/>
  <c r="G250" i="5"/>
  <c r="AG195" i="5"/>
  <c r="R196" i="5"/>
  <c r="AD200" i="5"/>
  <c r="K178" i="5"/>
  <c r="AK180" i="5"/>
  <c r="Y184" i="5"/>
  <c r="S185" i="5"/>
  <c r="S181" i="5"/>
  <c r="S177" i="5"/>
  <c r="S183" i="5"/>
  <c r="S179" i="5"/>
  <c r="AE185" i="5"/>
  <c r="AE181" i="5"/>
  <c r="AE177" i="5"/>
  <c r="AE183" i="5"/>
  <c r="AE179" i="5"/>
  <c r="AQ185" i="5"/>
  <c r="AQ181" i="5"/>
  <c r="AQ177" i="5"/>
  <c r="AQ183" i="5"/>
  <c r="AQ179" i="5"/>
  <c r="J204" i="5"/>
  <c r="K199" i="5" s="1"/>
  <c r="K195" i="5"/>
  <c r="K197" i="5"/>
  <c r="R198" i="5"/>
  <c r="Y154" i="5"/>
  <c r="Y187" i="5" s="1"/>
  <c r="AK154" i="5"/>
  <c r="K156" i="5"/>
  <c r="Y158" i="5"/>
  <c r="AK158" i="5"/>
  <c r="K160" i="5"/>
  <c r="S160" i="5"/>
  <c r="AE160" i="5"/>
  <c r="AQ160" i="5"/>
  <c r="Y162" i="5"/>
  <c r="AK162" i="5"/>
  <c r="K164" i="5"/>
  <c r="S164" i="5"/>
  <c r="AE164" i="5"/>
  <c r="AQ164" i="5"/>
  <c r="Y166" i="5"/>
  <c r="AK166" i="5"/>
  <c r="K168" i="5"/>
  <c r="S168" i="5"/>
  <c r="AE168" i="5"/>
  <c r="AQ168" i="5"/>
  <c r="Y170" i="5"/>
  <c r="AK170" i="5"/>
  <c r="K172" i="5"/>
  <c r="S172" i="5"/>
  <c r="AE172" i="5"/>
  <c r="AQ172" i="5"/>
  <c r="Y174" i="5"/>
  <c r="AK174" i="5"/>
  <c r="AE175" i="5"/>
  <c r="AE176" i="5"/>
  <c r="S180" i="5"/>
  <c r="AQ180" i="5"/>
  <c r="AE184" i="5"/>
  <c r="V182" i="5"/>
  <c r="V178" i="5"/>
  <c r="V184" i="5"/>
  <c r="V180" i="5"/>
  <c r="V176" i="5"/>
  <c r="AH182" i="5"/>
  <c r="AH178" i="5"/>
  <c r="AH184" i="5"/>
  <c r="AH180" i="5"/>
  <c r="AH176" i="5"/>
  <c r="AH187" i="5" s="1"/>
  <c r="AT182" i="5"/>
  <c r="AT178" i="5"/>
  <c r="AT184" i="5"/>
  <c r="AT180" i="5"/>
  <c r="AT176" i="5"/>
  <c r="L204" i="5"/>
  <c r="N200" i="5" s="1"/>
  <c r="M195" i="5"/>
  <c r="AD196" i="5"/>
  <c r="T198" i="5"/>
  <c r="R200" i="5"/>
  <c r="K201" i="5"/>
  <c r="K185" i="5"/>
  <c r="K181" i="5"/>
  <c r="K177" i="5"/>
  <c r="K183" i="5"/>
  <c r="K179" i="5"/>
  <c r="Y183" i="5"/>
  <c r="Y179" i="5"/>
  <c r="Y175" i="5"/>
  <c r="Y185" i="5"/>
  <c r="Y181" i="5"/>
  <c r="Y177" i="5"/>
  <c r="AK183" i="5"/>
  <c r="AK179" i="5"/>
  <c r="AK175" i="5"/>
  <c r="AK185" i="5"/>
  <c r="AK181" i="5"/>
  <c r="AK177" i="5"/>
  <c r="J251" i="5"/>
  <c r="R251" i="5" s="1"/>
  <c r="P196" i="5"/>
  <c r="AD198" i="5"/>
  <c r="AD201" i="5"/>
  <c r="R252" i="5"/>
  <c r="O255" i="5"/>
  <c r="M513" i="4"/>
  <c r="M512" i="4"/>
  <c r="I511" i="4"/>
  <c r="U510" i="4"/>
  <c r="U509" i="4"/>
  <c r="U508" i="4"/>
  <c r="U507" i="4"/>
  <c r="U506" i="4"/>
  <c r="U505" i="4"/>
  <c r="I505" i="4"/>
  <c r="U504" i="4"/>
  <c r="I504" i="4"/>
  <c r="U503" i="4"/>
  <c r="I503" i="4"/>
  <c r="U502" i="4"/>
  <c r="I502" i="4"/>
  <c r="U501" i="4"/>
  <c r="I501" i="4"/>
  <c r="U500" i="4"/>
  <c r="H500" i="4"/>
  <c r="H499" i="4"/>
  <c r="B499" i="4" s="1"/>
  <c r="H498" i="4"/>
  <c r="M497" i="4"/>
  <c r="J512" i="4"/>
  <c r="U511" i="4"/>
  <c r="H511" i="4"/>
  <c r="M510" i="4"/>
  <c r="M509" i="4"/>
  <c r="M508" i="4"/>
  <c r="M507" i="4"/>
  <c r="M506" i="4"/>
  <c r="H505" i="4"/>
  <c r="H504" i="4"/>
  <c r="H503" i="4"/>
  <c r="H502" i="4"/>
  <c r="H501" i="4"/>
  <c r="M500" i="4"/>
  <c r="E500" i="4"/>
  <c r="M499" i="4"/>
  <c r="E499" i="4"/>
  <c r="M498" i="4"/>
  <c r="U512" i="4"/>
  <c r="I512" i="4"/>
  <c r="M511" i="4"/>
  <c r="E511" i="4"/>
  <c r="I510" i="4"/>
  <c r="B510" i="4" s="1"/>
  <c r="I509" i="4"/>
  <c r="I508" i="4"/>
  <c r="I507" i="4"/>
  <c r="I506" i="4"/>
  <c r="B506" i="4" s="1"/>
  <c r="M505" i="4"/>
  <c r="E505" i="4"/>
  <c r="M504" i="4"/>
  <c r="E504" i="4"/>
  <c r="M503" i="4"/>
  <c r="E503" i="4"/>
  <c r="M502" i="4"/>
  <c r="E502" i="4"/>
  <c r="B502" i="4" s="1"/>
  <c r="M501" i="4"/>
  <c r="E501" i="4"/>
  <c r="J500" i="4"/>
  <c r="J499" i="4"/>
  <c r="U498" i="4"/>
  <c r="J498" i="4"/>
  <c r="U496" i="4"/>
  <c r="N513" i="4"/>
  <c r="N514" i="4" s="1"/>
  <c r="H512" i="4"/>
  <c r="J511" i="4"/>
  <c r="J505" i="4"/>
  <c r="J504" i="4"/>
  <c r="J503" i="4"/>
  <c r="J502" i="4"/>
  <c r="J501" i="4"/>
  <c r="I500" i="4"/>
  <c r="U499" i="4"/>
  <c r="I499" i="4"/>
  <c r="I498" i="4"/>
  <c r="U497" i="4"/>
  <c r="M496" i="4"/>
  <c r="S204" i="5"/>
  <c r="T196" i="5" s="1"/>
  <c r="W204" i="5"/>
  <c r="X198" i="5" s="1"/>
  <c r="O250" i="5"/>
  <c r="AA204" i="5"/>
  <c r="AB196" i="5"/>
  <c r="M197" i="5"/>
  <c r="AG197" i="5"/>
  <c r="R255" i="5"/>
  <c r="P200" i="5"/>
  <c r="AB200" i="5"/>
  <c r="H201" i="5"/>
  <c r="M201" i="5"/>
  <c r="O256" i="5"/>
  <c r="R256" i="5" s="1"/>
  <c r="AB201" i="5"/>
  <c r="AG201" i="5"/>
  <c r="P202" i="5"/>
  <c r="J258" i="5"/>
  <c r="P203" i="5"/>
  <c r="L251" i="5"/>
  <c r="AG196" i="5"/>
  <c r="J253" i="5"/>
  <c r="O253" i="5"/>
  <c r="G254" i="5"/>
  <c r="P199" i="5"/>
  <c r="L255" i="5"/>
  <c r="AG200" i="5"/>
  <c r="X201" i="5"/>
  <c r="M202" i="5"/>
  <c r="R203" i="5"/>
  <c r="Q204" i="5"/>
  <c r="U204" i="5"/>
  <c r="V198" i="5" s="1"/>
  <c r="L250" i="5"/>
  <c r="Y204" i="5"/>
  <c r="Z198" i="5" s="1"/>
  <c r="AC204" i="5"/>
  <c r="G253" i="5"/>
  <c r="P198" i="5"/>
  <c r="AB198" i="5"/>
  <c r="H199" i="5"/>
  <c r="L254" i="5"/>
  <c r="AG199" i="5"/>
  <c r="V200" i="5"/>
  <c r="G257" i="5"/>
  <c r="AG202" i="5"/>
  <c r="H202" i="5"/>
  <c r="R258" i="5"/>
  <c r="N203" i="5"/>
  <c r="AG203" i="5"/>
  <c r="H44" i="2"/>
  <c r="B30" i="14"/>
  <c r="V203" i="5"/>
  <c r="B28" i="14"/>
  <c r="B33" i="14" s="1"/>
  <c r="AB203" i="5"/>
  <c r="E5" i="6"/>
  <c r="K3" i="6"/>
  <c r="E3" i="6"/>
  <c r="I490" i="4"/>
  <c r="J488" i="4"/>
  <c r="J2" i="7"/>
  <c r="P26" i="15" l="1"/>
  <c r="P27" i="15" s="1"/>
  <c r="P28" i="15" s="1"/>
  <c r="P29" i="15" s="1"/>
  <c r="P30" i="15" s="1"/>
  <c r="P31" i="15" s="1"/>
  <c r="P32" i="15" s="1"/>
  <c r="P33" i="15" s="1"/>
  <c r="AF74" i="7"/>
  <c r="AF32" i="7"/>
  <c r="Z203" i="5"/>
  <c r="I514" i="4"/>
  <c r="U514" i="4"/>
  <c r="B511" i="4"/>
  <c r="R257" i="5"/>
  <c r="V196" i="5"/>
  <c r="J514" i="4"/>
  <c r="B503" i="4"/>
  <c r="B505" i="4"/>
  <c r="X196" i="5"/>
  <c r="X200" i="5"/>
  <c r="H200" i="5"/>
  <c r="H203" i="5"/>
  <c r="H198" i="5"/>
  <c r="H196" i="5"/>
  <c r="T203" i="5"/>
  <c r="N202" i="5"/>
  <c r="T201" i="5"/>
  <c r="R253" i="5"/>
  <c r="AD202" i="5"/>
  <c r="AD197" i="5"/>
  <c r="AD199" i="5"/>
  <c r="AD195" i="5"/>
  <c r="R202" i="5"/>
  <c r="R201" i="5"/>
  <c r="R197" i="5"/>
  <c r="R199" i="5"/>
  <c r="R195" i="5"/>
  <c r="R204" i="5" s="1"/>
  <c r="X203" i="5"/>
  <c r="H197" i="5"/>
  <c r="AB199" i="5"/>
  <c r="AB202" i="5"/>
  <c r="AB197" i="5"/>
  <c r="AB195" i="5"/>
  <c r="AB204" i="5" s="1"/>
  <c r="B496" i="4"/>
  <c r="M514" i="4"/>
  <c r="B512" i="4"/>
  <c r="B509" i="4"/>
  <c r="E514" i="4"/>
  <c r="AD203" i="5"/>
  <c r="K202" i="5"/>
  <c r="H195" i="5"/>
  <c r="P201" i="5"/>
  <c r="P197" i="5"/>
  <c r="P204" i="5" s="1"/>
  <c r="AF134" i="7"/>
  <c r="AF129" i="7"/>
  <c r="AF118" i="7"/>
  <c r="AF113" i="7"/>
  <c r="AF96" i="7"/>
  <c r="AF89" i="7"/>
  <c r="AF64" i="7"/>
  <c r="AF57" i="7"/>
  <c r="AF37" i="7"/>
  <c r="AD37" i="7"/>
  <c r="AE37" i="7" s="1"/>
  <c r="AF136" i="7"/>
  <c r="AD127" i="7"/>
  <c r="AE127" i="7" s="1"/>
  <c r="AF127" i="7" s="1"/>
  <c r="AF91" i="7"/>
  <c r="AF83" i="7"/>
  <c r="AF75" i="7"/>
  <c r="AF67" i="7"/>
  <c r="AF59" i="7"/>
  <c r="AF51" i="7"/>
  <c r="AF40" i="7"/>
  <c r="AF149" i="7"/>
  <c r="AC146" i="7"/>
  <c r="X146" i="7"/>
  <c r="AF140" i="7"/>
  <c r="AF132" i="7"/>
  <c r="AF124" i="7"/>
  <c r="AF116" i="7"/>
  <c r="AF108" i="7"/>
  <c r="AF95" i="7"/>
  <c r="AF87" i="7"/>
  <c r="AF79" i="7"/>
  <c r="AF71" i="7"/>
  <c r="AF63" i="7"/>
  <c r="AF55" i="7"/>
  <c r="AF47" i="7"/>
  <c r="AD42" i="7"/>
  <c r="AE42" i="7" s="1"/>
  <c r="AF42" i="7" s="1"/>
  <c r="AD34" i="7"/>
  <c r="AE34" i="7" s="1"/>
  <c r="AF34" i="7" s="1"/>
  <c r="AD18" i="7"/>
  <c r="AE18" i="7" s="1"/>
  <c r="AF18" i="7" s="1"/>
  <c r="AF19" i="7"/>
  <c r="AF10" i="7"/>
  <c r="AF76" i="7"/>
  <c r="AF44" i="7"/>
  <c r="AF16" i="7"/>
  <c r="X2" i="7"/>
  <c r="AF69" i="7"/>
  <c r="AD20" i="7"/>
  <c r="AE20" i="7" s="1"/>
  <c r="AF20" i="7" s="1"/>
  <c r="AF12" i="7"/>
  <c r="B497" i="4"/>
  <c r="M204" i="5"/>
  <c r="N198" i="5"/>
  <c r="N199" i="5"/>
  <c r="N195" i="5"/>
  <c r="N196" i="5"/>
  <c r="AG204" i="5"/>
  <c r="AH198" i="5" s="1"/>
  <c r="AE204" i="5"/>
  <c r="AF195" i="5" s="1"/>
  <c r="J259" i="5"/>
  <c r="AF154" i="7"/>
  <c r="AF133" i="7"/>
  <c r="AF117" i="7"/>
  <c r="AF88" i="7"/>
  <c r="AF81" i="7"/>
  <c r="AF56" i="7"/>
  <c r="AF49" i="7"/>
  <c r="AD41" i="7"/>
  <c r="AE41" i="7" s="1"/>
  <c r="AF41" i="7" s="1"/>
  <c r="AD29" i="7"/>
  <c r="AE29" i="7" s="1"/>
  <c r="AF29" i="7" s="1"/>
  <c r="AF152" i="7"/>
  <c r="AF128" i="7"/>
  <c r="AD119" i="7"/>
  <c r="AE119" i="7" s="1"/>
  <c r="AF119" i="7" s="1"/>
  <c r="AF36" i="7"/>
  <c r="AF139" i="7"/>
  <c r="AF131" i="7"/>
  <c r="AF123" i="7"/>
  <c r="AF115" i="7"/>
  <c r="AF107" i="7"/>
  <c r="AF94" i="7"/>
  <c r="AF86" i="7"/>
  <c r="AF78" i="7"/>
  <c r="AF70" i="7"/>
  <c r="AF62" i="7"/>
  <c r="AF54" i="7"/>
  <c r="AF46" i="7"/>
  <c r="AD30" i="7"/>
  <c r="AE30" i="7" s="1"/>
  <c r="AF30" i="7" s="1"/>
  <c r="AF105" i="7"/>
  <c r="I71" i="13"/>
  <c r="H71" i="13"/>
  <c r="AF68" i="7"/>
  <c r="AF8" i="7"/>
  <c r="AF101" i="7"/>
  <c r="AF93" i="7"/>
  <c r="AF61" i="7"/>
  <c r="Z202" i="5"/>
  <c r="Z197" i="5"/>
  <c r="Z201" i="5"/>
  <c r="Z199" i="5"/>
  <c r="Z195" i="5"/>
  <c r="O259" i="5"/>
  <c r="AH203" i="5"/>
  <c r="AH200" i="5"/>
  <c r="K258" i="5"/>
  <c r="N201" i="5"/>
  <c r="Z200" i="5"/>
  <c r="N197" i="5"/>
  <c r="Z196" i="5"/>
  <c r="G259" i="5"/>
  <c r="H253" i="5" s="1"/>
  <c r="R250" i="5"/>
  <c r="AF145" i="7"/>
  <c r="AF80" i="7"/>
  <c r="AF48" i="7"/>
  <c r="AF120" i="7"/>
  <c r="AF138" i="7"/>
  <c r="AF130" i="7"/>
  <c r="AF122" i="7"/>
  <c r="AF114" i="7"/>
  <c r="AD38" i="7"/>
  <c r="AE38" i="7" s="1"/>
  <c r="AF38" i="7" s="1"/>
  <c r="AD26" i="7"/>
  <c r="AE26" i="7" s="1"/>
  <c r="AF26" i="7" s="1"/>
  <c r="AF102" i="7"/>
  <c r="AF17" i="7"/>
  <c r="AF103" i="7"/>
  <c r="AF85" i="7"/>
  <c r="AF53" i="7"/>
  <c r="AF13" i="7"/>
  <c r="H254" i="5"/>
  <c r="R254" i="5"/>
  <c r="B504" i="4"/>
  <c r="AH202" i="5"/>
  <c r="L259" i="5"/>
  <c r="P253" i="5"/>
  <c r="P256" i="5"/>
  <c r="X199" i="5"/>
  <c r="X202" i="5"/>
  <c r="X197" i="5"/>
  <c r="X195" i="5"/>
  <c r="B507" i="4"/>
  <c r="B500" i="4"/>
  <c r="H514" i="4"/>
  <c r="B498" i="4"/>
  <c r="AH199" i="5"/>
  <c r="V202" i="5"/>
  <c r="V197" i="5"/>
  <c r="V199" i="5"/>
  <c r="V195" i="5"/>
  <c r="V201" i="5"/>
  <c r="T199" i="5"/>
  <c r="T197" i="5"/>
  <c r="T195" i="5"/>
  <c r="B501" i="4"/>
  <c r="B508" i="4"/>
  <c r="B513" i="4"/>
  <c r="T200" i="5"/>
  <c r="T202" i="5"/>
  <c r="K203" i="5"/>
  <c r="K198" i="5"/>
  <c r="K200" i="5"/>
  <c r="K196" i="5"/>
  <c r="K204" i="5" s="1"/>
  <c r="AF144" i="7"/>
  <c r="AF141" i="7"/>
  <c r="AF125" i="7"/>
  <c r="AF109" i="7"/>
  <c r="AF72" i="7"/>
  <c r="AF33" i="7"/>
  <c r="AD33" i="7"/>
  <c r="AE33" i="7" s="1"/>
  <c r="AE2" i="7" s="1"/>
  <c r="AF25" i="7"/>
  <c r="AD25" i="7"/>
  <c r="AE25" i="7" s="1"/>
  <c r="AF148" i="7"/>
  <c r="AD22" i="7"/>
  <c r="AE22" i="7" s="1"/>
  <c r="AF22" i="7" s="1"/>
  <c r="AF100" i="7"/>
  <c r="AF9" i="7"/>
  <c r="AF106" i="7"/>
  <c r="AD2" i="7"/>
  <c r="AF14" i="7"/>
  <c r="AF6" i="7"/>
  <c r="AF77" i="7"/>
  <c r="AF45" i="7"/>
  <c r="J490" i="4"/>
  <c r="P34" i="15" l="1"/>
  <c r="P35" i="15" s="1"/>
  <c r="V204" i="5"/>
  <c r="N252" i="5"/>
  <c r="N253" i="5"/>
  <c r="N256" i="5"/>
  <c r="N258" i="5"/>
  <c r="N257" i="5"/>
  <c r="R259" i="5"/>
  <c r="S250" i="5" s="1"/>
  <c r="P257" i="5"/>
  <c r="P254" i="5"/>
  <c r="P252" i="5"/>
  <c r="P251" i="5"/>
  <c r="P258" i="5"/>
  <c r="K257" i="5"/>
  <c r="K255" i="5"/>
  <c r="K254" i="5"/>
  <c r="K252" i="5"/>
  <c r="K256" i="5"/>
  <c r="N251" i="5"/>
  <c r="AD146" i="7"/>
  <c r="AE146" i="7" s="1"/>
  <c r="AF146" i="7" s="1"/>
  <c r="H257" i="5"/>
  <c r="AF2" i="7"/>
  <c r="AH2" i="7" s="1"/>
  <c r="X204" i="5"/>
  <c r="H250" i="5"/>
  <c r="Z204" i="5"/>
  <c r="P255" i="5"/>
  <c r="AH201" i="5"/>
  <c r="AD204" i="5"/>
  <c r="H256" i="5"/>
  <c r="H251" i="5"/>
  <c r="H252" i="5"/>
  <c r="H255" i="5"/>
  <c r="H258" i="5"/>
  <c r="AF199" i="5"/>
  <c r="AF202" i="5"/>
  <c r="AF197" i="5"/>
  <c r="AF200" i="5"/>
  <c r="AF196" i="5"/>
  <c r="AF204" i="5" s="1"/>
  <c r="AF201" i="5"/>
  <c r="AF198" i="5"/>
  <c r="AF203" i="5"/>
  <c r="N204" i="5"/>
  <c r="K251" i="5"/>
  <c r="K253" i="5"/>
  <c r="AH197" i="5"/>
  <c r="T204" i="5"/>
  <c r="N255" i="5"/>
  <c r="N250" i="5"/>
  <c r="N259" i="5" s="1"/>
  <c r="P250" i="5"/>
  <c r="P259" i="5" s="1"/>
  <c r="K250" i="5"/>
  <c r="K259" i="5" s="1"/>
  <c r="AH195" i="5"/>
  <c r="H204" i="5"/>
  <c r="B514" i="4"/>
  <c r="B516" i="4" s="1"/>
  <c r="B517" i="4" s="1"/>
  <c r="AH196" i="5"/>
  <c r="N254" i="5"/>
  <c r="P36" i="15" l="1"/>
  <c r="AH204" i="5"/>
  <c r="S253" i="5"/>
  <c r="S257" i="5"/>
  <c r="H259" i="5"/>
  <c r="S251" i="5"/>
  <c r="S259" i="5" s="1"/>
  <c r="S255" i="5"/>
  <c r="S252" i="5"/>
  <c r="S256" i="5"/>
  <c r="S258" i="5"/>
  <c r="S254" i="5"/>
  <c r="P37" i="15" l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M07AMED MAHDI</author>
  </authors>
  <commentList>
    <comment ref="J394" authorId="0" shapeId="0" xr:uid="{B844FBF6-5281-465C-B89E-849E9122CDF4}">
      <text>
        <r>
          <rPr>
            <b/>
            <sz val="9"/>
            <color indexed="81"/>
            <rFont val="Tahoma"/>
            <family val="2"/>
          </rPr>
          <t>M07AMED MAHDI: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8"/>
            <color indexed="81"/>
            <rFont val="Calibri"/>
            <family val="2"/>
            <scheme val="minor"/>
          </rPr>
          <t xml:space="preserve">
متضمنة مبلغ 1772 ريال باقي عهدة شهر يونيو 2017 </t>
        </r>
      </text>
    </comment>
  </commentList>
</comments>
</file>

<file path=xl/sharedStrings.xml><?xml version="1.0" encoding="utf-8"?>
<sst xmlns="http://schemas.openxmlformats.org/spreadsheetml/2006/main" count="11568" uniqueCount="2202">
  <si>
    <t>المدين
Debit</t>
  </si>
  <si>
    <t>الدائن
Credit</t>
  </si>
  <si>
    <t>البيان 
Description</t>
  </si>
  <si>
    <t>الرصيد في 1/1/2017</t>
  </si>
  <si>
    <t>قيمة عدد 81 حاوية 6 ياردة بالفاتورة رقم 10340</t>
  </si>
  <si>
    <t>قيمة دهان 20 حاوية بالفاتورة رقم 10320</t>
  </si>
  <si>
    <t>شيك رقم 76 بدل السكن لإبراهيم الباحوث</t>
  </si>
  <si>
    <t>قيمة تركيب عدد 2 روا أون / أوف بالفاتورة رقم 10313</t>
  </si>
  <si>
    <t>قيمة الزيوت بالفاتورة رقم 69 نظام 68 يدوي</t>
  </si>
  <si>
    <t xml:space="preserve"> الشيك رقم 271 من مؤسسة الرسين دفعة من الحساب بالبنك العربي</t>
  </si>
  <si>
    <t>إيداع الشيك رقم 272 دفعة من مؤسسة الرسين</t>
  </si>
  <si>
    <t>مسحوبات الزيوت خلال شهر مارس 2017</t>
  </si>
  <si>
    <t>قيمة عدد 6 ضاغط 22 ياردة بالفاتورة رقم 10317</t>
  </si>
  <si>
    <t>شيك رقم 280 دفعة تحت الحساب شركة سالم بقشان</t>
  </si>
  <si>
    <t>شيك رقم 281 عهدة للصرف علي المصنع طارف فريد</t>
  </si>
  <si>
    <t>شيك رقم 279 عهدة للصرف علي المصنع عبدة عفيفي</t>
  </si>
  <si>
    <t>مبيعات زيوت بالفاتورة رقم 80+130+140 نظام</t>
  </si>
  <si>
    <t xml:space="preserve">قيمة قطع الغيار المعدات بالفاتورة رقم 2705  </t>
  </si>
  <si>
    <t>قيمة الضاغط بالفاتورة رقم 10400</t>
  </si>
  <si>
    <t>قيمة الفاتورة رقم 10337 ياردة عدد 100 حاوية 2 ياردة</t>
  </si>
  <si>
    <t>قيمة أعمال صيانة معدات بالفواتير أرقام 2820+2835 خلال شهر يونيو 2017 م</t>
  </si>
  <si>
    <t>مبيعات الزيوت بالفاتورة رقم 209</t>
  </si>
  <si>
    <t>شيك رقم 292 من مسسة الرسين صرف مبلغ أبوسليمان</t>
  </si>
  <si>
    <t>قيمة فاتورة صيانة رقم 2919 بمصنع المعدات</t>
  </si>
  <si>
    <t>مسحوبات زيوت بالفاتورة رقم 258</t>
  </si>
  <si>
    <t>مبيعات الزيوت بالفواتير أرقام 279</t>
  </si>
  <si>
    <t>شيك رقم 354 قيمة 3 سيارات لبلدية مليجة من العيسي</t>
  </si>
  <si>
    <t>إيداع الشيك رقم 301 دفعة من الحساب</t>
  </si>
  <si>
    <t>فاتورة بيع زيت رقم 727</t>
  </si>
  <si>
    <t>قيمة خدمة التتبع لعدد 17 سيارة عن الفترة من 19/10/2017حتي 18/10/2018</t>
  </si>
  <si>
    <t>فاتورة رقم 10 تجديد رسوم خدمة التتبع عن 17 جهاز عن الفترة من إ19/10/2017إلي 18/10/2018</t>
  </si>
  <si>
    <t>فاتورة صيانة معدات رقم 3121 والفاتورة رقم 3124</t>
  </si>
  <si>
    <t>قيمة الصيانة بالفواتير أرقام 3302+3313</t>
  </si>
  <si>
    <t>صيانة بالفاتورة رقم 4970 بورشة الصيانة قسم المعدات</t>
  </si>
  <si>
    <t>فاتورة رقم 10406 قيمة عدد 15ضاغط 22 ياردة</t>
  </si>
  <si>
    <t>مسحوبات   الزيوت خلال شهر ديسمبر 2017</t>
  </si>
  <si>
    <t>الإجـــــــــــــــــــــــــــــــــــــــــــــمالي</t>
  </si>
  <si>
    <t>الرصــــــــــــــــــــــــــــــــــــــــــــــيد</t>
  </si>
  <si>
    <t>المحاسب</t>
  </si>
  <si>
    <t>رئيس الحسابات</t>
  </si>
  <si>
    <t xml:space="preserve">المدير المالي </t>
  </si>
  <si>
    <t>رقم 
القيد
ASCON</t>
  </si>
  <si>
    <t>إفتتاحي</t>
  </si>
  <si>
    <t>الرصيد 
Balance</t>
  </si>
  <si>
    <t>م.إدارية</t>
  </si>
  <si>
    <t>ملاحظات
Notes</t>
  </si>
  <si>
    <t>الشهر
Month</t>
  </si>
  <si>
    <t>التاريخ
Date</t>
  </si>
  <si>
    <t>دائنون</t>
  </si>
  <si>
    <t>21-02-2017</t>
  </si>
  <si>
    <t>رقم 
المستند</t>
  </si>
  <si>
    <t>292</t>
  </si>
  <si>
    <t>شيك رقم 94 الدفعة المقدمة لشراء 5 سيارات كبيرة من الحبتور</t>
  </si>
  <si>
    <t>21-01-2017</t>
  </si>
  <si>
    <t>20-02-2017</t>
  </si>
  <si>
    <t>14-06-2017</t>
  </si>
  <si>
    <t>22-09-2017</t>
  </si>
  <si>
    <t>11-10-2017</t>
  </si>
  <si>
    <t>سعي ناجي فهمي إيجار الهنجر و المصنع للقطاع التجاري</t>
  </si>
  <si>
    <t>43-07-2017</t>
  </si>
  <si>
    <t>زيوت</t>
  </si>
  <si>
    <t>130-140-80</t>
  </si>
  <si>
    <t>المشروع
Project</t>
  </si>
  <si>
    <t>عنيزة</t>
  </si>
  <si>
    <t>الرياض</t>
  </si>
  <si>
    <t>30-12-2017</t>
  </si>
  <si>
    <t>30-04-2017</t>
  </si>
  <si>
    <t>أصول</t>
  </si>
  <si>
    <t>صيانة حاويات</t>
  </si>
  <si>
    <t>قطع غيار</t>
  </si>
  <si>
    <t>صيانة معدات</t>
  </si>
  <si>
    <t>رسوم تتبع</t>
  </si>
  <si>
    <t>م</t>
  </si>
  <si>
    <t>النوع</t>
  </si>
  <si>
    <t>الموديل</t>
  </si>
  <si>
    <t>رقم اللوحة</t>
  </si>
  <si>
    <t>الحروف</t>
  </si>
  <si>
    <t>المالك</t>
  </si>
  <si>
    <t>تاريخ الشراء</t>
  </si>
  <si>
    <t>القيمة التاريخية</t>
  </si>
  <si>
    <t>القيمة الدفترية في 01-01-2017</t>
  </si>
  <si>
    <t>الماركة</t>
  </si>
  <si>
    <t>ضاغط</t>
  </si>
  <si>
    <t>الحالة</t>
  </si>
  <si>
    <t>هينو</t>
  </si>
  <si>
    <t>أ م د</t>
  </si>
  <si>
    <t>المشروع</t>
  </si>
  <si>
    <t>مدينة عنيزة</t>
  </si>
  <si>
    <t>أ ص ح</t>
  </si>
  <si>
    <t>ب أ ص</t>
  </si>
  <si>
    <t>روول أون روول أوف</t>
  </si>
  <si>
    <t>ميتسوبيشي</t>
  </si>
  <si>
    <t>أ ع ص</t>
  </si>
  <si>
    <t>غمارتين</t>
  </si>
  <si>
    <t>إيسوزو</t>
  </si>
  <si>
    <t>أ أ ح</t>
  </si>
  <si>
    <t>الحجم</t>
  </si>
  <si>
    <t>ب ح ر</t>
  </si>
  <si>
    <t>مدينة بريدة</t>
  </si>
  <si>
    <t>مدينة جازان</t>
  </si>
  <si>
    <t>رقم الشاسية</t>
  </si>
  <si>
    <t>ب ح ك</t>
  </si>
  <si>
    <t>7S00271</t>
  </si>
  <si>
    <t>متوسطة</t>
  </si>
  <si>
    <t>جيدة</t>
  </si>
  <si>
    <t>أ ك ل</t>
  </si>
  <si>
    <t>ب ح ص</t>
  </si>
  <si>
    <t>سيدان</t>
  </si>
  <si>
    <t xml:space="preserve">أكسنت </t>
  </si>
  <si>
    <t>هيونداي</t>
  </si>
  <si>
    <t>د أ ق</t>
  </si>
  <si>
    <t>جمس</t>
  </si>
  <si>
    <t>أ ه أ</t>
  </si>
  <si>
    <t>المدينة المنورة</t>
  </si>
  <si>
    <t>د ب ن</t>
  </si>
  <si>
    <t>KMHCT41B0HU191804</t>
  </si>
  <si>
    <t>JL6EXP6M5FK009009</t>
  </si>
  <si>
    <t>أ ي ه</t>
  </si>
  <si>
    <t>مؤسسة الرسين للصيانة</t>
  </si>
  <si>
    <t>شركة أحمد سليمان الفهاد و أولاده</t>
  </si>
  <si>
    <t>JHDGH8JJ5G1S10335</t>
  </si>
  <si>
    <t>JHDGH1JM3C1S18140</t>
  </si>
  <si>
    <t>مدينة جدة</t>
  </si>
  <si>
    <t>أ ن أ</t>
  </si>
  <si>
    <t>أ ح و</t>
  </si>
  <si>
    <t>ب ب ن</t>
  </si>
  <si>
    <t>مدينة ينبع</t>
  </si>
  <si>
    <t>JL6DRH6N08K019549</t>
  </si>
  <si>
    <t>JL6ESP6M08K020596</t>
  </si>
  <si>
    <t>JL6DRH6N18K018569</t>
  </si>
  <si>
    <t>JL6DRH6N38K019609</t>
  </si>
  <si>
    <t>فهاد بن سليمان الفهاد</t>
  </si>
  <si>
    <t>سئ جدا</t>
  </si>
  <si>
    <t>جديد (معطل)</t>
  </si>
  <si>
    <t>وانيت غمارة</t>
  </si>
  <si>
    <t>غمارة</t>
  </si>
  <si>
    <t>JHDGH8JJ2G1S10342</t>
  </si>
  <si>
    <t>JDGH1JM4A1S16412</t>
  </si>
  <si>
    <t>أ ع س</t>
  </si>
  <si>
    <t>MPAEL34C2AH522643</t>
  </si>
  <si>
    <t>17-06-2017</t>
  </si>
  <si>
    <t>2820-2835</t>
  </si>
  <si>
    <t>3121-3124</t>
  </si>
  <si>
    <t>3313-3302</t>
  </si>
  <si>
    <t>31-12-2017</t>
  </si>
  <si>
    <t>11-12-2017</t>
  </si>
  <si>
    <t>الجزء الأخير من حفر بئر بمصنع الكرفانات سند صرف صندوق 1783</t>
  </si>
  <si>
    <t>4711-4728-4498</t>
  </si>
  <si>
    <t>حساب القطاع التجاري من حفر البئر سندات صرف صندوق 4711-4728-4498</t>
  </si>
  <si>
    <t>17-10-2017</t>
  </si>
  <si>
    <r>
      <t xml:space="preserve">كشف حساب عن الفترة من  </t>
    </r>
    <r>
      <rPr>
        <b/>
        <u/>
        <sz val="18"/>
        <color theme="1"/>
        <rFont val="Calibri"/>
        <family val="2"/>
        <scheme val="minor"/>
      </rPr>
      <t>01-01-2017م</t>
    </r>
    <r>
      <rPr>
        <b/>
        <sz val="18"/>
        <color theme="1"/>
        <rFont val="Calibri"/>
        <family val="2"/>
        <scheme val="minor"/>
      </rPr>
      <t xml:space="preserve">  حتى  </t>
    </r>
    <r>
      <rPr>
        <b/>
        <u/>
        <sz val="18"/>
        <color theme="1"/>
        <rFont val="Calibri"/>
        <family val="2"/>
        <scheme val="minor"/>
      </rPr>
      <t>31-12-2017 م</t>
    </r>
    <r>
      <rPr>
        <b/>
        <sz val="18"/>
        <color theme="1"/>
        <rFont val="Calibri"/>
        <family val="2"/>
        <scheme val="minor"/>
      </rPr>
      <t xml:space="preserve">
</t>
    </r>
    <r>
      <rPr>
        <b/>
        <u/>
        <sz val="16"/>
        <color theme="1"/>
        <rFont val="Calibri"/>
        <family val="2"/>
        <scheme val="minor"/>
      </rPr>
      <t>شركة أحمد سليمان الفهاد وأولادة للمعدات والسيارات</t>
    </r>
  </si>
  <si>
    <t>التاريخ</t>
  </si>
  <si>
    <t>الإيصال</t>
  </si>
  <si>
    <t>قيد الأسكون</t>
  </si>
  <si>
    <t>نص الحركة</t>
  </si>
  <si>
    <t>الرئيسي</t>
  </si>
  <si>
    <t>الفرعي</t>
  </si>
  <si>
    <t>ملاحظات</t>
  </si>
  <si>
    <t>مدين</t>
  </si>
  <si>
    <t>دائن</t>
  </si>
  <si>
    <t>الرصيد</t>
  </si>
  <si>
    <t>‏1/‏1/‏17</t>
  </si>
  <si>
    <t>فتح</t>
  </si>
  <si>
    <t>رصيد أفتتاحي</t>
  </si>
  <si>
    <t>‏01/‏01/‏17</t>
  </si>
  <si>
    <t>البنك-060118</t>
  </si>
  <si>
    <t>شيك رقم ( 3411 ) شركة مؤسسة العيسائى للتجارة - شراء عدد 3 شاحنات - مؤسسة الرسين - 29-3-2016</t>
  </si>
  <si>
    <t>الدائنون المتنوعون</t>
  </si>
  <si>
    <t>الفهاد</t>
  </si>
  <si>
    <t>عام_031824</t>
  </si>
  <si>
    <t>مخالفات مرورية</t>
  </si>
  <si>
    <t>مصروفات تشغيل</t>
  </si>
  <si>
    <t>عام_031942</t>
  </si>
  <si>
    <t>مواد مصروفة من مستودع الاحساء</t>
  </si>
  <si>
    <t>عام_033047</t>
  </si>
  <si>
    <t>ايراد التميمى شهرى 8-9-2016 الاحساء</t>
  </si>
  <si>
    <t xml:space="preserve">المدينون </t>
  </si>
  <si>
    <t>مالك الجبري</t>
  </si>
  <si>
    <t>‏02/‏01/‏17</t>
  </si>
  <si>
    <t>البنك-058393</t>
  </si>
  <si>
    <t>سداد تأمينات اجتماعية - مؤسسة الرسين</t>
  </si>
  <si>
    <t>رسوم حكومية</t>
  </si>
  <si>
    <t>عام_032031</t>
  </si>
  <si>
    <t>قطع غيار مصروفة من الشبك</t>
  </si>
  <si>
    <t>‏03/‏01/‏17</t>
  </si>
  <si>
    <t>صندوق_021687</t>
  </si>
  <si>
    <t>تصديقات</t>
  </si>
  <si>
    <t>‏05/‏01/‏17</t>
  </si>
  <si>
    <t>البنك-058529</t>
  </si>
  <si>
    <t>شركة العلم لامن المعلومات - سداد خدمة مقيم - مؤسسة الرسين</t>
  </si>
  <si>
    <t>‏07/‏01/‏17</t>
  </si>
  <si>
    <t>عام_032030</t>
  </si>
  <si>
    <t>‏10/‏01/‏17</t>
  </si>
  <si>
    <t>PAY000006289</t>
  </si>
  <si>
    <t>صرف رواتب الرسين نقدى شهر 12-2016م - 10-1-2017م</t>
  </si>
  <si>
    <t>إيرادات أخرى</t>
  </si>
  <si>
    <t>رواتب</t>
  </si>
  <si>
    <t>عام_031934</t>
  </si>
  <si>
    <t>بيع سيارة رقم ب ا ص 3495</t>
  </si>
  <si>
    <t>أصول ثابتة</t>
  </si>
  <si>
    <t>سيارات تشغيل</t>
  </si>
  <si>
    <t>‏11/‏01/‏17</t>
  </si>
  <si>
    <t>البنك-058645</t>
  </si>
  <si>
    <t>50989 راتب شهر 1-2017</t>
  </si>
  <si>
    <t>البنك-058658</t>
  </si>
  <si>
    <t>عمولات بنكية</t>
  </si>
  <si>
    <t>‏15/‏01/‏17</t>
  </si>
  <si>
    <t>مورد_005565</t>
  </si>
  <si>
    <t>16-12-2016 :15-1-2017</t>
  </si>
  <si>
    <t>‏22/‏01/‏17</t>
  </si>
  <si>
    <t>البنك-058925</t>
  </si>
  <si>
    <t>عام_032335</t>
  </si>
  <si>
    <t>‏24/‏01/‏17</t>
  </si>
  <si>
    <t>عام_032242</t>
  </si>
  <si>
    <t>اطارات مصروفة من مستودع الاحساء</t>
  </si>
  <si>
    <t>‏26/‏01/‏17</t>
  </si>
  <si>
    <t>عام_032636</t>
  </si>
  <si>
    <t>‏29/‏01/‏17</t>
  </si>
  <si>
    <t>البنك-059207</t>
  </si>
  <si>
    <t>مورد_005568</t>
  </si>
  <si>
    <t>‏31/‏01/‏17</t>
  </si>
  <si>
    <t>PAY000007453</t>
  </si>
  <si>
    <t>24-01-2017</t>
  </si>
  <si>
    <t>قيد استحقاق الرواتب C0187 - شهر 1-2017م</t>
  </si>
  <si>
    <t xml:space="preserve">رواتب يناير </t>
  </si>
  <si>
    <t>البنك-059310</t>
  </si>
  <si>
    <t>تسويه_046135</t>
  </si>
  <si>
    <t>التأمينات الإجتماعية عن عام 2017</t>
  </si>
  <si>
    <t>تسويه_046139</t>
  </si>
  <si>
    <t>تسوية الإقامات عن عام 2017</t>
  </si>
  <si>
    <t>تسويه_046142</t>
  </si>
  <si>
    <t>تسوية التأمين الطبي لعام2017</t>
  </si>
  <si>
    <t>عام_032435</t>
  </si>
  <si>
    <t>تامين السيارات والمعدات</t>
  </si>
  <si>
    <t>م جدة_000430</t>
  </si>
  <si>
    <t>ايردات الرسين جده 1-2017</t>
  </si>
  <si>
    <t>مورد_005645</t>
  </si>
  <si>
    <t>ينبع_000251</t>
  </si>
  <si>
    <t>الرسين ينبع يناير 2017</t>
  </si>
  <si>
    <t>ينبع_000254</t>
  </si>
  <si>
    <t>مصروفات الرسين ينبع (محروقات4004+صيانه7615 نسبه10540)</t>
  </si>
  <si>
    <t>‏01/‏02/‏17</t>
  </si>
  <si>
    <t>عام_032302</t>
  </si>
  <si>
    <t>تامين عدد10 شاحنة هينو</t>
  </si>
  <si>
    <t>‏09/‏02/‏17</t>
  </si>
  <si>
    <t>صندوق_021915</t>
  </si>
  <si>
    <t>ميزانية عام 2016م</t>
  </si>
  <si>
    <t>‏15/‏02/‏17</t>
  </si>
  <si>
    <t>PAY000007482</t>
  </si>
  <si>
    <t>صرف رواتب الرسين نقدى شهر 1-2017م - 15-2-2017م</t>
  </si>
  <si>
    <t>البنك-059690</t>
  </si>
  <si>
    <t>‏16/‏02/‏17</t>
  </si>
  <si>
    <t>البنك-059932</t>
  </si>
  <si>
    <t>ايداع نقدى من / ابراهيم عبدالله سليمان العليان ( 400 حاويات الرسين + 2560 ايراد الوايتات بعنيزة )</t>
  </si>
  <si>
    <t>البنك-059964</t>
  </si>
  <si>
    <t>سداد فاتورة - مصلحة الزكاة والدخل - مؤسسة الرسين</t>
  </si>
  <si>
    <t>‏19/‏02/‏17</t>
  </si>
  <si>
    <t>البنك-059977</t>
  </si>
  <si>
    <t>سداد فاتورة البريد السعودى - مؤسسة الرسين</t>
  </si>
  <si>
    <t>مورد_005591</t>
  </si>
  <si>
    <t>قطع غيار مصروفة من مستودع الاحساء</t>
  </si>
  <si>
    <t>مورد_005592</t>
  </si>
  <si>
    <t>‏26/‏02/‏17</t>
  </si>
  <si>
    <t>عام_032637</t>
  </si>
  <si>
    <t>‏27/‏02/‏17</t>
  </si>
  <si>
    <t>البنك-060160</t>
  </si>
  <si>
    <t>‏28/‏02/‏17</t>
  </si>
  <si>
    <t>PAY000008997</t>
  </si>
  <si>
    <t>25-02-2017</t>
  </si>
  <si>
    <t>قيد استحقاق الرواتب C0187 - شهر 2-2017م</t>
  </si>
  <si>
    <t>تسويه_046137</t>
  </si>
  <si>
    <t>تسويه_046140</t>
  </si>
  <si>
    <t>تسويه_046143</t>
  </si>
  <si>
    <t>عام_032439</t>
  </si>
  <si>
    <t>عام_032557</t>
  </si>
  <si>
    <t>ايرادات الرسين جده فبراير 2017</t>
  </si>
  <si>
    <t>عام_032724</t>
  </si>
  <si>
    <t>منافسة جمع ونقل النفايات من المحلات والمنشات التجارية بالعزيزية</t>
  </si>
  <si>
    <t>منافسة جمع ونقل النفايات من المحلات والمنشات التجارية ابحر وجدة الجديدة</t>
  </si>
  <si>
    <t>منافسة جمع ونقل النفايات من المحلات والمنشات التجارية العزيزية</t>
  </si>
  <si>
    <t>توثيق 3 شهادات سعودة - غرفة تجارية</t>
  </si>
  <si>
    <t>ارسالية ( أوراق لمناقصة زراعة الدرب وزراعة العقيق )</t>
  </si>
  <si>
    <t>ينبع_000257</t>
  </si>
  <si>
    <t>ايرادات الرسين ينبع فبراير 2017</t>
  </si>
  <si>
    <t>ينبع_000259</t>
  </si>
  <si>
    <t>مصروفات الرسين (نسبة 10620 محوقات3136 صيانه2-2017</t>
  </si>
  <si>
    <t>‏01/‏03/‏17</t>
  </si>
  <si>
    <t>مورد_005627</t>
  </si>
  <si>
    <t>تأمين سيارات ومعدات 2017</t>
  </si>
  <si>
    <t>‏02/‏03/‏17</t>
  </si>
  <si>
    <t>عام_032430</t>
  </si>
  <si>
    <t>‏05/‏03/‏17</t>
  </si>
  <si>
    <t>صندوق_022029</t>
  </si>
  <si>
    <t>‏07/‏03/‏17</t>
  </si>
  <si>
    <t>البنك-060367</t>
  </si>
  <si>
    <t>796631 تصفية - حاويات الرسين</t>
  </si>
  <si>
    <t>‏12/‏03/‏17</t>
  </si>
  <si>
    <t>عام_032443</t>
  </si>
  <si>
    <t>‏14/‏03/‏17</t>
  </si>
  <si>
    <t>صندوق_022075</t>
  </si>
  <si>
    <t>عام_032476</t>
  </si>
  <si>
    <t>‏15/‏03/‏17</t>
  </si>
  <si>
    <t>مورد_005791</t>
  </si>
  <si>
    <t>فاتورة زين من 16-2-2017 الى 15-3-2017</t>
  </si>
  <si>
    <t>‏16/‏03/‏17</t>
  </si>
  <si>
    <t>البنك-060652</t>
  </si>
  <si>
    <t>عمولة ضمان ابتدائى رقم ( 6102844 ) مؤسسة الرسين</t>
  </si>
  <si>
    <t>البنك-060653</t>
  </si>
  <si>
    <t>عمولة ضمان ابتدائى رقم ( 6102879 ) مؤسسة الرسين</t>
  </si>
  <si>
    <t>‏19/‏03/‏17</t>
  </si>
  <si>
    <t>PAY000009060</t>
  </si>
  <si>
    <t>‏20/‏03/‏17</t>
  </si>
  <si>
    <t>مورد_005660</t>
  </si>
  <si>
    <t>تامين 2 سياره هيونداي توسان</t>
  </si>
  <si>
    <t>‏26/‏03/‏17</t>
  </si>
  <si>
    <t>صندوق_022112</t>
  </si>
  <si>
    <t>عام_032505</t>
  </si>
  <si>
    <t>تحمل واستهلاك حوادث طرف ثالث</t>
  </si>
  <si>
    <t>مورد_005695</t>
  </si>
  <si>
    <t>‏28/‏03/‏17</t>
  </si>
  <si>
    <t>عام_032583</t>
  </si>
  <si>
    <t>اطار مصروف من مستودع المدينة المنورة</t>
  </si>
  <si>
    <t>‏29/‏03/‏17</t>
  </si>
  <si>
    <t>صندوق_022122</t>
  </si>
  <si>
    <t>‏31/‏03/‏17</t>
  </si>
  <si>
    <t>PAY000009964</t>
  </si>
  <si>
    <t>23-03-2017</t>
  </si>
  <si>
    <t>قيد استحقاق الرواتب C0187 - شهر 3-2017م</t>
  </si>
  <si>
    <t>رواتب مارس</t>
  </si>
  <si>
    <t>PAY000010909</t>
  </si>
  <si>
    <t>قيد استحقاق مسير فرعى C0187 - شهر 3-2017م</t>
  </si>
  <si>
    <t>تسويه_046138</t>
  </si>
  <si>
    <t>تسويه_046141</t>
  </si>
  <si>
    <t>تسويه_046144</t>
  </si>
  <si>
    <t>تسويه_046164</t>
  </si>
  <si>
    <t>رواتب - خاويات الرياض</t>
  </si>
  <si>
    <t>ضيافه واعاشه - حاويات الرياض</t>
  </si>
  <si>
    <t>حقوق واجازات- حاويات الرياض</t>
  </si>
  <si>
    <t>اهلاك سيارات التشغيل - حاويات الرياض</t>
  </si>
  <si>
    <t>عام_032618</t>
  </si>
  <si>
    <t>م جدة_000437</t>
  </si>
  <si>
    <t>ايرادات الرسين مارس 2017</t>
  </si>
  <si>
    <t>مورد_005740</t>
  </si>
  <si>
    <t>ينبع_000261</t>
  </si>
  <si>
    <t>ايرادات الرسين ينبع 3-2017</t>
  </si>
  <si>
    <t>ينبع_000263</t>
  </si>
  <si>
    <t>مصروفات الرسين ينبع مارس 13493 نسبة 10734</t>
  </si>
  <si>
    <t>‏01/‏04/‏17</t>
  </si>
  <si>
    <t>مورد_005796</t>
  </si>
  <si>
    <t>فاتورة زين من 16-1-2017 الى 15-2-2017</t>
  </si>
  <si>
    <t>‏03/‏04/‏17</t>
  </si>
  <si>
    <t>البنك-061059</t>
  </si>
  <si>
    <t>البنك-061614</t>
  </si>
  <si>
    <t>ايداع شيك رقم ( 173547 ) تكافل الراجحى - فى حساب أبو عبد الله بالراجحى - تعويض عن حادث خاص بمؤسسة الرسين</t>
  </si>
  <si>
    <t>‏05/‏04/‏17</t>
  </si>
  <si>
    <t>عام_032619</t>
  </si>
  <si>
    <t>فلاتر مصروفة من مستودع الاحساء</t>
  </si>
  <si>
    <t>‏09/‏04/‏17</t>
  </si>
  <si>
    <t>PAY000009737</t>
  </si>
  <si>
    <t>البنك-061373</t>
  </si>
  <si>
    <t>‏11/‏04/‏17</t>
  </si>
  <si>
    <t>PAY000009301</t>
  </si>
  <si>
    <t>صرف رواتب الرسين نقدى شهر 2-2017م - 11-4-2017م</t>
  </si>
  <si>
    <t>‏15/‏04/‏17</t>
  </si>
  <si>
    <t>مورد_005795</t>
  </si>
  <si>
    <t>فاتورة زين من 16-3-2017 الى 15-4-2017</t>
  </si>
  <si>
    <t>‏17/‏04/‏17</t>
  </si>
  <si>
    <t>PAY000009851</t>
  </si>
  <si>
    <t>‏18/‏04/‏17</t>
  </si>
  <si>
    <t>PAY000010446</t>
  </si>
  <si>
    <t>‏19/‏04/‏17</t>
  </si>
  <si>
    <t>عام_032739</t>
  </si>
  <si>
    <t>اضافة تامين</t>
  </si>
  <si>
    <t>عام_032741</t>
  </si>
  <si>
    <t>عام_032742</t>
  </si>
  <si>
    <t>عام_033010</t>
  </si>
  <si>
    <t>اطارات صيني مصروفة من مستودع المدينة المنورة</t>
  </si>
  <si>
    <t>‏20/‏04/‏17</t>
  </si>
  <si>
    <t>البنك-061527</t>
  </si>
  <si>
    <t>‏22/‏04/‏17</t>
  </si>
  <si>
    <t>عام_033009</t>
  </si>
  <si>
    <t>‏23/‏04/‏17</t>
  </si>
  <si>
    <t>PAY000009980</t>
  </si>
  <si>
    <t>صرف رواتب حاويات الرسين نقدى شهر 3-2017م - 23-4-2017م</t>
  </si>
  <si>
    <t>البنك-061532</t>
  </si>
  <si>
    <t>مصلحة الزكاة والدخل - عن الفترة المنهية 31-12-2016 م - مؤسسة الرسين</t>
  </si>
  <si>
    <t>البنك-061540</t>
  </si>
  <si>
    <t>‏30/‏04/‏17</t>
  </si>
  <si>
    <t>PAY000010902</t>
  </si>
  <si>
    <t>قيد استحقاق الرواتب C0187 - شهر 4-2017م</t>
  </si>
  <si>
    <t>رواتب إبريل</t>
  </si>
  <si>
    <t>تسويه_046173</t>
  </si>
  <si>
    <t>تسويه_046176</t>
  </si>
  <si>
    <t>تسويه_046182</t>
  </si>
  <si>
    <t>عام_032771</t>
  </si>
  <si>
    <t>مخالفات مرورية 30-4-2017</t>
  </si>
  <si>
    <t>عام_033085</t>
  </si>
  <si>
    <t>م جدة_000448</t>
  </si>
  <si>
    <t>ايردات الرسين 4-2017</t>
  </si>
  <si>
    <t>ينبع_000265</t>
  </si>
  <si>
    <t>الرسين ينبع شهر 4-2017</t>
  </si>
  <si>
    <t>ينبع_000269</t>
  </si>
  <si>
    <t>الرسين ينبع 4-2017 مصروفات</t>
  </si>
  <si>
    <t>‏07/‏05/‏17</t>
  </si>
  <si>
    <t>صندوق_022297</t>
  </si>
  <si>
    <t>سند صرف 5705</t>
  </si>
  <si>
    <t>‏08/‏05/‏17</t>
  </si>
  <si>
    <t>عام_033007</t>
  </si>
  <si>
    <t>‏09/‏05/‏17</t>
  </si>
  <si>
    <t>البنك-061674</t>
  </si>
  <si>
    <t>‏10/‏05/‏17</t>
  </si>
  <si>
    <t>عام_033006</t>
  </si>
  <si>
    <t>‏11/‏05/‏17</t>
  </si>
  <si>
    <t>PAY000010512</t>
  </si>
  <si>
    <t>‏14/‏05/‏17</t>
  </si>
  <si>
    <t>البنك-061711</t>
  </si>
  <si>
    <t>‏15/‏05/‏17</t>
  </si>
  <si>
    <t>عام_033017</t>
  </si>
  <si>
    <t>عام_033374</t>
  </si>
  <si>
    <t>مواد مصروفة من مستودع المدينة المنورة</t>
  </si>
  <si>
    <t>مورد_005797</t>
  </si>
  <si>
    <t>فاتورة زين من 16-4-2017 الى 15-5-2017</t>
  </si>
  <si>
    <t>‏16/‏05/‏17</t>
  </si>
  <si>
    <t>PAY000011316</t>
  </si>
  <si>
    <t>‏18/‏05/‏17</t>
  </si>
  <si>
    <t>PAY000011095</t>
  </si>
  <si>
    <t>صرف رواتب الرسين نقدى شهر 3-2017م - 18-5-2017م</t>
  </si>
  <si>
    <t>PAY000011097</t>
  </si>
  <si>
    <t>عام_033375</t>
  </si>
  <si>
    <t>‏23/‏05/‏17</t>
  </si>
  <si>
    <t>صندوق_022395</t>
  </si>
  <si>
    <t>‏29/‏05/‏17</t>
  </si>
  <si>
    <t>عام_033290</t>
  </si>
  <si>
    <t>صرف قطع غيار من الشبك</t>
  </si>
  <si>
    <t>عام_033291</t>
  </si>
  <si>
    <t>كابينة هينو من الشبك</t>
  </si>
  <si>
    <t>عام_033292</t>
  </si>
  <si>
    <t>مورد_005806</t>
  </si>
  <si>
    <t>مواد مصروفة من المستودع المركزي</t>
  </si>
  <si>
    <t>‏30/‏05/‏17</t>
  </si>
  <si>
    <t>البنك-062375</t>
  </si>
  <si>
    <t>‏31/‏05/‏17</t>
  </si>
  <si>
    <t>PAY000011788</t>
  </si>
  <si>
    <t>قيد استحقاق الرواتب C0187 - شهر 5-2017م</t>
  </si>
  <si>
    <t>رواتب مايو</t>
  </si>
  <si>
    <t>تسويه_046174</t>
  </si>
  <si>
    <t>تسويه_046177</t>
  </si>
  <si>
    <t>تسويه_046183</t>
  </si>
  <si>
    <t>عام_033088</t>
  </si>
  <si>
    <t>مبرز _000086</t>
  </si>
  <si>
    <t>ايراد التميمى شهرى 1-2-2017</t>
  </si>
  <si>
    <t>ينبع_000272</t>
  </si>
  <si>
    <t>ايراد الرسين ينبع مايو 2017</t>
  </si>
  <si>
    <t>ينبع_000273</t>
  </si>
  <si>
    <t>مصروفات الرسين شهر 5-2017</t>
  </si>
  <si>
    <t>‏06/‏06/‏17</t>
  </si>
  <si>
    <t>البنك-062466</t>
  </si>
  <si>
    <t>شراء منافسة نظافة السهلى بجازان - الرسين</t>
  </si>
  <si>
    <t>قيد تعديلي</t>
  </si>
  <si>
    <t>‏14/‏06/‏17</t>
  </si>
  <si>
    <t>البنك-062545</t>
  </si>
  <si>
    <t>قاعدة حمام للسكن ، خلاط سباكة - الرسين - سمير موسى</t>
  </si>
  <si>
    <t>البنك-062548</t>
  </si>
  <si>
    <t>شركة العلم لأمن المعلومات - سداد فاتورة خاصة بتجديد الاقامات لمؤسسة الرسين</t>
  </si>
  <si>
    <t>‏17/‏06/‏17</t>
  </si>
  <si>
    <t>PAY000011218</t>
  </si>
  <si>
    <t>‏18/‏06/‏17</t>
  </si>
  <si>
    <t>PAY000012068</t>
  </si>
  <si>
    <t>عام_033488</t>
  </si>
  <si>
    <t>اطارات مصروفة من مستودع بلدية العزيزية بجدة</t>
  </si>
  <si>
    <t>‏19/‏06/‏17</t>
  </si>
  <si>
    <t>PAY000012249</t>
  </si>
  <si>
    <t>صرف رواتب الرسين نقدى شهر 5-2017م - 19-6-2017م</t>
  </si>
  <si>
    <t>البنك-062595</t>
  </si>
  <si>
    <t>اصدار بطاقات صراف اتقان جديدة</t>
  </si>
  <si>
    <t>‏20/‏06/‏17</t>
  </si>
  <si>
    <t>البنك-062612</t>
  </si>
  <si>
    <t>‏30/‏06/‏17</t>
  </si>
  <si>
    <t>PAY000012819</t>
  </si>
  <si>
    <t>18-06-2017</t>
  </si>
  <si>
    <t>قيد استحقاق مسير فرعى C0187 - شهر 6-2017م</t>
  </si>
  <si>
    <t>رواتب يونيو</t>
  </si>
  <si>
    <t>PAY000014359</t>
  </si>
  <si>
    <t>قيد استحقاق الرواتب C0187 - شهر 6-2017م</t>
  </si>
  <si>
    <t>البنك-062164</t>
  </si>
  <si>
    <t>عمولة ضمان 6107048 الرسيم نظافة السهى</t>
  </si>
  <si>
    <t>تسويه_046175</t>
  </si>
  <si>
    <t>تسويه_046178</t>
  </si>
  <si>
    <t>تسويه_046184</t>
  </si>
  <si>
    <t>تسويه_046325</t>
  </si>
  <si>
    <t>اهلاك سيارات التشغيل النصف الاول لعام 2017</t>
  </si>
  <si>
    <t>عام_033091</t>
  </si>
  <si>
    <t>م جدة_000467</t>
  </si>
  <si>
    <t>الرسين جده 6-2017</t>
  </si>
  <si>
    <t>ينبع_000277</t>
  </si>
  <si>
    <t>ايردات الرسين ينبع 6-2017</t>
  </si>
  <si>
    <t>ينبع_000278</t>
  </si>
  <si>
    <t>مصروفات الرسين ينبع 6-2017(9002مصروفت +نسبة 10800)</t>
  </si>
  <si>
    <t>‏02/‏07/‏17</t>
  </si>
  <si>
    <t>PAY000012360</t>
  </si>
  <si>
    <t>مورد_005892</t>
  </si>
  <si>
    <t>‏03/‏07/‏17</t>
  </si>
  <si>
    <t>PAY000012923</t>
  </si>
  <si>
    <t>صندوق_022527</t>
  </si>
  <si>
    <t>‏04/‏07/‏17</t>
  </si>
  <si>
    <t>عام_033684</t>
  </si>
  <si>
    <t>بطارية مصروفة من مستودع المدينة المنورة</t>
  </si>
  <si>
    <t>‏06/‏07/‏17</t>
  </si>
  <si>
    <t>صندوق_022536</t>
  </si>
  <si>
    <t>‏08/‏07/‏17</t>
  </si>
  <si>
    <t>عام_033681</t>
  </si>
  <si>
    <t>اطارات مصروفة من مستودع المدينة المنورة</t>
  </si>
  <si>
    <t>‏09/‏07/‏17</t>
  </si>
  <si>
    <t>عام_033678</t>
  </si>
  <si>
    <t>اطارات مصروفة من مستودع العزيزية</t>
  </si>
  <si>
    <t>‏17/‏07/‏17</t>
  </si>
  <si>
    <t>عام_033636</t>
  </si>
  <si>
    <t>‏19/‏07/‏17</t>
  </si>
  <si>
    <t>مورد_006012</t>
  </si>
  <si>
    <t>‏21/‏07/‏17</t>
  </si>
  <si>
    <t>PAY000013853</t>
  </si>
  <si>
    <t>‏23/‏07/‏17</t>
  </si>
  <si>
    <t>صندوق_022600</t>
  </si>
  <si>
    <t>‏26/‏07/‏17</t>
  </si>
  <si>
    <t>PAY000013736</t>
  </si>
  <si>
    <t>البنك-062975</t>
  </si>
  <si>
    <t>حوالة من الراجحى الى / مؤسسة الرسين للصيانة</t>
  </si>
  <si>
    <t>صندوق_022617</t>
  </si>
  <si>
    <t>عام_033869</t>
  </si>
  <si>
    <t>عام_033870</t>
  </si>
  <si>
    <t>‏29/‏07/‏17</t>
  </si>
  <si>
    <t>عام_033933</t>
  </si>
  <si>
    <t>‏30/‏07/‏17</t>
  </si>
  <si>
    <t>البنك-063341</t>
  </si>
  <si>
    <t>عمولة تعديل خطاب ضمان رقم ( 6108259 ) الرسين</t>
  </si>
  <si>
    <t>‏31/‏07/‏17</t>
  </si>
  <si>
    <t>PAY000015989</t>
  </si>
  <si>
    <t>55-07-2017</t>
  </si>
  <si>
    <t>قيد استحقاق الرواتب C0187 - شهر7-2017م</t>
  </si>
  <si>
    <t>رواتب يوليو</t>
  </si>
  <si>
    <t>البنك-063022</t>
  </si>
  <si>
    <t>عدد 13 طفاية حريق الرسين بالرياض - سمير موسى</t>
  </si>
  <si>
    <t>تسويه_046222</t>
  </si>
  <si>
    <t>تسويه_046225</t>
  </si>
  <si>
    <t>تسويه_046228</t>
  </si>
  <si>
    <t>عام_034266</t>
  </si>
  <si>
    <t>م جدة_000474</t>
  </si>
  <si>
    <t>عهدة الرسين جده شهر 7-2017</t>
  </si>
  <si>
    <t>مبرز _000096</t>
  </si>
  <si>
    <t>ايراد التميمى الاحساء شهر 3/2017</t>
  </si>
  <si>
    <t>ينبع_000281</t>
  </si>
  <si>
    <t>ايراد الرسين ينبع يوليو 2017</t>
  </si>
  <si>
    <t>ينبع_000283</t>
  </si>
  <si>
    <t>مصروفات الرسين (10708 ديزل وصيانه+11005 نسبه)</t>
  </si>
  <si>
    <t>‏02/‏08/‏17</t>
  </si>
  <si>
    <t>صندوق_022640</t>
  </si>
  <si>
    <t>شفط بيارات</t>
  </si>
  <si>
    <t>‏03/‏08/‏17</t>
  </si>
  <si>
    <t>البنك-063179</t>
  </si>
  <si>
    <t>حوالة بالراجحى - مؤسسة الرسين - ايرادات خارجية</t>
  </si>
  <si>
    <t>عام_033998</t>
  </si>
  <si>
    <t>‏06/‏08/‏17</t>
  </si>
  <si>
    <t>عام_033999</t>
  </si>
  <si>
    <t>‏07/‏08/‏17</t>
  </si>
  <si>
    <t>صندوق_022658</t>
  </si>
  <si>
    <t>‏08/‏08/‏17</t>
  </si>
  <si>
    <t>PAY000014569</t>
  </si>
  <si>
    <t>صرف رواتب حاويات الرسين نقدى شهر 6-2017م - 8-8-2017م</t>
  </si>
  <si>
    <t>‏10/‏08/‏17</t>
  </si>
  <si>
    <t>عام_033997</t>
  </si>
  <si>
    <t>‏13/‏08/‏17</t>
  </si>
  <si>
    <t>عام_033987</t>
  </si>
  <si>
    <t>مواد مصروفة من الشبك</t>
  </si>
  <si>
    <t>عام_033988</t>
  </si>
  <si>
    <t>عام_033989</t>
  </si>
  <si>
    <t>‏15/‏08/‏17</t>
  </si>
  <si>
    <t>البنك-063348</t>
  </si>
  <si>
    <t>‏16/‏08/‏17</t>
  </si>
  <si>
    <t>PAY000013898</t>
  </si>
  <si>
    <t>PAY000014518</t>
  </si>
  <si>
    <t>PAY000015710</t>
  </si>
  <si>
    <t>عام_034076</t>
  </si>
  <si>
    <t>مبلغ ايجار شقة عن 6 اشهر مناصفة بين شركة جون وقطاع النشاءات</t>
  </si>
  <si>
    <t>عام_034451</t>
  </si>
  <si>
    <t>‏17/‏08/‏17</t>
  </si>
  <si>
    <t>البنك-063381</t>
  </si>
  <si>
    <t>اتعاب استخراج لوحة بدل فاقد للسيارة ( أ ح و 2644 )</t>
  </si>
  <si>
    <t>عام_034152</t>
  </si>
  <si>
    <t>‏21/‏08/‏17</t>
  </si>
  <si>
    <t>عام_034151</t>
  </si>
  <si>
    <t>‏23/‏08/‏17</t>
  </si>
  <si>
    <t>البنك-063445</t>
  </si>
  <si>
    <t>ايداع شيك رقم ( 299 ) مؤسسة الرسين</t>
  </si>
  <si>
    <t>البنك-063469</t>
  </si>
  <si>
    <t>‏28/‏08/‏17</t>
  </si>
  <si>
    <t>البنك-063650</t>
  </si>
  <si>
    <t>عدد 2 كفر هنكوك للسيارة اكسنت رقم ( 4863 ) - سمير موسى</t>
  </si>
  <si>
    <t>‏31/‏08/‏17</t>
  </si>
  <si>
    <t>PAY000015936</t>
  </si>
  <si>
    <t>23-08-2017</t>
  </si>
  <si>
    <t>قيد استحقاق مسير فرعى C 0187 - شهر 8-2017م</t>
  </si>
  <si>
    <t>رواتب أغسطس</t>
  </si>
  <si>
    <t>PAY000016673</t>
  </si>
  <si>
    <t>قيد استحقاق الرواتب C0187 - شهر 8-2017م</t>
  </si>
  <si>
    <t>تسويه_046223</t>
  </si>
  <si>
    <t>تسويه_046226</t>
  </si>
  <si>
    <t>تسويه_046229</t>
  </si>
  <si>
    <t>عام_034270</t>
  </si>
  <si>
    <t>م جدة_000484</t>
  </si>
  <si>
    <t>ايرادات الرسين جده شهر 8-2017</t>
  </si>
  <si>
    <t>مبرز _000099</t>
  </si>
  <si>
    <t>ايراد التميمى شهرى 4-5-2017</t>
  </si>
  <si>
    <t>ينبع_000286</t>
  </si>
  <si>
    <t>ايرادات الرسين ينبع 8-2017</t>
  </si>
  <si>
    <t>ينبع_000288</t>
  </si>
  <si>
    <t>مصروفات الرسين 11413مصروفات+نسبه10885</t>
  </si>
  <si>
    <t>‏07/‏09/‏17</t>
  </si>
  <si>
    <t>البنك-063693</t>
  </si>
  <si>
    <t>عمولة تعديل ضمان رقم ( 6109524 ) مؤسسة الرسين</t>
  </si>
  <si>
    <t>‏11/‏09/‏17</t>
  </si>
  <si>
    <t>مورد_006122</t>
  </si>
  <si>
    <t>اطارات مصروفة من مستودع العزيزية بجدة</t>
  </si>
  <si>
    <t>‏14/‏09/‏17</t>
  </si>
  <si>
    <t>PAY000015937</t>
  </si>
  <si>
    <t>صرف رواتب الرسين نقدى شهر 8-2017م - 14-9-2017م</t>
  </si>
  <si>
    <t>مورد_006123</t>
  </si>
  <si>
    <t>طلمبة هيدروليك مصروفة من مستودع العزيزية بجدة</t>
  </si>
  <si>
    <t>‏15/‏09/‏17</t>
  </si>
  <si>
    <t>PAY000015935</t>
  </si>
  <si>
    <t>البنك-063763</t>
  </si>
  <si>
    <t>تأمينات اجتماعية - مؤسسة الرسين</t>
  </si>
  <si>
    <t>‏17/‏09/‏17</t>
  </si>
  <si>
    <t>البنك-063826</t>
  </si>
  <si>
    <t>‏18/‏09/‏17</t>
  </si>
  <si>
    <t>البنك-063783</t>
  </si>
  <si>
    <t>سداد عدد 4 مخالفات مرورية خاصة بالرسين - تم سدادها نقدا بالصندوق</t>
  </si>
  <si>
    <t>صندوق_022814</t>
  </si>
  <si>
    <t>مستهلكات سباكة</t>
  </si>
  <si>
    <t>صندوق_022815</t>
  </si>
  <si>
    <t>‏19/‏09/‏17</t>
  </si>
  <si>
    <t>مورد_006121</t>
  </si>
  <si>
    <t>بطاريات مصروفة من مستودع المدينة</t>
  </si>
  <si>
    <t>‏21/‏09/‏17</t>
  </si>
  <si>
    <t>PAY000016118</t>
  </si>
  <si>
    <t>صرف رواتب الرسين نقدى شهر 7-2017م - 21-9-2017م</t>
  </si>
  <si>
    <t>البنك-063985</t>
  </si>
  <si>
    <t>ايداع شيك رقم ( 356 ) مؤسسة الرسين</t>
  </si>
  <si>
    <t>البنك-064021</t>
  </si>
  <si>
    <t>‏25/‏09/‏17</t>
  </si>
  <si>
    <t>PAY000016207</t>
  </si>
  <si>
    <t>PAY000016208</t>
  </si>
  <si>
    <t>PAY000016209</t>
  </si>
  <si>
    <t>Loan (CashLoan) for employee (85597, MILAN MIAH KARIM MIAH)</t>
  </si>
  <si>
    <t>PAY000016210</t>
  </si>
  <si>
    <t>Loan (CashLoan) for employee (85596, MD EMRAN HOSSEN)</t>
  </si>
  <si>
    <t>PAY000016211</t>
  </si>
  <si>
    <t>Loan (CashLoan) for employee (85595, MOHAMMAD SHOFIQUL ISLAM MOHAMMAD)</t>
  </si>
  <si>
    <t>PAY000016212</t>
  </si>
  <si>
    <t>Loan (CashLoan) for employee (95778, MIZANUR RAHMAN ABU KALAM)</t>
  </si>
  <si>
    <t>‏26/‏09/‏17</t>
  </si>
  <si>
    <t>PAY000016007</t>
  </si>
  <si>
    <t>‏29/‏09/‏17</t>
  </si>
  <si>
    <t>PAY000016345</t>
  </si>
  <si>
    <t>‏30/‏09/‏17</t>
  </si>
  <si>
    <t>PAY000016313</t>
  </si>
  <si>
    <t>29-09-2017</t>
  </si>
  <si>
    <t>قيد استحقاق مسير فرعى C0187 - شهر 9-2017م</t>
  </si>
  <si>
    <t>رواتب سبتمبر</t>
  </si>
  <si>
    <t>PAY000017446</t>
  </si>
  <si>
    <t>قيد استحقاق الرواتب C0187- شهر 9-2017م</t>
  </si>
  <si>
    <t>تسويه_046224</t>
  </si>
  <si>
    <t>تسويه_046227</t>
  </si>
  <si>
    <t>تسويه_046230</t>
  </si>
  <si>
    <t>عام_034274</t>
  </si>
  <si>
    <t>عام_035425</t>
  </si>
  <si>
    <t>منافسة نظافة مدينة جازان الصناعية</t>
  </si>
  <si>
    <t>مأمورية منافسة نظافة الموسم</t>
  </si>
  <si>
    <t>رسوم توثيق غرفة تجارية</t>
  </si>
  <si>
    <t>م جدة_000492</t>
  </si>
  <si>
    <t>ايراد الرسين جده 9/2017</t>
  </si>
  <si>
    <t>مورد_006201</t>
  </si>
  <si>
    <t>ينبع_000290</t>
  </si>
  <si>
    <t>مصروفات الرسين محروقات13843 +نسبة 10770</t>
  </si>
  <si>
    <t>‏01/‏10/‏17</t>
  </si>
  <si>
    <t>PAY000022604</t>
  </si>
  <si>
    <t>قيد استحقاق مسير فرعى C0187- شهر 8-2017م</t>
  </si>
  <si>
    <t>PAY000022605</t>
  </si>
  <si>
    <t>قيد استحقاق مسير فرعى C0187- شهر 9-2017م</t>
  </si>
  <si>
    <t>البنك-064159</t>
  </si>
  <si>
    <t>تسويه_046291</t>
  </si>
  <si>
    <t>رواتب اساسيه النصف الثانى من عام 2017</t>
  </si>
  <si>
    <t>بدل سكن النصف الثانى من عام 2017</t>
  </si>
  <si>
    <t>اهلاك سيارات التشغيل النصف الثانى من عام 2017</t>
  </si>
  <si>
    <t>عام_034341</t>
  </si>
  <si>
    <t>عقد شراء عدد 2 سيارة أ م د 2439 - أ م م 6277</t>
  </si>
  <si>
    <t>‏03/‏10/‏17</t>
  </si>
  <si>
    <t>مورد_006136</t>
  </si>
  <si>
    <t>مورد_006137</t>
  </si>
  <si>
    <t>‏06/‏10/‏17</t>
  </si>
  <si>
    <t>PAY000017588</t>
  </si>
  <si>
    <t>‏08/‏10/‏17</t>
  </si>
  <si>
    <t>عام_034398</t>
  </si>
  <si>
    <t>‏09/‏10/‏17</t>
  </si>
  <si>
    <t>صندوق_022933</t>
  </si>
  <si>
    <t>سند قبض رقم - 1360</t>
  </si>
  <si>
    <t>‏11/‏10/‏17</t>
  </si>
  <si>
    <t>البنك-064513</t>
  </si>
  <si>
    <t>البنك-064516</t>
  </si>
  <si>
    <t>‏15/‏10/‏17</t>
  </si>
  <si>
    <t>البنك-064567</t>
  </si>
  <si>
    <t>كراسة شروط منافسة قرى القريات - مؤسسة الرسين</t>
  </si>
  <si>
    <t>عام_034421</t>
  </si>
  <si>
    <t>مخالفات مرورية خاصة بحاويات الرسين</t>
  </si>
  <si>
    <t>‏16/‏10/‏17</t>
  </si>
  <si>
    <t>PAY000016692</t>
  </si>
  <si>
    <t>البنك-064596</t>
  </si>
  <si>
    <t>‏17/‏10/‏17</t>
  </si>
  <si>
    <t>PAY000017107</t>
  </si>
  <si>
    <t>صرف رواتب الرسين نقدى شهر 8-2017م - 17-10-2017م</t>
  </si>
  <si>
    <t>صندوق_023136</t>
  </si>
  <si>
    <t>اصدار سجلات استشارات زراعية وبيئية</t>
  </si>
  <si>
    <t>‏19/‏10/‏17</t>
  </si>
  <si>
    <t>عام_034867</t>
  </si>
  <si>
    <t>اطارات مصروفة من المستودع المركزي</t>
  </si>
  <si>
    <t>‏22/‏10/‏17</t>
  </si>
  <si>
    <t>عام_034640</t>
  </si>
  <si>
    <t>رسوم تجديد رخص سيارات + الاتعاب - عبد الله عثمان</t>
  </si>
  <si>
    <t>‏23/‏10/‏17</t>
  </si>
  <si>
    <t>صندوق_023015</t>
  </si>
  <si>
    <t>تركيب طقم سير ربلات ومسمار صندوق ضاغط</t>
  </si>
  <si>
    <t>صندوق_023024</t>
  </si>
  <si>
    <t>‏24/‏10/‏17</t>
  </si>
  <si>
    <t>البنك-064400</t>
  </si>
  <si>
    <t>عمولة تمديد ضمان ابتدائى رقم ( 6109524 ) مؤسسة الرسين</t>
  </si>
  <si>
    <t>‏25/‏10/‏17</t>
  </si>
  <si>
    <t>البنك-064749</t>
  </si>
  <si>
    <t>‏26/‏10/‏17</t>
  </si>
  <si>
    <t>البنك-064415</t>
  </si>
  <si>
    <t>عمولة اصدار ضمان ابتدائى رقم ( 6111329 ) مؤسسة الرسين</t>
  </si>
  <si>
    <t>البنك-064416</t>
  </si>
  <si>
    <t>شيك رقم ( 306 ) مكتب نجوم الهندسى للاستشارات الهندسية - الدفعة الاخيرة من تصنيف مؤسسة الرسين</t>
  </si>
  <si>
    <t>عام_034922</t>
  </si>
  <si>
    <t>‏30/‏10/‏17</t>
  </si>
  <si>
    <t>PAY000017734</t>
  </si>
  <si>
    <t>صرف رواتب الرسين نقدى شهر 9-2017م - 30-10-2017م</t>
  </si>
  <si>
    <t>PAY000017805</t>
  </si>
  <si>
    <t>مورد_006352</t>
  </si>
  <si>
    <t>‏31/‏10/‏17</t>
  </si>
  <si>
    <t>PAY000019548</t>
  </si>
  <si>
    <t>18-10-2017</t>
  </si>
  <si>
    <t>قيد استحقاق الرواتب C0187 - شهر 10-2017م</t>
  </si>
  <si>
    <t xml:space="preserve">رواتب أكتوبر </t>
  </si>
  <si>
    <t>PAY000020492</t>
  </si>
  <si>
    <t>قيد استحقاق الرواتب C0187 - شهر 10-2017م -100617</t>
  </si>
  <si>
    <t>PAY000022606</t>
  </si>
  <si>
    <t>قيد استحقاق مسير فرعى C0187- شهر 10-2017م</t>
  </si>
  <si>
    <t>تسويه_046260</t>
  </si>
  <si>
    <t>تسويه_046264</t>
  </si>
  <si>
    <t>تسويه_046267</t>
  </si>
  <si>
    <t>عام_035273</t>
  </si>
  <si>
    <t>م جدة_000495</t>
  </si>
  <si>
    <t>ايراد الرسين جده2017/10</t>
  </si>
  <si>
    <t>ينبع_000294</t>
  </si>
  <si>
    <t>الرسين ينبع 10/2017</t>
  </si>
  <si>
    <t>ينبع_000296</t>
  </si>
  <si>
    <t>مصروفات الرسين ينبع 2017/</t>
  </si>
  <si>
    <t>‏01/‏11/‏17</t>
  </si>
  <si>
    <t>صندوق_023245</t>
  </si>
  <si>
    <t>مورد_006389</t>
  </si>
  <si>
    <t>فاتورة زين من 16-5-2017 الى 15-6-2017</t>
  </si>
  <si>
    <t>مورد_006390</t>
  </si>
  <si>
    <t>فاتورة زين من 16-6-2017 الى 15-7-2017</t>
  </si>
  <si>
    <t>مورد_006391</t>
  </si>
  <si>
    <t>فاتورة زين من 16-7-2017 الى 15-8-2017</t>
  </si>
  <si>
    <t>مورد_006394</t>
  </si>
  <si>
    <t>فاتورة زين من 16-9-2017 الى 15-10-2017</t>
  </si>
  <si>
    <t>مورد_006395</t>
  </si>
  <si>
    <t>‏02/‏11/‏17</t>
  </si>
  <si>
    <t>البنك-065097</t>
  </si>
  <si>
    <t>‏08/‏11/‏17</t>
  </si>
  <si>
    <t>البنك-064895</t>
  </si>
  <si>
    <t>شيك مصدق رقم ( 00286549 )فهد زيد محمد العبودى - قيمة شراء أرض لشركة الرسين</t>
  </si>
  <si>
    <t>‏12/‏11/‏17</t>
  </si>
  <si>
    <t>عام_035102</t>
  </si>
  <si>
    <t>‏21/‏11/‏17</t>
  </si>
  <si>
    <t>PAY000019245</t>
  </si>
  <si>
    <t>صندوق_023355</t>
  </si>
  <si>
    <t>‏23/‏11/‏17</t>
  </si>
  <si>
    <t>صندوق_023366</t>
  </si>
  <si>
    <t>‏27/‏11/‏17</t>
  </si>
  <si>
    <t>البنك-065016</t>
  </si>
  <si>
    <t>شيك رقم ( 393 ) ابراهيم عبد الله على الباحوث - مقابل سعى أرض الرسين (13500 متر ) الرسين</t>
  </si>
  <si>
    <t>البنك-065318</t>
  </si>
  <si>
    <t>حوالة بالراجحى من / شركة تقنية البيئة الدولية المحدودة - تأجير حاويات الرسين بعنيزة</t>
  </si>
  <si>
    <t>‏28/‏11/‏17</t>
  </si>
  <si>
    <t>صندوق_023384</t>
  </si>
  <si>
    <t>تجديد رخصه سير</t>
  </si>
  <si>
    <t>‏29/‏11/‏17</t>
  </si>
  <si>
    <t>البنك-065344</t>
  </si>
  <si>
    <t>نظام قرار الشركاء - شركة الرسين</t>
  </si>
  <si>
    <t>البنك-065354</t>
  </si>
  <si>
    <t>عام_035575</t>
  </si>
  <si>
    <t>فلتر زيت مصروف من مستودع المدينة المنورة</t>
  </si>
  <si>
    <t>‏30/‏11/‏17</t>
  </si>
  <si>
    <t>PAY000019816</t>
  </si>
  <si>
    <t>27-11-2017</t>
  </si>
  <si>
    <t>قيد استحقاق الرواتب C0187 - شهر 11-2017م</t>
  </si>
  <si>
    <t>رواتب نوفمبر</t>
  </si>
  <si>
    <t>PAY000020493</t>
  </si>
  <si>
    <t>قيد استحقاق الرواتب C0187 - شهر 11-2017م -100617</t>
  </si>
  <si>
    <t>PAY000022603</t>
  </si>
  <si>
    <t>قيد استحقاق مسير فرعى C0187- شهر 11-2017م</t>
  </si>
  <si>
    <t>تسويه_046262</t>
  </si>
  <si>
    <t>تسويه_046265</t>
  </si>
  <si>
    <t>تسويه_046268</t>
  </si>
  <si>
    <t>عام_035278</t>
  </si>
  <si>
    <t>م جدة_000510</t>
  </si>
  <si>
    <t>الرسين جده 2017/11</t>
  </si>
  <si>
    <t>مورد_006422</t>
  </si>
  <si>
    <t>ينبع_000302</t>
  </si>
  <si>
    <t>الرسين ينبع 2017/11</t>
  </si>
  <si>
    <t>‏01/‏12/‏17</t>
  </si>
  <si>
    <t>عام_035576</t>
  </si>
  <si>
    <t>مورد_006398</t>
  </si>
  <si>
    <t>فاتورة زين من 16-8-2017 الى 15-9-2017</t>
  </si>
  <si>
    <t>‏03/‏12/‏17</t>
  </si>
  <si>
    <t>عام_035480</t>
  </si>
  <si>
    <t>DHL</t>
  </si>
  <si>
    <t>عام_035577</t>
  </si>
  <si>
    <t>‏05/‏12/‏17</t>
  </si>
  <si>
    <t>مورد_006317</t>
  </si>
  <si>
    <t>تحمل قيمة حادث السيارة أ ي ه 6180 - حمولة زائدة</t>
  </si>
  <si>
    <t>تحمل قيمة حادث السيارة أ ي ه 6180 - لا يوجد رخصة</t>
  </si>
  <si>
    <t>تحمل قيمة حادث السيارة أ ي ك 4212- لا يوجد رخصة</t>
  </si>
  <si>
    <t>‏06/‏12/‏17</t>
  </si>
  <si>
    <t>البنك-065423</t>
  </si>
  <si>
    <t>وزارة التجارة والصناعة - ربط مؤسسة الرسين الرئيسى</t>
  </si>
  <si>
    <t>عام_035482</t>
  </si>
  <si>
    <t>عام_035578</t>
  </si>
  <si>
    <t>‏07/‏12/‏17</t>
  </si>
  <si>
    <t>البنك-065438</t>
  </si>
  <si>
    <t>‏09/‏12/‏17</t>
  </si>
  <si>
    <t>مورد_006349</t>
  </si>
  <si>
    <t>‏10/‏12/‏17</t>
  </si>
  <si>
    <t>البنك-065442</t>
  </si>
  <si>
    <t>ايداع شيك رقم ( 309 ) مؤسسة الرسين للصيانة</t>
  </si>
  <si>
    <t>‏11/‏12/‏17</t>
  </si>
  <si>
    <t>البنك-065596</t>
  </si>
  <si>
    <t>شيك مصدق رقم ( 5219 ) فهد زيد محمد العبودى - باقى قيمة شراء أرض لشركة الرسين ( 6750 متر )</t>
  </si>
  <si>
    <t>البنك-065916</t>
  </si>
  <si>
    <t>‏12/‏12/‏17</t>
  </si>
  <si>
    <t>البنك-065481</t>
  </si>
  <si>
    <t>البنك-065482</t>
  </si>
  <si>
    <t>‏13/‏12/‏17</t>
  </si>
  <si>
    <t>البنك-065501</t>
  </si>
  <si>
    <t>‏14/‏12/‏17</t>
  </si>
  <si>
    <t>عام_035679</t>
  </si>
  <si>
    <t>عام_035680</t>
  </si>
  <si>
    <t>‏15/‏12/‏17</t>
  </si>
  <si>
    <t>PAY000020338</t>
  </si>
  <si>
    <t>PAY000020409</t>
  </si>
  <si>
    <t>مورد_006396</t>
  </si>
  <si>
    <t>فاتورة زين من 16-11-2017 الى 15-12-2017</t>
  </si>
  <si>
    <t>‏18/‏12/‏17</t>
  </si>
  <si>
    <t>البنك-065527</t>
  </si>
  <si>
    <t>ايداع شيك رقم ( 310 ) مؤسسة الرسين للصيانة</t>
  </si>
  <si>
    <t>البنك-065771</t>
  </si>
  <si>
    <t>شيك رقم ( 449 ) ابراهيم عبد الله الباحوث - باقى سعى شراء أرض الرسين</t>
  </si>
  <si>
    <t>‏19/‏12/‏17</t>
  </si>
  <si>
    <t>PAY000020463</t>
  </si>
  <si>
    <t>صرف رواتب الرسين نقدى شهر 10-2017م - 19-12-2017م</t>
  </si>
  <si>
    <t>‏20/‏12/‏17</t>
  </si>
  <si>
    <t>عام_035678</t>
  </si>
  <si>
    <t>‏24/‏12/‏17</t>
  </si>
  <si>
    <t>البنك-065808</t>
  </si>
  <si>
    <t>الغاء شيك رقم ( 306 ) مكتب نجوم الهندسة للاستشارات الهندسية - مؤسسة الرسين</t>
  </si>
  <si>
    <t>‏25/‏12/‏17</t>
  </si>
  <si>
    <t>البنك-065727</t>
  </si>
  <si>
    <t>‏26/‏12/‏17</t>
  </si>
  <si>
    <t>صندوق_023181</t>
  </si>
  <si>
    <t>لوحة اعلانات لمؤسسة الرسين</t>
  </si>
  <si>
    <t>عام_035748</t>
  </si>
  <si>
    <t>‏31/‏12/‏17</t>
  </si>
  <si>
    <t>PAY000022418</t>
  </si>
  <si>
    <t>قيد استحقاق الرواتب C0187 - شهر 12-2017م</t>
  </si>
  <si>
    <t>رواتب ديسمبر</t>
  </si>
  <si>
    <t>البنك-065765</t>
  </si>
  <si>
    <t>تسويه_046263</t>
  </si>
  <si>
    <t>تسويه_046266</t>
  </si>
  <si>
    <t>تسويه_046269</t>
  </si>
  <si>
    <t>تسويه_046324</t>
  </si>
  <si>
    <t>حقوق واجازات شهر 12-2017م</t>
  </si>
  <si>
    <t>عام_035283</t>
  </si>
  <si>
    <t>عام_036069</t>
  </si>
  <si>
    <t>مأمورية تسليم منافسة نظافة الموسم (جازان) - نارندر</t>
  </si>
  <si>
    <t>توثيق غرفة تجارية - ادارة الدرسات</t>
  </si>
  <si>
    <t>م جدة_000519</t>
  </si>
  <si>
    <t>الرسين جده 2017/12</t>
  </si>
  <si>
    <t>مورد_006424</t>
  </si>
  <si>
    <t>تذاكر طيران</t>
  </si>
  <si>
    <t>ينبع_000299</t>
  </si>
  <si>
    <t>الرسين ينبع 2017/12</t>
  </si>
  <si>
    <t>البــــــــــــــــــــــــــــــــــــــــــــيان</t>
  </si>
  <si>
    <t>الإفتتاحي</t>
  </si>
  <si>
    <t>حركة العام</t>
  </si>
  <si>
    <t>الختامي</t>
  </si>
  <si>
    <t>رواتب الرسين 2017</t>
  </si>
  <si>
    <t xml:space="preserve">يناير </t>
  </si>
  <si>
    <t>فبراير</t>
  </si>
  <si>
    <t>مارس</t>
  </si>
  <si>
    <t>أبريل</t>
  </si>
  <si>
    <t>مايو</t>
  </si>
  <si>
    <t>يونيو</t>
  </si>
  <si>
    <t>يوليو</t>
  </si>
  <si>
    <t xml:space="preserve">اغسطس </t>
  </si>
  <si>
    <t>سبتمبر</t>
  </si>
  <si>
    <t>أكتوبر</t>
  </si>
  <si>
    <t>نوفمبر</t>
  </si>
  <si>
    <t>ديسمبر</t>
  </si>
  <si>
    <t>الإجمـــالـــــي</t>
  </si>
  <si>
    <t>ID</t>
  </si>
  <si>
    <t>Employee name</t>
  </si>
  <si>
    <t>Title</t>
  </si>
  <si>
    <t>rank</t>
  </si>
  <si>
    <t>الاساسي</t>
  </si>
  <si>
    <t>المشروع2</t>
  </si>
  <si>
    <t>ترتيب المشروع يناير</t>
  </si>
  <si>
    <t>يناير</t>
  </si>
  <si>
    <t>نسب يناير</t>
  </si>
  <si>
    <t>المشروع22</t>
  </si>
  <si>
    <t>ترتيب الراتب فبراير</t>
  </si>
  <si>
    <t>نسب فبراير</t>
  </si>
  <si>
    <t>المشروع222</t>
  </si>
  <si>
    <t>ترتيب مارس</t>
  </si>
  <si>
    <t>نسب مارس</t>
  </si>
  <si>
    <t>المشروع223</t>
  </si>
  <si>
    <t>نسب إبريل</t>
  </si>
  <si>
    <t>المشروع224</t>
  </si>
  <si>
    <t>نسب مايو</t>
  </si>
  <si>
    <t>المشروع225</t>
  </si>
  <si>
    <t>نسب يونيو</t>
  </si>
  <si>
    <t>المشروع226</t>
  </si>
  <si>
    <t>نسب يوليو</t>
  </si>
  <si>
    <t>المشروع227</t>
  </si>
  <si>
    <t>أغسطس</t>
  </si>
  <si>
    <t>نسب أغسطس</t>
  </si>
  <si>
    <t>المشروع228</t>
  </si>
  <si>
    <t>نسب سبتمبر</t>
  </si>
  <si>
    <t>المشروع229</t>
  </si>
  <si>
    <t>نسب أكتوبر</t>
  </si>
  <si>
    <t>المشروع2210</t>
  </si>
  <si>
    <t>نسب نوفمبر</t>
  </si>
  <si>
    <t>المشروع22102</t>
  </si>
  <si>
    <t>نسب ديسمبر</t>
  </si>
  <si>
    <t>الإجمالي</t>
  </si>
  <si>
    <t>نسب الإجمالي</t>
  </si>
  <si>
    <t>شريف محمد السيد ابو جريشة</t>
  </si>
  <si>
    <t>2</t>
  </si>
  <si>
    <t>لم يتم تعيينة</t>
  </si>
  <si>
    <t>محمد محمد السيد الشرقاوي</t>
  </si>
  <si>
    <t>أحمد محروس علي محمد</t>
  </si>
  <si>
    <t>عمرو حسين جمال الدين كامل</t>
  </si>
  <si>
    <t>سمير محمد السيد الغيطاني</t>
  </si>
  <si>
    <t>سانتوش جيرى مونى لال جيرى</t>
  </si>
  <si>
    <t>صابير علام سوياب انصاري</t>
  </si>
  <si>
    <t>3</t>
  </si>
  <si>
    <t>اجمال فاروق محمد صديقو</t>
  </si>
  <si>
    <t>حائل</t>
  </si>
  <si>
    <t>منير حسين سهيد مياه</t>
  </si>
  <si>
    <t>4</t>
  </si>
  <si>
    <t>محمد نيرفازي مكين</t>
  </si>
  <si>
    <t>داليبر كالا</t>
  </si>
  <si>
    <t>روبيل مياه</t>
  </si>
  <si>
    <t>محمد لبى مياه</t>
  </si>
  <si>
    <t>مانيك مياه سرهاب الدين</t>
  </si>
  <si>
    <t>6</t>
  </si>
  <si>
    <t>ظل الرحمن عبد الرحيم</t>
  </si>
  <si>
    <t>أحمد إبراهيم فتحي العقر</t>
  </si>
  <si>
    <t>محمد نبيل رجب الكاتب</t>
  </si>
  <si>
    <t>7</t>
  </si>
  <si>
    <t>محمد خليل محمد خليل</t>
  </si>
  <si>
    <t>أيمن أحمد محمد الكمار</t>
  </si>
  <si>
    <t>مصطفى على قايد العودي</t>
  </si>
  <si>
    <t>محمد عبد الجليل مختار عياد</t>
  </si>
  <si>
    <t>8</t>
  </si>
  <si>
    <t>جهاد أحمد البدري الفاضل ساتي</t>
  </si>
  <si>
    <t>محمد شوقي المنسي المنسي</t>
  </si>
  <si>
    <t>طارق علي أحمد يونس</t>
  </si>
  <si>
    <t>علي ناصر علي الزرير</t>
  </si>
  <si>
    <t>1</t>
  </si>
  <si>
    <t>إدارية</t>
  </si>
  <si>
    <t>عبد الله خالد أحمد القصير</t>
  </si>
  <si>
    <t>إبراهيم عبد الله علي الباحوث</t>
  </si>
  <si>
    <t>محمد السعيد عبد العظيم عبد اللطيف</t>
  </si>
  <si>
    <t>الأحساء</t>
  </si>
  <si>
    <t>مصطفي محمد علي رحومه</t>
  </si>
  <si>
    <t>جده</t>
  </si>
  <si>
    <t>أنور الدين شيخ نورا</t>
  </si>
  <si>
    <t>امتياز امتياز سهير محمد</t>
  </si>
  <si>
    <t>أحمد أشرف محمد السيد الشاعر</t>
  </si>
  <si>
    <t>محمد صلاح محمد غنيم</t>
  </si>
  <si>
    <t>احمد سامي محمد عمر</t>
  </si>
  <si>
    <t>محمد حسن وحيد</t>
  </si>
  <si>
    <t>محمد هاشم عظمت الله</t>
  </si>
  <si>
    <t>محمد أشرف محمد الشاعر</t>
  </si>
  <si>
    <t>اسامة السعيد إبراهيم مغازي</t>
  </si>
  <si>
    <t>مدحت الشربيني حسين علي</t>
  </si>
  <si>
    <t>جازان</t>
  </si>
  <si>
    <t>سنوش كمار كرشنا ناير</t>
  </si>
  <si>
    <t>سوهان لال بانو رام</t>
  </si>
  <si>
    <t>رافندران جانيسان</t>
  </si>
  <si>
    <t>عالمغير حسين شاسو</t>
  </si>
  <si>
    <t>معين الحق معينول أسير الدين</t>
  </si>
  <si>
    <t>رامجول سينغ</t>
  </si>
  <si>
    <t>ينبع</t>
  </si>
  <si>
    <t>محمد امين محمد مسكين</t>
  </si>
  <si>
    <t>توصيف أحمد محمد أكرم خان</t>
  </si>
  <si>
    <t>جوربال سينغ موهان سينغ</t>
  </si>
  <si>
    <t>مصطفى مارتوجا</t>
  </si>
  <si>
    <t>بابو كومار باندينت</t>
  </si>
  <si>
    <t xml:space="preserve">محمد جيبون خان </t>
  </si>
  <si>
    <t>كمال حسين دودو مياه</t>
  </si>
  <si>
    <t>ديل بهار محمد رفيق</t>
  </si>
  <si>
    <t>كيدار ناندلال ناندلال</t>
  </si>
  <si>
    <t>موهان شاه ديليب</t>
  </si>
  <si>
    <t>فارندير كومار باوان</t>
  </si>
  <si>
    <t>بانكياج كومار باتش بال</t>
  </si>
  <si>
    <t xml:space="preserve">أنفار حسين أجيج </t>
  </si>
  <si>
    <t>جهانجهير انصاري محمد نبي</t>
  </si>
  <si>
    <t>محمد أرمان علام</t>
  </si>
  <si>
    <t>أفتار افتار جيور مايل</t>
  </si>
  <si>
    <t>صديقور صديق الرحمان</t>
  </si>
  <si>
    <t>رون مياه مدولال</t>
  </si>
  <si>
    <t>سين الدين سين الدين على</t>
  </si>
  <si>
    <t>5</t>
  </si>
  <si>
    <t>أموار حسين</t>
  </si>
  <si>
    <t>محمد امينول اسلام محمد عبدول</t>
  </si>
  <si>
    <t>كبير حسين توتا مياه</t>
  </si>
  <si>
    <t>بلاش كومار ثاركر</t>
  </si>
  <si>
    <t>خندوكر تراكول اسلام</t>
  </si>
  <si>
    <t>محمد شفيق الاسلام محمد</t>
  </si>
  <si>
    <t xml:space="preserve">مد عمران حسين </t>
  </si>
  <si>
    <t>ميلان مياه كريم مياه</t>
  </si>
  <si>
    <t>محمد مصرف حسين</t>
  </si>
  <si>
    <t>منير حسين علي</t>
  </si>
  <si>
    <t>ريفون مياه مسلم الدين</t>
  </si>
  <si>
    <t>عبد الغنى أبو طالب شيخ</t>
  </si>
  <si>
    <t>ديلوار حسين رانجو</t>
  </si>
  <si>
    <t>ايمان على انسان على</t>
  </si>
  <si>
    <t xml:space="preserve">هلال الدين عزيز </t>
  </si>
  <si>
    <t>أوزال مياه فول مياه</t>
  </si>
  <si>
    <t>جسيم الدين شفيق</t>
  </si>
  <si>
    <t>مسعد ممتاز مياه</t>
  </si>
  <si>
    <t>سهيل عبد الجليل</t>
  </si>
  <si>
    <t>أفاز الدين عبد القادر</t>
  </si>
  <si>
    <t>قادر فقير محمود</t>
  </si>
  <si>
    <t>نظر الإسلام قادر مونديال</t>
  </si>
  <si>
    <t>شوكت علي أدم علي</t>
  </si>
  <si>
    <t>مشرف دولال مياه</t>
  </si>
  <si>
    <t>مزمل أيات الدين</t>
  </si>
  <si>
    <t>ميزان الحمن ابو الكلام</t>
  </si>
  <si>
    <t>جانيول عابدين كاري</t>
  </si>
  <si>
    <t>روبيل هارون رشيد</t>
  </si>
  <si>
    <t xml:space="preserve">شاهين مياه حياه علي </t>
  </si>
  <si>
    <t>حنان عبد المنان مياه</t>
  </si>
  <si>
    <t>اسلام مياه بيشو علي</t>
  </si>
  <si>
    <t>مياه دودول حسن شاه علم</t>
  </si>
  <si>
    <t>محمد عدنان العويدات</t>
  </si>
  <si>
    <t>جونسيكران باكيري سامي</t>
  </si>
  <si>
    <t>صدام حسين مستوب علي</t>
  </si>
  <si>
    <t>محمد بيلوب حسين عبد الجبار</t>
  </si>
  <si>
    <t xml:space="preserve">محمد علاء الدين محمد </t>
  </si>
  <si>
    <t>عبد الله الباس الشيخ</t>
  </si>
  <si>
    <t>راميش براجاباتى سوباش براجاباتى</t>
  </si>
  <si>
    <t xml:space="preserve">دبيكا بيما جود </t>
  </si>
  <si>
    <t>بيجاى ماليك شاشادهار ماليك</t>
  </si>
  <si>
    <t>نور الدين شيخ وريد شيخ</t>
  </si>
  <si>
    <t>راميش نار ساياه و ليبيو</t>
  </si>
  <si>
    <t>بالاياه مارامباي راجام</t>
  </si>
  <si>
    <t>سانجاي سانتوشي</t>
  </si>
  <si>
    <t>بير محد محمد حسيم</t>
  </si>
  <si>
    <t>توتان ناندى اناندا اناندى</t>
  </si>
  <si>
    <t xml:space="preserve">شيخ بشير شيخ </t>
  </si>
  <si>
    <t>مانيجول شيخ خونا بكس</t>
  </si>
  <si>
    <t>9</t>
  </si>
  <si>
    <t>شاليش بهارتى رامشاندرا</t>
  </si>
  <si>
    <t>سكندر على جمال الدين</t>
  </si>
  <si>
    <t>كمال مونجول مياه</t>
  </si>
  <si>
    <t>الور الدين شيخ نورا</t>
  </si>
  <si>
    <t>محمد سوباج جسيم الدين</t>
  </si>
  <si>
    <t>روبيل مياه مصروف حسين</t>
  </si>
  <si>
    <t>احيدى مياه عبدول هاى</t>
  </si>
  <si>
    <t>حسن مياه</t>
  </si>
  <si>
    <t>مشرف جمال</t>
  </si>
  <si>
    <t>بابول مياه اجول موندال</t>
  </si>
  <si>
    <t>تفضل حسين</t>
  </si>
  <si>
    <t>محمد ساجد لال محمد</t>
  </si>
  <si>
    <t>محمد صافيكول</t>
  </si>
  <si>
    <t>محمد فاروق</t>
  </si>
  <si>
    <t>10</t>
  </si>
  <si>
    <t>رافيقول رفيق الاسلام</t>
  </si>
  <si>
    <t>عبد الصديق</t>
  </si>
  <si>
    <t>عبد المحسن</t>
  </si>
  <si>
    <t>محمد قدوس شيخ</t>
  </si>
  <si>
    <t>أيمن محمد بسيوني الزهيري</t>
  </si>
  <si>
    <t>محمد توفيجول شيخ</t>
  </si>
  <si>
    <t>بشار سيف الدين الزبير محمد</t>
  </si>
  <si>
    <t>حسنى عثمان عتمان عبدالقادر</t>
  </si>
  <si>
    <t>محمد جمعة حامد إبراهيم</t>
  </si>
  <si>
    <t>عريف خورشيد مياه</t>
  </si>
  <si>
    <t>مطيرعلى طاهرحسين</t>
  </si>
  <si>
    <t>مؤمن فوزي محمد شركس</t>
  </si>
  <si>
    <t>محمد سجيتش أكابار</t>
  </si>
  <si>
    <t>رحيم صمد مياه</t>
  </si>
  <si>
    <t>محمد عبد الروؤف كمال خميس</t>
  </si>
  <si>
    <t>مؤمن عصر الدين</t>
  </si>
  <si>
    <t>فتون أمور فاروق موسيدا</t>
  </si>
  <si>
    <t>محبوب الرحمن ناسو كياه</t>
  </si>
  <si>
    <t>فيراياه يلايته بيسا</t>
  </si>
  <si>
    <t>جانجارم جاليلا مالوث</t>
  </si>
  <si>
    <t>عبد السلام كالو شاه</t>
  </si>
  <si>
    <t>بابو لال سراج الدين</t>
  </si>
  <si>
    <t>بالرام نيمالا بالياه نيمالا</t>
  </si>
  <si>
    <t>راماشلدران سيمايشامى سيما يشامى</t>
  </si>
  <si>
    <t>بلال بكار سيتارا بيجييم</t>
  </si>
  <si>
    <t>أحمد سيبات شمس الدين</t>
  </si>
  <si>
    <t>11</t>
  </si>
  <si>
    <t>مجمول منتاج</t>
  </si>
  <si>
    <t>محمد سومان ميا محمد سونديش علي</t>
  </si>
  <si>
    <t>جاكير حسين فيروز مياه</t>
  </si>
  <si>
    <t>سومان مياه</t>
  </si>
  <si>
    <t>الامين ابور رزاق</t>
  </si>
  <si>
    <t>خيرول اسلام خرشيد علام</t>
  </si>
  <si>
    <t>الإجـــــمـــــــــــــــــــــــــــــــــــالــــــــــــــــــــــــيـــــــــــــــــــــــات</t>
  </si>
  <si>
    <t>المدينة</t>
  </si>
  <si>
    <t>المبلغ</t>
  </si>
  <si>
    <t>النسبة</t>
  </si>
  <si>
    <t>مؤشر التغير</t>
  </si>
  <si>
    <t>النسبة من الإجمالي</t>
  </si>
  <si>
    <t>الربع الأول</t>
  </si>
  <si>
    <t>الربع الثاني</t>
  </si>
  <si>
    <t>الربع الثالث</t>
  </si>
  <si>
    <t>الربع الرابع</t>
  </si>
  <si>
    <t>المطابقة</t>
  </si>
  <si>
    <t>البيــــــــــــــــــــــــــــــــــــــــــــــــــــــــــــــــــــــــــــــــــــــــــــــــــــــــان</t>
  </si>
  <si>
    <t>نوع الحركة</t>
  </si>
  <si>
    <t>الرقم</t>
  </si>
  <si>
    <t>الجهه</t>
  </si>
  <si>
    <t>المدين (إيداع)</t>
  </si>
  <si>
    <t>الدائن (السحب)</t>
  </si>
  <si>
    <t>الرصيد الإفتتاحي</t>
  </si>
  <si>
    <t>رصيد افتتاحي</t>
  </si>
  <si>
    <t>إيداع نقدي</t>
  </si>
  <si>
    <t>حسني عثمان عبد القادر</t>
  </si>
  <si>
    <t xml:space="preserve">عهدة حسني عثمان </t>
  </si>
  <si>
    <t>محمد عبد العال رشاد السايح</t>
  </si>
  <si>
    <t>رسوم طبع كشف حساب</t>
  </si>
  <si>
    <t>رسوم كشف حساب</t>
  </si>
  <si>
    <t xml:space="preserve">مصرف الراجحي </t>
  </si>
  <si>
    <t>24-07-2017</t>
  </si>
  <si>
    <t>حوالة</t>
  </si>
  <si>
    <t>حوالة واردة</t>
  </si>
  <si>
    <t>عبد الرحمن وليد عبد الله عواد عواد</t>
  </si>
  <si>
    <t>عهدة محمد خميس</t>
  </si>
  <si>
    <t xml:space="preserve">إيداع شيك مقاصة </t>
  </si>
  <si>
    <t>إيداع شيك</t>
  </si>
  <si>
    <t>سعد مزعل عائض المكي الغامدي</t>
  </si>
  <si>
    <t>أنس عبد العزيز محمد المحيميد</t>
  </si>
  <si>
    <t>16-04-2017</t>
  </si>
  <si>
    <t>سحب شيك</t>
  </si>
  <si>
    <t>مؤسسة  ربوع كلادة الدولية للأشغال الحديديه</t>
  </si>
  <si>
    <t>خالد أحمد البج</t>
  </si>
  <si>
    <t>شركة كراكر للمقاولات</t>
  </si>
  <si>
    <t>07-01-2017</t>
  </si>
  <si>
    <t>الزاهد للوحدات السكنية</t>
  </si>
  <si>
    <t>عهدة محمد خليل</t>
  </si>
  <si>
    <t>أسواق بساتين القصيم</t>
  </si>
  <si>
    <t>شقق سهول الخالدية للوحدات السكنية</t>
  </si>
  <si>
    <t>حوالة صادرة</t>
  </si>
  <si>
    <t>التوفيقية للديزل ناصر فهد الجريس</t>
  </si>
  <si>
    <t>حوالة الديزل</t>
  </si>
  <si>
    <t>الشركة السعودية للتموين ( المطار )</t>
  </si>
  <si>
    <t>التموين السعودية المطار</t>
  </si>
  <si>
    <t>مطعم القصر للمشويات العراقية</t>
  </si>
  <si>
    <t>وائل التويجري</t>
  </si>
  <si>
    <t>إيداع شيك مقاصة</t>
  </si>
  <si>
    <t>11-01-2017</t>
  </si>
  <si>
    <t>علي محمد المديفع</t>
  </si>
  <si>
    <t>15-01-2017</t>
  </si>
  <si>
    <t>الرسين المدينة المنورة - محمد جمعه حامد</t>
  </si>
  <si>
    <t>عهدة محمد جمعة حامد</t>
  </si>
  <si>
    <t>01-07-2017</t>
  </si>
  <si>
    <t>عهدة أسامة مغازي</t>
  </si>
  <si>
    <t>سعيد محمد الأحمر</t>
  </si>
  <si>
    <t>عبده بجاش سعيد يحي</t>
  </si>
  <si>
    <t>حوالة شركة المرشد للأستثمار</t>
  </si>
  <si>
    <t>شركة مجموعة المرشد للأستثمار</t>
  </si>
  <si>
    <t>شركة تمبين السعودية</t>
  </si>
  <si>
    <t>26-07-2017</t>
  </si>
  <si>
    <t>المطعم الأنيق</t>
  </si>
  <si>
    <t>عبد العزيز عبد الماجد أسماعيل</t>
  </si>
  <si>
    <t>مؤسسة ولاء و براء للتجارة</t>
  </si>
  <si>
    <t>علي عبد الله الجربوع</t>
  </si>
  <si>
    <t>إيداع نقدي مشروع جازان</t>
  </si>
  <si>
    <t>ياسر صبري محمد الملاح</t>
  </si>
  <si>
    <t>عهدة أشرف الشربيني</t>
  </si>
  <si>
    <t>عهدة إبراهيم عبد الله الباحوث</t>
  </si>
  <si>
    <t>01-02-2017</t>
  </si>
  <si>
    <t xml:space="preserve">حوالة مستشفى الموسى </t>
  </si>
  <si>
    <t>مستشفى الموسى - الأحساء</t>
  </si>
  <si>
    <t>19-02-2017</t>
  </si>
  <si>
    <t>مؤسسة ربوع كلاده للأشغال الحديديه</t>
  </si>
  <si>
    <t>عهدة محمد صلاح</t>
  </si>
  <si>
    <t>25-07-2017</t>
  </si>
  <si>
    <t>حوالة مؤسسة سهول الخالدي</t>
  </si>
  <si>
    <t>مؤسسة سهول الخالدية</t>
  </si>
  <si>
    <t>رسوم خطاب ضمان</t>
  </si>
  <si>
    <t>خطاب ضمان</t>
  </si>
  <si>
    <t>17OGTE48801190   2
20170216162022</t>
  </si>
  <si>
    <t>حوالة مشروع جازان</t>
  </si>
  <si>
    <t>دفعة للقطاع التجاري للفهاد</t>
  </si>
  <si>
    <t>شركة الفهاد للمعدات و السيارات</t>
  </si>
  <si>
    <t>أحمد سالم بقشان (بغشان)</t>
  </si>
  <si>
    <t>07-05-2017</t>
  </si>
  <si>
    <t>عهدة محمد السعيد</t>
  </si>
  <si>
    <t>03-02-2017</t>
  </si>
  <si>
    <t>05-02-2017</t>
  </si>
  <si>
    <t>شراء عدد 4 سيارات أكسنت</t>
  </si>
  <si>
    <t>شركة الفلاح للسيارات</t>
  </si>
  <si>
    <t>12-02-2017</t>
  </si>
  <si>
    <t>مرشد للأستثمار</t>
  </si>
  <si>
    <t xml:space="preserve">خالد عبد الله ناصر </t>
  </si>
  <si>
    <t>11-03-2017</t>
  </si>
  <si>
    <t>خالد محمد سعيد المانع القرني</t>
  </si>
  <si>
    <t>19-03-2017</t>
  </si>
  <si>
    <t>شراء عدد 2 سيارة هيونداي توسان</t>
  </si>
  <si>
    <t>حوالة من ربية العطا</t>
  </si>
  <si>
    <t>رابية</t>
  </si>
  <si>
    <t xml:space="preserve">حوالة </t>
  </si>
  <si>
    <t>ممدوح عبد اللطيف الحميدان</t>
  </si>
  <si>
    <t>18-03-2017</t>
  </si>
  <si>
    <t>القسط الأول لجمجوم للسيارات</t>
  </si>
  <si>
    <t>شركة جمجوم للسيارات و المعدات</t>
  </si>
  <si>
    <t>حوالة المطار</t>
  </si>
  <si>
    <t>إيداع نقدي محمد مهدي</t>
  </si>
  <si>
    <t>محمد أحمد مهدي (صندوق الرسين)</t>
  </si>
  <si>
    <t>عهدة الصندوق</t>
  </si>
  <si>
    <t>ناصر فهد الجريس</t>
  </si>
  <si>
    <t>15-03-2017</t>
  </si>
  <si>
    <t>إيداع نقدي محمد جمعة المدينة</t>
  </si>
  <si>
    <t>محمد جمعة حامد المدينة المنورة</t>
  </si>
  <si>
    <t>حوالة من مشاري العمران</t>
  </si>
  <si>
    <t>مشاري بن خالد بن عبد الرحمن العمران</t>
  </si>
  <si>
    <t>حوالة من حساب حسني عثمان</t>
  </si>
  <si>
    <t>حوالة من شركة كراكر للمقاولات</t>
  </si>
  <si>
    <t>حوالة من عادل</t>
  </si>
  <si>
    <t>عادل</t>
  </si>
  <si>
    <t>حوالة من أسواق</t>
  </si>
  <si>
    <t>عبد الرحمن محمد إبراهيم العمار</t>
  </si>
  <si>
    <t>17-02-2017</t>
  </si>
  <si>
    <t>خالد حسين علي أحمد</t>
  </si>
  <si>
    <t>طارق صابر بركي الشلاجي المطيري</t>
  </si>
  <si>
    <t>فيصل محمد سعيد الأحمري</t>
  </si>
  <si>
    <t>حسام عبد الله يوسف المطلق</t>
  </si>
  <si>
    <t>سليمان عبد العزيز سليمان العباد</t>
  </si>
  <si>
    <t>إيداع نقدي مشروع عنيزة</t>
  </si>
  <si>
    <t>27-07-2017</t>
  </si>
  <si>
    <t>حوالة واردة من مؤسسة</t>
  </si>
  <si>
    <t xml:space="preserve">مؤسسة </t>
  </si>
  <si>
    <t xml:space="preserve">إيداع نقدي من خالد عبد الرحمن </t>
  </si>
  <si>
    <t>خالد عبد الرحمن عبد الله العبدان</t>
  </si>
  <si>
    <t>21-04-2017</t>
  </si>
  <si>
    <t>شيك كلاده رقم 403</t>
  </si>
  <si>
    <t>سحب شيك الغامدي</t>
  </si>
  <si>
    <t>سعيد محمد هادي الغامدي</t>
  </si>
  <si>
    <t>القسط الثاني لجمجوم للسيارات</t>
  </si>
  <si>
    <t xml:space="preserve">حوالة من شقق سهول للخدمات </t>
  </si>
  <si>
    <t>حوالة من الحكير</t>
  </si>
  <si>
    <t>سحب شيك القطاع التجاري</t>
  </si>
  <si>
    <t>عبده عفيفي عبده</t>
  </si>
  <si>
    <t>حوالة خالد البج</t>
  </si>
  <si>
    <t>16-03-2017</t>
  </si>
  <si>
    <t>شركة أحمد سالم بقشان</t>
  </si>
  <si>
    <t>طارق فريد عبد الحميد هيكل</t>
  </si>
  <si>
    <t>11-04-2017</t>
  </si>
  <si>
    <t>حوالة احمد الجربوع</t>
  </si>
  <si>
    <t>عبد العزيز أحمد سليمان الجربوع</t>
  </si>
  <si>
    <t>حوالة العتر</t>
  </si>
  <si>
    <t>مصطفى محمد العتر</t>
  </si>
  <si>
    <t>حوالة محسن خليل</t>
  </si>
  <si>
    <t>محسن إبراهيم محمد خليل</t>
  </si>
  <si>
    <t>14-04-2017</t>
  </si>
  <si>
    <t>02-03-2017</t>
  </si>
  <si>
    <t>حوالة من حصة علي الحامد</t>
  </si>
  <si>
    <t>حصة علي محمد الحامد</t>
  </si>
  <si>
    <t>12-05-2017</t>
  </si>
  <si>
    <t>عهدة أحمد سامي</t>
  </si>
  <si>
    <t>04-04-2017</t>
  </si>
  <si>
    <t>حوالة الموسى</t>
  </si>
  <si>
    <t>حوالة من طرفة عقيل العنزي</t>
  </si>
  <si>
    <t>طرفة عقيل العنزي</t>
  </si>
  <si>
    <t>حوالة من برشه محمد حمدي الجميلي</t>
  </si>
  <si>
    <t>برشة محمد حمدي الجميلي</t>
  </si>
  <si>
    <t>09-05-2017</t>
  </si>
  <si>
    <t>مؤمن فوزي شركس</t>
  </si>
  <si>
    <t>عهدة مؤمن فوزي شركس</t>
  </si>
  <si>
    <t>حوالة من مطابخ المنجف</t>
  </si>
  <si>
    <t>مطابخ النجف أم الحمام</t>
  </si>
  <si>
    <t>إيداع نقدي مشروع المدينة</t>
  </si>
  <si>
    <t>الفرسان للاغذية</t>
  </si>
  <si>
    <t>حوالة ركن هاشم</t>
  </si>
  <si>
    <t>حوالة واردة من ركن هاشم</t>
  </si>
  <si>
    <t>حوالة من فهد</t>
  </si>
  <si>
    <t>حوالة من  فهد</t>
  </si>
  <si>
    <t>حولة واردة</t>
  </si>
  <si>
    <t>إيداع نقدي خالد العبدان</t>
  </si>
  <si>
    <t>14-05-2017</t>
  </si>
  <si>
    <t>حوالة عواد</t>
  </si>
  <si>
    <t>حوالة عهدة مؤمن فوزي</t>
  </si>
  <si>
    <t xml:space="preserve">حوالة واردة </t>
  </si>
  <si>
    <t>يوسف علي محمد الحامد</t>
  </si>
  <si>
    <t>سليمان محمد جهاد قرقور</t>
  </si>
  <si>
    <t>16-05-2017</t>
  </si>
  <si>
    <t>حوالة مدارس الرواد</t>
  </si>
  <si>
    <t>مدارس الرواد</t>
  </si>
  <si>
    <t>حوالة واردة سليمان عبد العزيز سليمان</t>
  </si>
  <si>
    <t>سحب شيك ميتال وورك تصنيع المعادن</t>
  </si>
  <si>
    <t>شركة تصنيع المعادن</t>
  </si>
  <si>
    <t>عبد الله سعد عايض الغامدي</t>
  </si>
  <si>
    <t>إضافات 2016</t>
  </si>
  <si>
    <t>إستبعادات 2016</t>
  </si>
  <si>
    <t>الشراء</t>
  </si>
  <si>
    <t>المستبعد</t>
  </si>
  <si>
    <t>الصافي بالتكلفة</t>
  </si>
  <si>
    <t>الأصل</t>
  </si>
  <si>
    <t>مجموعة الاصول</t>
  </si>
  <si>
    <t>القطاع</t>
  </si>
  <si>
    <t>الإدارة</t>
  </si>
  <si>
    <t>المستخدم</t>
  </si>
  <si>
    <t>plate</t>
  </si>
  <si>
    <t>تاريخ الشراء-الاستلام</t>
  </si>
  <si>
    <t>المورد</t>
  </si>
  <si>
    <t>الكمية</t>
  </si>
  <si>
    <t>رقم الفاتورة</t>
  </si>
  <si>
    <t>سعر/الحبة</t>
  </si>
  <si>
    <t>رقم القيد</t>
  </si>
  <si>
    <t>العدد</t>
  </si>
  <si>
    <t>عن طريق</t>
  </si>
  <si>
    <t>السعر الافرادي</t>
  </si>
  <si>
    <t>إجمالي المستبعد</t>
  </si>
  <si>
    <t>العدد2</t>
  </si>
  <si>
    <t>الحبة</t>
  </si>
  <si>
    <t>الإجمالي الصافي</t>
  </si>
  <si>
    <t>العمر الافتراضي</t>
  </si>
  <si>
    <t>كود الاصل</t>
  </si>
  <si>
    <t>حالة الاصل</t>
  </si>
  <si>
    <t>مجمع الاهلاك 
في 01-01-2017</t>
  </si>
  <si>
    <t>القيمة الدفترية 
في 01-01-2017</t>
  </si>
  <si>
    <t>مصروف الاهلاك 2017</t>
  </si>
  <si>
    <t>مجمع الاهلاك
في 31-12-2017</t>
  </si>
  <si>
    <t>القيمة الدفترية 
في 31-12-2017</t>
  </si>
  <si>
    <t>خزنة</t>
  </si>
  <si>
    <t>أثاث و مفروشات</t>
  </si>
  <si>
    <t xml:space="preserve">الحسابات </t>
  </si>
  <si>
    <t>محمد مهدي</t>
  </si>
  <si>
    <t>في التشغيل</t>
  </si>
  <si>
    <t>حاويات 02 ياردة</t>
  </si>
  <si>
    <t>حاويات نفايات</t>
  </si>
  <si>
    <t>الدرب</t>
  </si>
  <si>
    <t>التشغيل</t>
  </si>
  <si>
    <t>مصنع الفهاد</t>
  </si>
  <si>
    <t>10223-10228</t>
  </si>
  <si>
    <t>مكيف LG 1800</t>
  </si>
  <si>
    <t>محولات مكابس أرضية</t>
  </si>
  <si>
    <t>مكابس أرضية</t>
  </si>
  <si>
    <t xml:space="preserve">مؤسسة الرمال </t>
  </si>
  <si>
    <t>مكتب خشبي</t>
  </si>
  <si>
    <t>الإدارية</t>
  </si>
  <si>
    <t>أحمد الشاعر</t>
  </si>
  <si>
    <t>رموز المستقبل للتجارة</t>
  </si>
  <si>
    <t>طابعة</t>
  </si>
  <si>
    <t>إكسترا</t>
  </si>
  <si>
    <t xml:space="preserve">سيارة أكسنت </t>
  </si>
  <si>
    <t>سيارات سيدان</t>
  </si>
  <si>
    <t>ياسر صبري</t>
  </si>
  <si>
    <t xml:space="preserve">شركة تركي عبد العزيز الحميضي </t>
  </si>
  <si>
    <t>شاحنة هينو</t>
  </si>
  <si>
    <t>سيارات التشغيل</t>
  </si>
  <si>
    <t>نفايات</t>
  </si>
  <si>
    <t>ب.ح.ك
6835</t>
  </si>
  <si>
    <t>جمجوم للسيارات و المعدات</t>
  </si>
  <si>
    <t>ب.ح.ك
6836</t>
  </si>
  <si>
    <t>ب.ح.ك
6838</t>
  </si>
  <si>
    <t>ب.ح.ك
6840</t>
  </si>
  <si>
    <t>ب.ح.ك
6842</t>
  </si>
  <si>
    <t>ب.ح.ك
6834</t>
  </si>
  <si>
    <t>ب.ح.ك
6837</t>
  </si>
  <si>
    <t>ب.ح.ك
6839</t>
  </si>
  <si>
    <t>ب.ح.ك
6841</t>
  </si>
  <si>
    <t>ب.ح.ك
6843</t>
  </si>
  <si>
    <t>ثلاجة دانسات</t>
  </si>
  <si>
    <t>مؤسسة غسان للتجارة</t>
  </si>
  <si>
    <t>غسالة سامسونج 50 حوضين</t>
  </si>
  <si>
    <t>جهاز بصمة موديل f18</t>
  </si>
  <si>
    <t>الحماية المتكاملة للتجارة</t>
  </si>
  <si>
    <t>المبيعات</t>
  </si>
  <si>
    <t>محمد السعيد</t>
  </si>
  <si>
    <t>التحصيل</t>
  </si>
  <si>
    <t>محمد خميس</t>
  </si>
  <si>
    <t>ب.ح.ص
4108</t>
  </si>
  <si>
    <t>الشقيق</t>
  </si>
  <si>
    <t>ب.ح.ص
4106</t>
  </si>
  <si>
    <t>ضاغط ميتسوبيشي</t>
  </si>
  <si>
    <t>شركة الفهاد</t>
  </si>
  <si>
    <t>أ.ي.ك
4531</t>
  </si>
  <si>
    <t>أ.ي.ك
4212</t>
  </si>
  <si>
    <t>حاويات 04 ياردة</t>
  </si>
  <si>
    <t>حاويات 06ياردة</t>
  </si>
  <si>
    <t>مكبس نفايات أرضي</t>
  </si>
  <si>
    <t xml:space="preserve">الساطعة الحديثة للمقاولات </t>
  </si>
  <si>
    <t xml:space="preserve">شاحنة ميتسوبيشي روول أون روول أوف </t>
  </si>
  <si>
    <t>أنقاض</t>
  </si>
  <si>
    <t>مشروع المطار الرياض</t>
  </si>
  <si>
    <t>ب.أ.ص
3453</t>
  </si>
  <si>
    <t>وايت مياه</t>
  </si>
  <si>
    <t>أ.د.ه
1215</t>
  </si>
  <si>
    <t>أ.ن.م
7174</t>
  </si>
  <si>
    <t>بيت جاهز 2 شاور + 2 حمام + 2 مغاسل</t>
  </si>
  <si>
    <t>الساطعة الحديثة للمقاولات</t>
  </si>
  <si>
    <t>41-12-2016</t>
  </si>
  <si>
    <t>البيع</t>
  </si>
  <si>
    <t>الساطعة الحديثة للمقاولات 
شيك 1907 من الفهاد</t>
  </si>
  <si>
    <t>المزايا الخضراء 
أعتماد 6001681</t>
  </si>
  <si>
    <t>ب.ب.ن
6797</t>
  </si>
  <si>
    <t>العيسائي</t>
  </si>
  <si>
    <t>ب.ب.ن
6796</t>
  </si>
  <si>
    <t>ب.ب.ن
6795</t>
  </si>
  <si>
    <t>ربوع كلادة للتشغيل</t>
  </si>
  <si>
    <t>حاويات 06 ياردة</t>
  </si>
  <si>
    <t>حاويات مكبس 30 ياردة</t>
  </si>
  <si>
    <t>المطار</t>
  </si>
  <si>
    <t>حاويات 30 ياردة مفتوحة</t>
  </si>
  <si>
    <t>حاويات 02 ياردة بغطاء</t>
  </si>
  <si>
    <t>حاويات 04 ياردة بغطاء</t>
  </si>
  <si>
    <t>حاويات 06 ياردة بغطاء</t>
  </si>
  <si>
    <t>أغطية حاويات 06 ياردة</t>
  </si>
  <si>
    <t>أغطية حاويات 04 ياردة</t>
  </si>
  <si>
    <t xml:space="preserve">مؤسسة ألوان الشموس </t>
  </si>
  <si>
    <t xml:space="preserve">حاويات 02 ياردة </t>
  </si>
  <si>
    <t>محول كهربائي</t>
  </si>
  <si>
    <t xml:space="preserve">هيونداي أكسنت </t>
  </si>
  <si>
    <t>ح.ب.د
4859</t>
  </si>
  <si>
    <t>الوعلان</t>
  </si>
  <si>
    <t>ضاغطة هينو</t>
  </si>
  <si>
    <t>أ.ص.ح
1307</t>
  </si>
  <si>
    <t>أ.ع.ص
4103</t>
  </si>
  <si>
    <t>أ.ع.ص
4106</t>
  </si>
  <si>
    <t xml:space="preserve">شاحنة إيسوزو </t>
  </si>
  <si>
    <t>نفايات
الشبك</t>
  </si>
  <si>
    <t>أ.ل.ح
4502</t>
  </si>
  <si>
    <t>ضاغط إيسوزو</t>
  </si>
  <si>
    <t>تحسينات</t>
  </si>
  <si>
    <t>ارامكو</t>
  </si>
  <si>
    <t>أ.ك.ل
2262</t>
  </si>
  <si>
    <t>أ.ل.ب
9281</t>
  </si>
  <si>
    <t>ضاغط هينو</t>
  </si>
  <si>
    <t>أ.م.د
9305</t>
  </si>
  <si>
    <t>أ.م.د
9306</t>
  </si>
  <si>
    <t>أ.م.د
9308</t>
  </si>
  <si>
    <t>أ.م.د
9213</t>
  </si>
  <si>
    <t>أ.م.د
9216</t>
  </si>
  <si>
    <t>أ.م.د
9223</t>
  </si>
  <si>
    <t>أ.م.د
9220</t>
  </si>
  <si>
    <t>أ.م.ح
9602</t>
  </si>
  <si>
    <t>شاحنة</t>
  </si>
  <si>
    <t>ب.أ.ص
3889</t>
  </si>
  <si>
    <t>ب.أ.ص
5959</t>
  </si>
  <si>
    <t>متوقفة بالسكن</t>
  </si>
  <si>
    <t>ص.و.أ
142</t>
  </si>
  <si>
    <t xml:space="preserve">شفورلية تاهو </t>
  </si>
  <si>
    <t>إبراهيم عبد الله الباحوث</t>
  </si>
  <si>
    <t>ح.ل.أ
9685</t>
  </si>
  <si>
    <t>شفورولية كابريس</t>
  </si>
  <si>
    <t>أ.ي.س
7915</t>
  </si>
  <si>
    <t>أ.ي.هـ
6239</t>
  </si>
  <si>
    <t>أ.ي.هـ
6177</t>
  </si>
  <si>
    <t>أ.ي.هـ
6180</t>
  </si>
  <si>
    <t>أ.ي.هـ
6181</t>
  </si>
  <si>
    <t xml:space="preserve">تويوتا فورتشنر </t>
  </si>
  <si>
    <t>شركة الفهاد - الرسين</t>
  </si>
  <si>
    <t>ب.س.ن
4565</t>
  </si>
  <si>
    <t>تويوتا فورتشنر</t>
  </si>
  <si>
    <t>ب.س.ن
4643</t>
  </si>
  <si>
    <t>إضافات لوايت مياه</t>
  </si>
  <si>
    <t>إضافات لروول أون روول أوف</t>
  </si>
  <si>
    <t xml:space="preserve">ب.ب.ن
6797
6796
</t>
  </si>
  <si>
    <t>بوم ترك</t>
  </si>
  <si>
    <t>أ.م.م
6277</t>
  </si>
  <si>
    <t>أ.م.د
2439</t>
  </si>
  <si>
    <t>تجهيزات تانك مياه</t>
  </si>
  <si>
    <t>ضاغط 22 ياردة</t>
  </si>
  <si>
    <t>أ.ح.و
1957</t>
  </si>
  <si>
    <t>أ.ح.و
1987</t>
  </si>
  <si>
    <t>لود لوجر</t>
  </si>
  <si>
    <t>أ.ح.و
1990</t>
  </si>
  <si>
    <t>أ.ح.و
2641</t>
  </si>
  <si>
    <t>بكب وانيت</t>
  </si>
  <si>
    <t>أ.ع.س
4696</t>
  </si>
  <si>
    <t>أ.ح.و
1960</t>
  </si>
  <si>
    <t>أ.ح.و
7077</t>
  </si>
  <si>
    <t>إيسوزو غمارتين</t>
  </si>
  <si>
    <t>أ.م.ن
7091</t>
  </si>
  <si>
    <t>أ.م.د
9307</t>
  </si>
  <si>
    <t>لاب توب + طابعة</t>
  </si>
  <si>
    <t>محمد جمعة</t>
  </si>
  <si>
    <t>كارفور</t>
  </si>
  <si>
    <t>طفاية حريق</t>
  </si>
  <si>
    <t>عدد 1 مكتب + 1 دولاب + 2 كرسي</t>
  </si>
  <si>
    <t>خزان 10 الاف لتر بولي إيثلين</t>
  </si>
  <si>
    <t>خزانات الوطني المهيدب</t>
  </si>
  <si>
    <t>مكيفات للعمالة</t>
  </si>
  <si>
    <t>صالح الخريف للتجارة</t>
  </si>
  <si>
    <t>أبواب حديد</t>
  </si>
  <si>
    <t xml:space="preserve">مولد كهرباء برافو </t>
  </si>
  <si>
    <t xml:space="preserve">خزان مياه 15000 لتر </t>
  </si>
  <si>
    <t>بيت جاهز +وحدتين مطبخ +وحدتين حمام</t>
  </si>
  <si>
    <t>كونتر مستودع مقاس 20 قدم</t>
  </si>
  <si>
    <t>مولد كهرباء مستعمل مشترى من قسم الفلاتر</t>
  </si>
  <si>
    <t>ثلاجة + سلندر غاز</t>
  </si>
  <si>
    <t xml:space="preserve">تلاجة </t>
  </si>
  <si>
    <t>مدارس بن خلدون</t>
  </si>
  <si>
    <t>شرائح تتبع</t>
  </si>
  <si>
    <t>إضافات ميتسوبيشي روول أون و روول أوف</t>
  </si>
  <si>
    <t>الوان الشموس</t>
  </si>
  <si>
    <t>الساطعة الحديثة تحويل من الوان الشموس</t>
  </si>
  <si>
    <t>أ.ح.و
1992</t>
  </si>
  <si>
    <t>حاوية 20 ياردة</t>
  </si>
  <si>
    <t>حاويات أنقاض</t>
  </si>
  <si>
    <t>حاوية 10 ياردة</t>
  </si>
  <si>
    <t xml:space="preserve">سيارة كابريس - أ د و 9277 </t>
  </si>
  <si>
    <t>حاويات 20 ياردة</t>
  </si>
  <si>
    <t>تالف</t>
  </si>
  <si>
    <t>حاويات 16 ياردة</t>
  </si>
  <si>
    <t>حاويات 10 ياردة</t>
  </si>
  <si>
    <t/>
  </si>
  <si>
    <t>نشط</t>
  </si>
  <si>
    <t>SA 818 000 0454 6080 1099 5075</t>
  </si>
  <si>
    <t>الراجحي</t>
  </si>
  <si>
    <t>شركة الرسين للصيانة</t>
  </si>
  <si>
    <t>SA792 000 000 201 151 911 9940</t>
  </si>
  <si>
    <t>مجمد</t>
  </si>
  <si>
    <t>SA 085 000 000 0041 077 377 009</t>
  </si>
  <si>
    <t>الهولندي</t>
  </si>
  <si>
    <t>الأنماء</t>
  </si>
  <si>
    <t>مغلق</t>
  </si>
  <si>
    <t>SA 418 000 045 460 801 030 612 5</t>
  </si>
  <si>
    <t>SA 202 000 000 2972616669940</t>
  </si>
  <si>
    <t>مؤسسة الرسين للمقاولات</t>
  </si>
  <si>
    <t>أخر تحديث</t>
  </si>
  <si>
    <t>حالة الحساب</t>
  </si>
  <si>
    <t>الإيــــــــــــــــــــــــــــــــبــــــــــــــــــــــــان</t>
  </si>
  <si>
    <t xml:space="preserve">رقم الحســــــــــــــــــــــــــــاب </t>
  </si>
  <si>
    <t>البنك</t>
  </si>
  <si>
    <t>أسم الحســــــــــــــــــــاب</t>
  </si>
  <si>
    <t>أرقام حسابات مؤسسة ( شركة ) الرسين للصيانة</t>
  </si>
  <si>
    <t>27-04-2017</t>
  </si>
  <si>
    <t>30-05-2017</t>
  </si>
  <si>
    <t>فاطمة محمد صالح الفوزان</t>
  </si>
  <si>
    <t>شادن محمد ناصر المنصور</t>
  </si>
  <si>
    <t>عبد الرحمن صالح عبد الرحمن الحسين</t>
  </si>
  <si>
    <t>عمر محمد عبد الله التلال</t>
  </si>
  <si>
    <t>هيئة عبد الله علي الباحوث</t>
  </si>
  <si>
    <t>عبد العزيز عبد الله علي الباحوث</t>
  </si>
  <si>
    <t>زياد إبراهيم الباحوث</t>
  </si>
  <si>
    <t>راكان أحمد إبراهيم العقيلي</t>
  </si>
  <si>
    <t>لولوة محمد صالح الفوزان</t>
  </si>
  <si>
    <t>صالح عبد الله صالح البلال</t>
  </si>
  <si>
    <t xml:space="preserve">رامي عزمي عبد السلام </t>
  </si>
  <si>
    <t>رقم المستند</t>
  </si>
  <si>
    <t>البيـــــــــــــــــــــــــــــــــــــــــــــــــــــــــــــــــــــــــــــــــــان</t>
  </si>
  <si>
    <t>مدين  (العهده)</t>
  </si>
  <si>
    <t>دائن  (المصروفات)</t>
  </si>
  <si>
    <t>6000 صندوق</t>
  </si>
  <si>
    <t>24-12-2017</t>
  </si>
  <si>
    <t>عهدة صيانة لحين التسوية</t>
  </si>
  <si>
    <t>4484 صندوق</t>
  </si>
  <si>
    <t>22-10-2017</t>
  </si>
  <si>
    <t>01 السنيدي 17</t>
  </si>
  <si>
    <t>03-12-2017</t>
  </si>
  <si>
    <t>تسوية العهدة رقم 01 فواتير صيانة سيارات بالشبك</t>
  </si>
  <si>
    <t>1681 صندوق</t>
  </si>
  <si>
    <t>07-11-2017</t>
  </si>
  <si>
    <t>02 السنيدي 17</t>
  </si>
  <si>
    <t>04-12-2017</t>
  </si>
  <si>
    <t>تسوية العهدة رقم 02 فواتير صيانة سيارات بالشبك</t>
  </si>
  <si>
    <t>1739 صندوق</t>
  </si>
  <si>
    <t>33-11-2017</t>
  </si>
  <si>
    <t>03 السنيدي 17</t>
  </si>
  <si>
    <t>05-12-2017</t>
  </si>
  <si>
    <t>تسوية العهدة رقم 03 فواتير صيانة سيارات بالشبك</t>
  </si>
  <si>
    <t>1778 صندوق</t>
  </si>
  <si>
    <t>09-12-2017</t>
  </si>
  <si>
    <t>تسوية عهدة صالح السنيدي ( تصفية )</t>
  </si>
  <si>
    <t>1777 صندوق</t>
  </si>
  <si>
    <t>عهدة  جديدة للصيانة لحين التسوية</t>
  </si>
  <si>
    <t>04 السنيدي 17</t>
  </si>
  <si>
    <t>32-12-2017</t>
  </si>
  <si>
    <t>تسوية العهدة رقم 04 فواتير صيانة سيارات بالشبك</t>
  </si>
  <si>
    <t>إجــــــــــــــــــــــــــــــــــــــــــــــمـــــــــــــــــــــــــــــــــــــــــالي 2017</t>
  </si>
  <si>
    <t>المحاسب 
محمد مهدي</t>
  </si>
  <si>
    <r>
      <rPr>
        <b/>
        <sz val="20"/>
        <rFont val="Calibri"/>
        <family val="2"/>
        <scheme val="minor"/>
      </rPr>
      <t xml:space="preserve">كشف حساب من </t>
    </r>
    <r>
      <rPr>
        <b/>
        <u/>
        <sz val="20"/>
        <rFont val="Calibri"/>
        <family val="2"/>
        <scheme val="minor"/>
      </rPr>
      <t>01-01-2017</t>
    </r>
    <r>
      <rPr>
        <b/>
        <sz val="20"/>
        <rFont val="Calibri"/>
        <family val="2"/>
        <scheme val="minor"/>
      </rPr>
      <t xml:space="preserve"> حتى </t>
    </r>
    <r>
      <rPr>
        <b/>
        <u/>
        <sz val="20"/>
        <rFont val="Calibri"/>
        <family val="2"/>
        <scheme val="minor"/>
      </rPr>
      <t xml:space="preserve">31-12-2017 </t>
    </r>
    <r>
      <rPr>
        <b/>
        <sz val="18"/>
        <rFont val="Calibri"/>
        <family val="2"/>
        <scheme val="minor"/>
      </rPr>
      <t xml:space="preserve">
</t>
    </r>
    <r>
      <rPr>
        <b/>
        <u/>
        <sz val="26"/>
        <color rgb="FF002060"/>
        <rFont val="Calibri"/>
        <family val="2"/>
        <scheme val="minor"/>
      </rPr>
      <t>حساب الأستاذ /  صالح عبد العزيز السنيدي</t>
    </r>
    <r>
      <rPr>
        <b/>
        <u/>
        <sz val="24"/>
        <color rgb="FF002060"/>
        <rFont val="Calibri"/>
        <family val="2"/>
        <scheme val="minor"/>
      </rPr>
      <t xml:space="preserve"> </t>
    </r>
    <r>
      <rPr>
        <b/>
        <sz val="18"/>
        <rFont val="Calibri"/>
        <family val="2"/>
        <scheme val="minor"/>
      </rPr>
      <t xml:space="preserve">
رقم :   </t>
    </r>
    <r>
      <rPr>
        <b/>
        <u/>
        <sz val="18"/>
        <color rgb="FF002060"/>
        <rFont val="Calibri"/>
        <family val="2"/>
        <scheme val="minor"/>
      </rPr>
      <t>122201070519</t>
    </r>
    <r>
      <rPr>
        <b/>
        <sz val="18"/>
        <rFont val="Calibri"/>
        <family val="2"/>
        <scheme val="minor"/>
      </rPr>
      <t xml:space="preserve">  برنامج الأسكون
</t>
    </r>
  </si>
  <si>
    <t>37-12-2017</t>
  </si>
  <si>
    <t xml:space="preserve">رواتب فبراير </t>
  </si>
  <si>
    <r>
      <rPr>
        <b/>
        <sz val="28"/>
        <color theme="1"/>
        <rFont val="Calibri"/>
        <family val="2"/>
        <scheme val="minor"/>
      </rPr>
      <t xml:space="preserve">كشف حساب عن الفترة من </t>
    </r>
    <r>
      <rPr>
        <b/>
        <u/>
        <sz val="28"/>
        <color theme="1"/>
        <rFont val="Calibri"/>
        <family val="2"/>
        <scheme val="minor"/>
      </rPr>
      <t>01-01-2017م</t>
    </r>
    <r>
      <rPr>
        <b/>
        <sz val="28"/>
        <color theme="1"/>
        <rFont val="Calibri"/>
        <family val="2"/>
        <scheme val="minor"/>
      </rPr>
      <t xml:space="preserve">  إلى  </t>
    </r>
    <r>
      <rPr>
        <b/>
        <u/>
        <sz val="28"/>
        <color theme="1"/>
        <rFont val="Calibri"/>
        <family val="2"/>
        <scheme val="minor"/>
      </rPr>
      <t>31-12-2017م</t>
    </r>
    <r>
      <rPr>
        <b/>
        <sz val="28"/>
        <color theme="1"/>
        <rFont val="Calibri"/>
        <family val="2"/>
        <scheme val="minor"/>
      </rPr>
      <t xml:space="preserve"> 
</t>
    </r>
    <r>
      <rPr>
        <b/>
        <u/>
        <sz val="33"/>
        <color rgb="FF7030A0"/>
        <rFont val="Calibri"/>
        <family val="2"/>
        <scheme val="minor"/>
      </rPr>
      <t xml:space="preserve">شركة / أحمد سليمان الفهاد مساهمة مغلقة </t>
    </r>
  </si>
  <si>
    <t xml:space="preserve">كشف حساب من 01-01-2017 حتى 31-12-2017 
حساب المهندس /  محمد ربيع ذكي
رقم :   122201070508  برنامج الأسكون
</t>
  </si>
  <si>
    <t>5369 صندوق</t>
  </si>
  <si>
    <t>21-05-2017</t>
  </si>
  <si>
    <t xml:space="preserve">عهدة نقدية لحين التسوية </t>
  </si>
  <si>
    <t>5354 صندوق</t>
  </si>
  <si>
    <t>عهدة نقدية لحين التسوية  ضاغطة 6836</t>
  </si>
  <si>
    <t>5386 صندوق</t>
  </si>
  <si>
    <t>عهدة نقدية لحين التسوية</t>
  </si>
  <si>
    <t>4965 صندوق</t>
  </si>
  <si>
    <t>10-06-2017</t>
  </si>
  <si>
    <t>4740 صندوق</t>
  </si>
  <si>
    <t>4991 صندوق</t>
  </si>
  <si>
    <t>16-06-2016</t>
  </si>
  <si>
    <t>4703 صندوق</t>
  </si>
  <si>
    <t>56-07-2017</t>
  </si>
  <si>
    <t>5394 صندوق</t>
  </si>
  <si>
    <t>39-07-2017</t>
  </si>
  <si>
    <t>5957 صندوق</t>
  </si>
  <si>
    <t>14-08-2017</t>
  </si>
  <si>
    <t>5962 صندوق</t>
  </si>
  <si>
    <t>24-08-2017</t>
  </si>
  <si>
    <t>6179 صندوق</t>
  </si>
  <si>
    <t>37-11-2017</t>
  </si>
  <si>
    <t>1635 صندوق</t>
  </si>
  <si>
    <t>26-12-2017</t>
  </si>
  <si>
    <t>6169 صندوق</t>
  </si>
  <si>
    <t>01 - ربيع - 17</t>
  </si>
  <si>
    <t>34-12-2017</t>
  </si>
  <si>
    <t>تسوية العهدة رقم 01 - ربيع - 17 صيانة بورشة الشمال</t>
  </si>
  <si>
    <t>02 - ربيع - 17</t>
  </si>
  <si>
    <t>35-12-2017</t>
  </si>
  <si>
    <t>تسوية العهدة رقم 02 - ربيع - 17 صيانة بورشة الشمال</t>
  </si>
  <si>
    <t>03 - ربيع - 17</t>
  </si>
  <si>
    <t>36-12-2017</t>
  </si>
  <si>
    <t>تسوية العهدة رقم 03 - ربيع - 17 صيانة بورشة الشمال</t>
  </si>
  <si>
    <t>1781 صندوق</t>
  </si>
  <si>
    <t>البيــــــــــــــــــــــــــــــــــــــــــــــــــــــــــــــــــــــــــــــــــــــــــــــــــــــــــــــــــــــــان</t>
  </si>
  <si>
    <t>بريدة</t>
  </si>
  <si>
    <t>ألوان الشموس</t>
  </si>
  <si>
    <t>دائنون متنوعون</t>
  </si>
  <si>
    <t>تسويات</t>
  </si>
  <si>
    <t>مصروفات إدارية</t>
  </si>
  <si>
    <t>الإدارية و العمومية</t>
  </si>
  <si>
    <t>تأمينات إجتماعية</t>
  </si>
  <si>
    <t>تامينات طبية</t>
  </si>
  <si>
    <t>تأمينات طبية</t>
  </si>
  <si>
    <t>19-01-2017</t>
  </si>
  <si>
    <t>17-03-2017</t>
  </si>
  <si>
    <t>20-04-2017</t>
  </si>
  <si>
    <t>13-08-2017</t>
  </si>
  <si>
    <t>41-07-2017</t>
  </si>
  <si>
    <t>12-06-2017</t>
  </si>
  <si>
    <t>13-09-2017</t>
  </si>
  <si>
    <t>الدائنون التجاريون</t>
  </si>
  <si>
    <t>إيراد جده</t>
  </si>
  <si>
    <t>18-08-2017</t>
  </si>
  <si>
    <t>23-09-2017</t>
  </si>
  <si>
    <t>15-12-2017</t>
  </si>
  <si>
    <t>38-07-2017</t>
  </si>
  <si>
    <t>20-11-2017</t>
  </si>
  <si>
    <t>20-12-2017</t>
  </si>
  <si>
    <t>كفرات</t>
  </si>
  <si>
    <t>إقامات</t>
  </si>
  <si>
    <t>تأمينات معدات</t>
  </si>
  <si>
    <t>إيراد ينبع</t>
  </si>
  <si>
    <t>مصروفات ينبع</t>
  </si>
  <si>
    <t>إكراميات</t>
  </si>
  <si>
    <t>البريد</t>
  </si>
  <si>
    <t>الذكاة و الدخل</t>
  </si>
  <si>
    <t>رسوم بنكية</t>
  </si>
  <si>
    <t>عمولة ضمان</t>
  </si>
  <si>
    <t>منافسات</t>
  </si>
  <si>
    <t>هواتف و انترنت</t>
  </si>
  <si>
    <t>دي اتش ال</t>
  </si>
  <si>
    <t>8467-8468</t>
  </si>
  <si>
    <t>أراضي و مباني</t>
  </si>
  <si>
    <t>عمولات سعي</t>
  </si>
  <si>
    <t>اهلاك</t>
  </si>
  <si>
    <t>بدل سكن</t>
  </si>
  <si>
    <t>رسوم تصنيف</t>
  </si>
  <si>
    <t>إيرادات تشغيلية</t>
  </si>
  <si>
    <t>إيرادات الحاويات</t>
  </si>
  <si>
    <t>حقوق و اجازات</t>
  </si>
  <si>
    <t>إيرادات اخرى</t>
  </si>
  <si>
    <t>التميمي</t>
  </si>
  <si>
    <t>رسوم</t>
  </si>
  <si>
    <t>رسوم اصدار سجلات</t>
  </si>
  <si>
    <t>رخص سيارات</t>
  </si>
  <si>
    <t>صيانة سيارات</t>
  </si>
  <si>
    <t>مصروفات تسويقية</t>
  </si>
  <si>
    <t xml:space="preserve">رسوم </t>
  </si>
  <si>
    <t>خطابات ضمان</t>
  </si>
  <si>
    <t>حوالة للحساب</t>
  </si>
  <si>
    <t>لوح أرقام ( 2439 - 6277 )</t>
  </si>
  <si>
    <t>كامب الرسين دله</t>
  </si>
  <si>
    <t>لوح أرقام ( 3495 )</t>
  </si>
  <si>
    <t>27-01-2017</t>
  </si>
  <si>
    <t>عهدة يناير ينبع</t>
  </si>
  <si>
    <t>27-02-2017</t>
  </si>
  <si>
    <t>عهدة فبراير ينبع</t>
  </si>
  <si>
    <t>محروقات  ( بنزين سيارات )</t>
  </si>
  <si>
    <t>رسوم تليفونات ( بدل اتصال )</t>
  </si>
  <si>
    <t>ديزل</t>
  </si>
  <si>
    <t>حسابات مطلوبة</t>
  </si>
  <si>
    <t>إكراميات و مكافات</t>
  </si>
  <si>
    <t>نسبة إيرادات خارجية</t>
  </si>
  <si>
    <t>مصروفات التشغيل</t>
  </si>
  <si>
    <t>إصلاح و صيانة سيارات</t>
  </si>
  <si>
    <t>المصروفات</t>
  </si>
  <si>
    <t>18-02-2017</t>
  </si>
  <si>
    <t>24-03-2017</t>
  </si>
  <si>
    <t>yanbua march 2017</t>
  </si>
  <si>
    <t>28-04-2017</t>
  </si>
  <si>
    <t>yanbua april 2017</t>
  </si>
  <si>
    <t>31-05-2017</t>
  </si>
  <si>
    <t xml:space="preserve">شيك عهدة مايو ينبع 2017 </t>
  </si>
  <si>
    <t>17-05-2017</t>
  </si>
  <si>
    <t>02-08-2017</t>
  </si>
  <si>
    <t>دفعة تحت الحساب</t>
  </si>
  <si>
    <t>وليد السعيد أحمد محمد</t>
  </si>
  <si>
    <t>23-05-2017</t>
  </si>
  <si>
    <t>حوالة روش روتانا</t>
  </si>
  <si>
    <t>فندق روش روتانا</t>
  </si>
  <si>
    <t>شيك مرفوض</t>
  </si>
  <si>
    <t>حوالة من مصنع مياه الجوف الصحية</t>
  </si>
  <si>
    <t>مصنع مياه الجوف الصحية</t>
  </si>
  <si>
    <t>16-07-2017</t>
  </si>
  <si>
    <t>عبد الرحمن عماش السبيعي العنزي</t>
  </si>
  <si>
    <t>06-06-2017</t>
  </si>
  <si>
    <t>مصنع الوسائط المتعددة</t>
  </si>
  <si>
    <t>04-06-2017</t>
  </si>
  <si>
    <t>حوالة من اسواق يساتين القصيم</t>
  </si>
  <si>
    <t>رسوم طباعة كشف حساب</t>
  </si>
  <si>
    <t>09-06-2017</t>
  </si>
  <si>
    <t>عهدة المدينة المنورة</t>
  </si>
  <si>
    <t>06-09-2017</t>
  </si>
  <si>
    <t>إيداع نقدي من محمد جمعة حامد</t>
  </si>
  <si>
    <t>33-07-2017</t>
  </si>
  <si>
    <t>مطعم أوشال الوادي</t>
  </si>
  <si>
    <t>مطعم ركن هاشم</t>
  </si>
  <si>
    <t>حوالة سهول الخالدية</t>
  </si>
  <si>
    <t>حوالة إتحاد ميار</t>
  </si>
  <si>
    <t>حوالة واردة من محسن</t>
  </si>
  <si>
    <t>حوالة واردة من المؤسسة</t>
  </si>
  <si>
    <t>عبد الله سعد عبد الله داوود</t>
  </si>
  <si>
    <t>مؤسسة الحياة الإبداعية للمقاولات</t>
  </si>
  <si>
    <t>22-07-2017</t>
  </si>
  <si>
    <t>19-07-2017</t>
  </si>
  <si>
    <t>عمر إبراهيم محمد الزغبي</t>
  </si>
  <si>
    <t>08-06-2017</t>
  </si>
  <si>
    <t>فندق موفنبيك الرياض</t>
  </si>
  <si>
    <t>خالد وفا إبراهيم</t>
  </si>
  <si>
    <t xml:space="preserve">سحب شيك </t>
  </si>
  <si>
    <t>حوالة شركة الفهاد</t>
  </si>
  <si>
    <t>شركة أحمد سليمان الفهاد</t>
  </si>
  <si>
    <t>17OGTE48807168</t>
  </si>
  <si>
    <t>07-08-2017</t>
  </si>
  <si>
    <t>مؤسسة المنزل الفضي للتجارة</t>
  </si>
  <si>
    <t>عبيدة عبد الرحمن علي المفلح</t>
  </si>
  <si>
    <t>12-08-2017</t>
  </si>
  <si>
    <t>01-10-2017</t>
  </si>
  <si>
    <t>هاني مصطفى صلاح فوده</t>
  </si>
  <si>
    <t>هشام فرج محمد شحاته</t>
  </si>
  <si>
    <t>محمد عماد جبر</t>
  </si>
  <si>
    <t>أسواق عبد الله العثيم</t>
  </si>
  <si>
    <t>طلال ناصر سليمان الرصيص</t>
  </si>
  <si>
    <t>فايز فتيح الحسين</t>
  </si>
  <si>
    <t>محمد أبو العلا غنيم</t>
  </si>
  <si>
    <t>36-07-2017</t>
  </si>
  <si>
    <t>عهدة احمد سامي</t>
  </si>
  <si>
    <t>عبد الله محمد الجربوع</t>
  </si>
  <si>
    <t>الشركة العربية للتجارة - جده</t>
  </si>
  <si>
    <t>مطعم الراقي</t>
  </si>
  <si>
    <t>سائر عبد العزيز تقلس</t>
  </si>
  <si>
    <t>عبيدة</t>
  </si>
  <si>
    <t>مطعم عبد الله نويجع جابر</t>
  </si>
  <si>
    <t>24-09-2017</t>
  </si>
  <si>
    <t>16OGTE48805140   4
20170928081722</t>
  </si>
  <si>
    <t>مؤسسة المشاري الغالي للمقاولات</t>
  </si>
  <si>
    <t>أحمد إبراهيم السيد أيوب</t>
  </si>
  <si>
    <t>شركة زهران للتجارة</t>
  </si>
  <si>
    <t>سعد محمود الفهد</t>
  </si>
  <si>
    <t>14-09-2017</t>
  </si>
  <si>
    <t>47-07-2017</t>
  </si>
  <si>
    <t>شركة</t>
  </si>
  <si>
    <t>الشركة</t>
  </si>
  <si>
    <t>ok</t>
  </si>
  <si>
    <t>شركة الغذاء الصحي المحدودة</t>
  </si>
  <si>
    <t>شركة تنسيق المدن</t>
  </si>
  <si>
    <t>فندق نرسيس</t>
  </si>
  <si>
    <t>شركة جازولين للخدمات البتروليه</t>
  </si>
  <si>
    <t>26-04-2017</t>
  </si>
  <si>
    <t>18-05-2017</t>
  </si>
  <si>
    <t>22-05-2017</t>
  </si>
  <si>
    <t>شركة نمر العقارية</t>
  </si>
  <si>
    <t xml:space="preserve">شركة سهول الخالدية </t>
  </si>
  <si>
    <t>mohamed khamis</t>
  </si>
  <si>
    <t>OK</t>
  </si>
  <si>
    <t>48-07-2017</t>
  </si>
  <si>
    <t>15-08-2017</t>
  </si>
  <si>
    <t>09-08-2017</t>
  </si>
  <si>
    <t>10-08-2017</t>
  </si>
  <si>
    <t>شركة فرسان للأغذية</t>
  </si>
  <si>
    <t>شركة دار الزهراوي</t>
  </si>
  <si>
    <t>حوالة من فندق موفنبيك</t>
  </si>
  <si>
    <t>شركة مصنع الابتكارات</t>
  </si>
  <si>
    <t>21-09-2017</t>
  </si>
  <si>
    <t>شركة سابتك</t>
  </si>
  <si>
    <t>دفعة 50 % قيمة شراء عدد 2 مكبس كرتون</t>
  </si>
  <si>
    <t>05-08-2017</t>
  </si>
  <si>
    <t>02-09-2017</t>
  </si>
  <si>
    <t>قصر بيوت الثلج</t>
  </si>
  <si>
    <t>مساعد الموسى</t>
  </si>
  <si>
    <t>04-09-2017</t>
  </si>
  <si>
    <t>07-09-2017</t>
  </si>
  <si>
    <t>08-09-2017</t>
  </si>
  <si>
    <t>مطعم</t>
  </si>
  <si>
    <t>09-10-2017</t>
  </si>
  <si>
    <t>17OGTE48809484    2</t>
  </si>
  <si>
    <t>17OGTE48809784    2</t>
  </si>
  <si>
    <t>17OGTE48809786    2</t>
  </si>
  <si>
    <t>18-12-2017</t>
  </si>
  <si>
    <t>16OGTE48806373   4</t>
  </si>
  <si>
    <t>16OGTE48806374   4</t>
  </si>
  <si>
    <t>زامل يحيى للملابس</t>
  </si>
  <si>
    <t>حوالة من عبد اللطيف جميل</t>
  </si>
  <si>
    <t xml:space="preserve">القسط الأول </t>
  </si>
  <si>
    <t>القسط الثاني</t>
  </si>
  <si>
    <t>القسط الثالث</t>
  </si>
  <si>
    <t>القسط الرابع</t>
  </si>
  <si>
    <t>القسط الخامس</t>
  </si>
  <si>
    <t>القسط السادس</t>
  </si>
  <si>
    <t>القسط السابع</t>
  </si>
  <si>
    <t>القسط الثالث لجمجوم للسيارات</t>
  </si>
  <si>
    <t>القسط الرابع لجمجوم للسيارات</t>
  </si>
  <si>
    <t>القسط الخامس لجمجوم للسيارات</t>
  </si>
  <si>
    <t>القسط السادس لجمجوم للسيارات</t>
  </si>
  <si>
    <t>القسط السابع لجمجوم للسيارات</t>
  </si>
  <si>
    <t>شركة عبد اللطيف جميل</t>
  </si>
  <si>
    <t>حسين أحمد حكوم</t>
  </si>
  <si>
    <t>القسط الثامن لجمجوم للسيارات</t>
  </si>
  <si>
    <t>القسط الثامن</t>
  </si>
  <si>
    <t>حسام فواز محمد محمد</t>
  </si>
  <si>
    <t>16OGTE48806649</t>
  </si>
  <si>
    <t xml:space="preserve">إيداع نقدي </t>
  </si>
  <si>
    <t>البنك الاسلامي للتنمية</t>
  </si>
  <si>
    <t>عهدة جده</t>
  </si>
  <si>
    <t>13-11-2017</t>
  </si>
  <si>
    <t>القسط التاسع لجمجوم للسيارات</t>
  </si>
  <si>
    <t>17-12-2017</t>
  </si>
  <si>
    <t>القسط التاسع</t>
  </si>
  <si>
    <t>21-11-2017</t>
  </si>
  <si>
    <t>حامد حسين الحماد</t>
  </si>
  <si>
    <t>IBN KHALDOON SCHOOLS CO.</t>
  </si>
  <si>
    <t>شركة مدارس بن خلدن</t>
  </si>
  <si>
    <t>شركة الصفوة العقارية</t>
  </si>
  <si>
    <t>فندق المدار</t>
  </si>
  <si>
    <t>مؤسسة شارة الأستثمار للتجارة</t>
  </si>
  <si>
    <t>فندق التنفذيين</t>
  </si>
  <si>
    <t>فندق التنفيذيين</t>
  </si>
  <si>
    <t>17-09-2017</t>
  </si>
  <si>
    <t>شركة مصنع وسائط النقل</t>
  </si>
  <si>
    <t>رصيد مدين</t>
  </si>
  <si>
    <t>04-10-2017</t>
  </si>
  <si>
    <t>10-10-2017</t>
  </si>
  <si>
    <t>14-10-2017</t>
  </si>
  <si>
    <t>مخبز حول المدينة</t>
  </si>
  <si>
    <t>مطعم بيت مسك</t>
  </si>
  <si>
    <t>مجمع عيادات المحيش</t>
  </si>
  <si>
    <t>11-11-2017</t>
  </si>
  <si>
    <t>12-11-2017</t>
  </si>
  <si>
    <t>sabtek</t>
  </si>
  <si>
    <t>50 % down payment for cartoon compactor</t>
  </si>
  <si>
    <t>15-11-2017</t>
  </si>
  <si>
    <t>06-11-2017</t>
  </si>
  <si>
    <t>22-11-2017</t>
  </si>
  <si>
    <t>01-11-2017</t>
  </si>
  <si>
    <t>شركة مدارس بن خلدون التعليمية</t>
  </si>
  <si>
    <t>شركة أطياف التكنولوجيا - رغد سابقا</t>
  </si>
  <si>
    <t>02-12-2017</t>
  </si>
  <si>
    <t>عهدة طارق علي</t>
  </si>
  <si>
    <t>23-12-2017</t>
  </si>
  <si>
    <t>29-12-2017</t>
  </si>
  <si>
    <t>43-12-2017</t>
  </si>
  <si>
    <t>06-12-2017</t>
  </si>
  <si>
    <t>تحت التحصيل</t>
  </si>
  <si>
    <t>شركة الابتكارات العقارية</t>
  </si>
  <si>
    <t>شركة الشريف للبلاستيك</t>
  </si>
  <si>
    <t>مطعم أوشال الوادي - محمد الكاتب</t>
  </si>
  <si>
    <t>المسكن الاقتصادي للأستثمار</t>
  </si>
  <si>
    <t>مطاعم سيزلر هاوس</t>
  </si>
  <si>
    <t>أوراد للوحدات السكنية - محمد الكاتب</t>
  </si>
  <si>
    <t>19-06-2017</t>
  </si>
  <si>
    <t xml:space="preserve">عهدة ينبع يونيو 2017 </t>
  </si>
  <si>
    <t>عهدة ينبع يوليو 2017</t>
  </si>
  <si>
    <t xml:space="preserve">عهدة ينبع يوليو 2017 </t>
  </si>
  <si>
    <t>57-07-2017</t>
  </si>
  <si>
    <t xml:space="preserve">عهدة ينبع أغسطس 2017 </t>
  </si>
  <si>
    <t xml:space="preserve">عهدة احمد سعد </t>
  </si>
  <si>
    <t>تم</t>
  </si>
  <si>
    <t>الرواتب المسيرات</t>
  </si>
  <si>
    <t>مالك الجابري</t>
  </si>
  <si>
    <t>المدينون</t>
  </si>
  <si>
    <t>حوادث</t>
  </si>
  <si>
    <t>تأمين معدات</t>
  </si>
  <si>
    <t>تأجير سيارات</t>
  </si>
  <si>
    <t>احساء</t>
  </si>
  <si>
    <t>اجازات</t>
  </si>
  <si>
    <t>حوداث</t>
  </si>
  <si>
    <t>ص.سيارات</t>
  </si>
  <si>
    <t>دي اتش</t>
  </si>
  <si>
    <t>عمولات ضمان</t>
  </si>
  <si>
    <t>كراسات شروط</t>
  </si>
  <si>
    <t>27-08-2017</t>
  </si>
  <si>
    <t>عهدة ينبع سبتمبر 2017</t>
  </si>
  <si>
    <t>28-08-2017</t>
  </si>
  <si>
    <t>46-12-2017</t>
  </si>
  <si>
    <t>عهدة ينبع أكتوبر 2017</t>
  </si>
  <si>
    <t>24-10-2017</t>
  </si>
  <si>
    <t>عهدة ينبع نوفمبر 2017</t>
  </si>
  <si>
    <t>مطعم ارياب ينبع</t>
  </si>
  <si>
    <t>41-11-2017</t>
  </si>
  <si>
    <t>عهدة ينبع ديسمبر 2017</t>
  </si>
  <si>
    <t>49-12-2017</t>
  </si>
  <si>
    <t>عهدة شهر يونيو 2017</t>
  </si>
  <si>
    <t>عهدة شهر مايو 2017</t>
  </si>
  <si>
    <t>عهدة شهر يوليو 2017</t>
  </si>
  <si>
    <t>عهدة شهر أغسطس 2017</t>
  </si>
  <si>
    <t>عهدة شهر سبتمبر 2017</t>
  </si>
  <si>
    <t xml:space="preserve">تسوية المتبقي من عهدة أغسطس و سبتمبر </t>
  </si>
  <si>
    <t>عهدة شهر أكتوبر 2017</t>
  </si>
  <si>
    <t>تسوية عهدة أكتوبر و نوفمبر 2017</t>
  </si>
  <si>
    <t>عهدة شهر مارس 2017</t>
  </si>
  <si>
    <t>عهدة شهر إبريل 2017</t>
  </si>
  <si>
    <t>عهدة شهر فبراير 2017</t>
  </si>
  <si>
    <t>عهدة يناير 2017</t>
  </si>
  <si>
    <t>تسوية عهدة ديسمبر 2016</t>
  </si>
  <si>
    <t>تصفية بالمدين لعامل 690211</t>
  </si>
  <si>
    <t>50-12-2017</t>
  </si>
  <si>
    <t>110-111-112-113</t>
  </si>
  <si>
    <t>84-85-86</t>
  </si>
  <si>
    <t xml:space="preserve">حوالة واردة بتاريخ 15 يناير 2017 م  عن الفواتير أرقام 84 - 85 - 86           Bank transfer  </t>
  </si>
  <si>
    <t xml:space="preserve">حوالة واردة بتاريخ 15 يناير 2017 م  عن الفواتير أرقام 110-111-112-113  Bank transfer </t>
  </si>
  <si>
    <t>حوالة واردة                                                                                        Bank Transfer</t>
  </si>
  <si>
    <t>حوالة بتاريخ 26 مارس 2017 سداد الفاتورة رقم 181                               Bank Transfer</t>
  </si>
  <si>
    <t>فاتورة رقم 264                                                                                 Invoice No 264</t>
  </si>
  <si>
    <t>فاتورة رقم 263                                                                                 Invoice No 263</t>
  </si>
  <si>
    <t>فاتورة رقم 253                                                                                 Invoice No 253</t>
  </si>
  <si>
    <t>فاتورة رقم 252                                                                                 Invoice No 252</t>
  </si>
  <si>
    <t>فاتورة رقم 251                                                                                 Invoice No 251</t>
  </si>
  <si>
    <t>فاتورة رقم 250                                                                                 Invoice No 250</t>
  </si>
  <si>
    <t>فاتورة رقم 154                                                                                 Invoice No 154</t>
  </si>
  <si>
    <t>فاتورة رقم 155                                                                                 Invoice No 155</t>
  </si>
  <si>
    <t>فاتورة رقم 156                                                                                 Invoice No 156</t>
  </si>
  <si>
    <t>فاتورة رقم 180                                                                                 Invoice No 180</t>
  </si>
  <si>
    <t>فاتورة رقم 181                                                                                 Invoice No 181</t>
  </si>
  <si>
    <t>فاتورة رقم 187                                                                                 Invoice No 187</t>
  </si>
  <si>
    <t>فاتورة رقم 188                                                                                 Invoice No 188</t>
  </si>
  <si>
    <t>فاتورة رقم 189                                                                                 Invoice No 189</t>
  </si>
  <si>
    <t>فاتورة رقم 190                                                                                 Invoice No 190</t>
  </si>
  <si>
    <t>فاتورة رقم 207                                                                                 Invoice No 207</t>
  </si>
  <si>
    <t>فاتورة رقم 208                                                                                 Invoice No 208</t>
  </si>
  <si>
    <t>فاتورة رقم 209                                                                                 Invoice No 209</t>
  </si>
  <si>
    <t>فاتورة رقم 265                                                                                 Invoice No 265</t>
  </si>
  <si>
    <t>فاتورة رقم 266                                                                                 Invoice No 266</t>
  </si>
  <si>
    <t>فاتورة رقم 299                                                                                 Invoice No 299</t>
  </si>
  <si>
    <t>فاتورة رقم 300                                                                                 Invoice No 300</t>
  </si>
  <si>
    <t>فاتورة رقم 301                                                                                 Invoice No 301</t>
  </si>
  <si>
    <t>فاتورة رقم 324                                                                                 Invoice No 324</t>
  </si>
  <si>
    <t>فاتورة رقم 325                                                                                 Invoice No 325</t>
  </si>
  <si>
    <t>فاتورة رقم 326                                                                                 Invoice No 326</t>
  </si>
  <si>
    <t>فاتورة رقم 336                                                                                 Invoice No 336</t>
  </si>
  <si>
    <t>فاتورة رقم 354                                                                                 Invoice No 354</t>
  </si>
  <si>
    <t>فاتورة رقم 355                                                                                 Invoice No 355</t>
  </si>
  <si>
    <t>فاتورة رقم 356                                                                                 Invoice No 356</t>
  </si>
  <si>
    <t>فاتورة رقم 357                                                                                 Invoice No 357</t>
  </si>
  <si>
    <t>فاتورة رقم 391                                                                                 Invoice No 391</t>
  </si>
  <si>
    <t>فاتورة رقم 392                                                                                 Invoice No 392</t>
  </si>
  <si>
    <t>فاتورة رقم 394                                                                                 Invoice No 394</t>
  </si>
  <si>
    <t>فاتورة رقم 393                                                                                 Invoice No 393</t>
  </si>
  <si>
    <t>فاتورة رقم 409                                                                                 Invoice No 409</t>
  </si>
  <si>
    <t>فاتورة رقم 416                                                                                 Invoice No 416</t>
  </si>
  <si>
    <t>فاتورة رقم 417                                                                                 Invoice No 417</t>
  </si>
  <si>
    <t>فاتورة رقم 418                                                                                 Invoice No 418</t>
  </si>
  <si>
    <t>فاتورة رقم 480                                                                                 Invoice No 480</t>
  </si>
  <si>
    <t>فاتورة رقم 481                                                                                 Invoice No 481</t>
  </si>
  <si>
    <t>فاتورة رقم 482                                                                                 Invoice No 482</t>
  </si>
  <si>
    <t>فاتورة رقم 479                                                                                 Invoice No 479</t>
  </si>
  <si>
    <r>
      <t xml:space="preserve">كشف حساب عن الفترة من  </t>
    </r>
    <r>
      <rPr>
        <b/>
        <u/>
        <sz val="18"/>
        <color theme="1"/>
        <rFont val="Calibri"/>
        <family val="2"/>
        <scheme val="minor"/>
      </rPr>
      <t>01-01-2017م</t>
    </r>
    <r>
      <rPr>
        <b/>
        <sz val="18"/>
        <color theme="1"/>
        <rFont val="Calibri"/>
        <family val="2"/>
        <scheme val="minor"/>
      </rPr>
      <t xml:space="preserve">  حتى  </t>
    </r>
    <r>
      <rPr>
        <b/>
        <u/>
        <sz val="18"/>
        <color theme="1"/>
        <rFont val="Calibri"/>
        <family val="2"/>
        <scheme val="minor"/>
      </rPr>
      <t>31-12-2017 م</t>
    </r>
    <r>
      <rPr>
        <b/>
        <sz val="18"/>
        <color theme="1"/>
        <rFont val="Calibri"/>
        <family val="2"/>
        <scheme val="minor"/>
      </rPr>
      <t xml:space="preserve">
</t>
    </r>
    <r>
      <rPr>
        <b/>
        <u/>
        <sz val="16"/>
        <color theme="1"/>
        <rFont val="Calibri"/>
        <family val="2"/>
        <scheme val="minor"/>
      </rPr>
      <t xml:space="preserve">الشركة السعودية للتموين (( المطار )) 
Saudi Airlines Catering
</t>
    </r>
    <r>
      <rPr>
        <b/>
        <u/>
        <sz val="16"/>
        <color rgb="FF7030A0"/>
        <rFont val="Calibri"/>
        <family val="2"/>
        <scheme val="minor"/>
      </rPr>
      <t>Acc No : 122301000072</t>
    </r>
  </si>
  <si>
    <t>28-01-2017</t>
  </si>
  <si>
    <t>28-02-2017</t>
  </si>
  <si>
    <t>25-03-2017</t>
  </si>
  <si>
    <t>29-04-2017</t>
  </si>
  <si>
    <t>21-06-2017</t>
  </si>
  <si>
    <t>58-07-2017</t>
  </si>
  <si>
    <t>33-05-2017</t>
  </si>
  <si>
    <t>32-09-2017</t>
  </si>
  <si>
    <t>42-11-2017</t>
  </si>
  <si>
    <t>19-11-2017</t>
  </si>
  <si>
    <t>50-07-2017</t>
  </si>
  <si>
    <t>19-08-2017</t>
  </si>
  <si>
    <t>12-10-2017</t>
  </si>
  <si>
    <t>17-11-2017</t>
  </si>
  <si>
    <t>24-04-2017</t>
  </si>
  <si>
    <t>22-03-2017</t>
  </si>
  <si>
    <t>21-03-2017</t>
  </si>
  <si>
    <t>24-02-2017</t>
  </si>
  <si>
    <t>49-07-2017</t>
  </si>
  <si>
    <t>19-12-2017</t>
  </si>
  <si>
    <t>18-11-2017</t>
  </si>
  <si>
    <t>23-01-2017</t>
  </si>
  <si>
    <t>MOHAMED SALAH</t>
  </si>
  <si>
    <t>AL AREEL</t>
  </si>
  <si>
    <t xml:space="preserve">KANAT AL OMRAN </t>
  </si>
  <si>
    <t>AL MASKEN AL EQTESADY</t>
  </si>
  <si>
    <t>BOUDL</t>
  </si>
  <si>
    <t>AGWAD ALMUNIUM</t>
  </si>
  <si>
    <t>JANA AL RIYADH</t>
  </si>
  <si>
    <t>مشروع ينبع</t>
  </si>
  <si>
    <t>مطعم بيت المسك - عهدة محمد السعيد</t>
  </si>
  <si>
    <t>محل متاجر المملكة - مشروع جده</t>
  </si>
  <si>
    <t>شركة العربية الفاخرة - مشروع جده</t>
  </si>
  <si>
    <t>شركة ميداس</t>
  </si>
  <si>
    <t>حمدان عويد البدر</t>
  </si>
  <si>
    <t>مجموعة بن لادن</t>
  </si>
  <si>
    <t>29-02-2017</t>
  </si>
  <si>
    <t>43-11-2017</t>
  </si>
  <si>
    <t>29-01-2017</t>
  </si>
  <si>
    <t xml:space="preserve">حوالة واردة بتاريخ 25 يناير 2017 م                                                       Bank transfer  </t>
  </si>
  <si>
    <t>مؤسسة سامر حسين غراب</t>
  </si>
  <si>
    <t>عهدة مشروع جده</t>
  </si>
  <si>
    <t>متاجر و مخابز رابية المملكة</t>
  </si>
  <si>
    <t xml:space="preserve">فندق و مطاعم الديار </t>
  </si>
  <si>
    <t>محمد شفيق فيلان</t>
  </si>
  <si>
    <t>مرفوض</t>
  </si>
  <si>
    <t>فاتورة رقم 410                                                                                 Invoice No 410</t>
  </si>
  <si>
    <t>فاتورة رقم 411                                                                                 Invoice No 411</t>
  </si>
  <si>
    <t>فاتورة رقم 412                                                                                 Invoice No 412</t>
  </si>
  <si>
    <t>شركة الرسالة الواضحة العالمية - فواتير 136-138</t>
  </si>
  <si>
    <t>مدارس جسور المعرفة العالمية</t>
  </si>
  <si>
    <t>54-12-2017</t>
  </si>
  <si>
    <t>31-08-2017</t>
  </si>
  <si>
    <t>34-05-2017</t>
  </si>
  <si>
    <t>26-03-2017</t>
  </si>
  <si>
    <t>26-10-2017</t>
  </si>
  <si>
    <t>46-11-2017</t>
  </si>
  <si>
    <t>30-01-2017</t>
  </si>
  <si>
    <t>52-12-2017</t>
  </si>
  <si>
    <t>22-06-2017</t>
  </si>
  <si>
    <t>30-08-2017</t>
  </si>
  <si>
    <t>55-12-2017</t>
  </si>
  <si>
    <t>شركة عبد اللطيف جميل من 1-1 حتى 30-06-2017</t>
  </si>
  <si>
    <t>شركة عبد اللطيف جميل - شهر 7</t>
  </si>
  <si>
    <t>شركة عبد اللطيف جميل شهر 8</t>
  </si>
  <si>
    <t>شركة عبد اللطيف جميل شهر 9</t>
  </si>
  <si>
    <t>شركة الدواجن الوطنية</t>
  </si>
  <si>
    <t>حوالة من شركة الدواجن الوطنية</t>
  </si>
  <si>
    <t>53-12-2017</t>
  </si>
  <si>
    <t>متنوعة</t>
  </si>
  <si>
    <t>غير واضحة</t>
  </si>
  <si>
    <t>الذكاة والدخل</t>
  </si>
  <si>
    <t>تصنيف و بريد</t>
  </si>
  <si>
    <t>هواتف</t>
  </si>
  <si>
    <t>دعاية</t>
  </si>
  <si>
    <t>ضيافة</t>
  </si>
  <si>
    <t>رسوم إصدار سجلات</t>
  </si>
  <si>
    <t>تذاكر</t>
  </si>
  <si>
    <t>رسوم اخرى</t>
  </si>
  <si>
    <t>رسوم ضمان</t>
  </si>
  <si>
    <t>اطراف ذات علاقة</t>
  </si>
  <si>
    <t>عهدة محمد الكاتب</t>
  </si>
  <si>
    <t>إيرادات نفايات</t>
  </si>
  <si>
    <t>56-12-2017</t>
  </si>
  <si>
    <t>عهدة مالك الجابري</t>
  </si>
  <si>
    <t>57-12-2017</t>
  </si>
  <si>
    <t>58-12-2017</t>
  </si>
  <si>
    <t>25-06-2017</t>
  </si>
  <si>
    <t>تنسيق المدن</t>
  </si>
  <si>
    <t>أسواق شارة</t>
  </si>
  <si>
    <t>جعفر الشناف</t>
  </si>
  <si>
    <t>شركة مصنع أطياف التكنولولجيا</t>
  </si>
  <si>
    <t>مطعم البيت البلدي</t>
  </si>
  <si>
    <t>شركة عبد الحكيم العضيب</t>
  </si>
  <si>
    <t>شركة مسك للأغذية</t>
  </si>
  <si>
    <t>شركة ابناء إبراهيم السلمان</t>
  </si>
  <si>
    <t>فندق دبل ثري هيلتون</t>
  </si>
  <si>
    <t>سكاي مول</t>
  </si>
  <si>
    <t>شركة الصفوة الغذائية</t>
  </si>
  <si>
    <t>61-12-2017</t>
  </si>
  <si>
    <t>63-12-2017</t>
  </si>
  <si>
    <t>ملغي</t>
  </si>
  <si>
    <t>64-12-2017</t>
  </si>
  <si>
    <t>65-12-2017</t>
  </si>
  <si>
    <t>opening</t>
  </si>
  <si>
    <t>26-11-2017</t>
  </si>
  <si>
    <t>عهد نقدية</t>
  </si>
  <si>
    <t xml:space="preserve">كشف حساب من 01-01-2017 حتى 31-12-2017 
حساب شركة /  مصنع وسائط النقل
</t>
  </si>
  <si>
    <t>الوحدة</t>
  </si>
  <si>
    <t>من رقم</t>
  </si>
  <si>
    <t>إلى رقم</t>
  </si>
  <si>
    <t>حاوية</t>
  </si>
  <si>
    <t>سعر
الحبة</t>
  </si>
  <si>
    <t>غطاء/بدون</t>
  </si>
  <si>
    <t>بدون</t>
  </si>
  <si>
    <t>غطاء</t>
  </si>
  <si>
    <t>-</t>
  </si>
  <si>
    <t>G-001</t>
  </si>
  <si>
    <t>G-028</t>
  </si>
  <si>
    <t xml:space="preserve">حائل </t>
  </si>
  <si>
    <t>الوصف</t>
  </si>
  <si>
    <t>صيانة</t>
  </si>
  <si>
    <t>08&amp;120&amp;121</t>
  </si>
  <si>
    <t>65&amp;72&amp;80</t>
  </si>
  <si>
    <t>67&amp;73&amp;78</t>
  </si>
  <si>
    <t>106&amp;98&amp;54</t>
  </si>
  <si>
    <t>متنوع</t>
  </si>
  <si>
    <t>2438&amp;2390</t>
  </si>
  <si>
    <t>سداد</t>
  </si>
  <si>
    <t>17-01-2017</t>
  </si>
  <si>
    <t>2700-2703</t>
  </si>
  <si>
    <t>2706-2726</t>
  </si>
  <si>
    <t>2727-2751</t>
  </si>
  <si>
    <t>2752-2801</t>
  </si>
  <si>
    <t>30-11-2017</t>
  </si>
  <si>
    <t>10&amp;20</t>
  </si>
  <si>
    <t>07-12-2017</t>
  </si>
  <si>
    <t>جزء من الفاتورة 728-729</t>
  </si>
  <si>
    <t>18-04-2017</t>
  </si>
  <si>
    <t xml:space="preserve"> مكابس - KASEB UNITED سكاي مول </t>
  </si>
  <si>
    <t xml:space="preserve"> مكابس -MEDAS</t>
  </si>
  <si>
    <r>
      <rPr>
        <b/>
        <u/>
        <sz val="18"/>
        <color rgb="FFFF0000"/>
        <rFont val="Calibri"/>
        <family val="2"/>
        <scheme val="minor"/>
      </rPr>
      <t>50392</t>
    </r>
    <r>
      <rPr>
        <b/>
        <sz val="18"/>
        <color rgb="FF000000"/>
        <rFont val="Calibri"/>
        <family val="2"/>
        <scheme val="minor"/>
      </rPr>
      <t xml:space="preserve"> تصفية - حاويات الرسين</t>
    </r>
  </si>
  <si>
    <r>
      <t xml:space="preserve">توثيق خطابات تضامن (الفهاد - </t>
    </r>
    <r>
      <rPr>
        <b/>
        <u/>
        <sz val="18"/>
        <color rgb="FFFF0000"/>
        <rFont val="Calibri"/>
        <family val="2"/>
        <scheme val="minor"/>
      </rPr>
      <t>الرفاد</t>
    </r>
    <r>
      <rPr>
        <b/>
        <sz val="18"/>
        <color rgb="FF000000"/>
        <rFont val="Calibri"/>
        <family val="2"/>
        <scheme val="minor"/>
      </rPr>
      <t xml:space="preserve"> )</t>
    </r>
  </si>
  <si>
    <r>
      <t xml:space="preserve">إجمالي الراتب بالتصفية </t>
    </r>
    <r>
      <rPr>
        <b/>
        <u/>
        <sz val="18"/>
        <color rgb="FFFF0000"/>
        <rFont val="Calibri"/>
        <family val="2"/>
        <scheme val="minor"/>
      </rPr>
      <t>95467</t>
    </r>
    <r>
      <rPr>
        <b/>
        <sz val="18"/>
        <color rgb="FF000000"/>
        <rFont val="Calibri"/>
        <family val="2"/>
        <scheme val="minor"/>
      </rPr>
      <t xml:space="preserve"> مشرف دولال مياه settlement PST0018245</t>
    </r>
  </si>
  <si>
    <r>
      <rPr>
        <b/>
        <u/>
        <sz val="18"/>
        <color rgb="FFFF0000"/>
        <rFont val="Calibri"/>
        <family val="2"/>
        <scheme val="minor"/>
      </rPr>
      <t>80972</t>
    </r>
    <r>
      <rPr>
        <b/>
        <sz val="18"/>
        <color rgb="FF000000"/>
        <rFont val="Calibri"/>
        <family val="2"/>
        <scheme val="minor"/>
      </rPr>
      <t xml:space="preserve"> - مخالفة غير مدرجة بجدول التحمل على الموظفين</t>
    </r>
  </si>
  <si>
    <r>
      <t xml:space="preserve">إجمالي الراتب بالتصفية </t>
    </r>
    <r>
      <rPr>
        <b/>
        <u/>
        <sz val="18"/>
        <color rgb="FFFF0000"/>
        <rFont val="Calibri"/>
        <family val="2"/>
        <scheme val="minor"/>
      </rPr>
      <t>793887</t>
    </r>
    <r>
      <rPr>
        <b/>
        <sz val="18"/>
        <color rgb="FF000000"/>
        <rFont val="Calibri"/>
        <family val="2"/>
        <scheme val="minor"/>
      </rPr>
      <t xml:space="preserve"> فيراياه يلاياه بيسا settlement PST0018567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</si>
  <si>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60093</t>
    </r>
    <r>
      <rPr>
        <b/>
        <sz val="18"/>
        <color rgb="FF000000"/>
        <rFont val="Calibri"/>
        <family val="2"/>
        <scheme val="minor"/>
      </rPr>
      <t xml:space="preserve"> SANTHOSH NAIR settlement PST0018611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</si>
  <si>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84620</t>
    </r>
    <r>
      <rPr>
        <b/>
        <sz val="18"/>
        <color rgb="FF000000"/>
        <rFont val="Calibri"/>
        <family val="2"/>
        <scheme val="minor"/>
      </rPr>
      <t xml:space="preserve"> MOHAMED MOHAMED U MAKKEEN settlement PST0018841</t>
    </r>
  </si>
  <si>
    <r>
      <rPr>
        <b/>
        <u/>
        <sz val="18"/>
        <color rgb="FFFF0000"/>
        <rFont val="Calibri"/>
        <family val="2"/>
        <scheme val="minor"/>
      </rPr>
      <t>93854</t>
    </r>
    <r>
      <rPr>
        <b/>
        <sz val="18"/>
        <color rgb="FF000000"/>
        <rFont val="Calibri"/>
        <family val="2"/>
        <scheme val="minor"/>
      </rPr>
      <t xml:space="preserve"> تصفية مستحقات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</si>
  <si>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50973</t>
    </r>
    <r>
      <rPr>
        <b/>
        <sz val="18"/>
        <color rgb="FF000000"/>
        <rFont val="Calibri"/>
        <family val="2"/>
        <scheme val="minor"/>
      </rPr>
      <t xml:space="preserve"> MEDHAT ELSHERBINY HUSSEIN ALI settlement PST0018895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</si>
  <si>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96228</t>
    </r>
    <r>
      <rPr>
        <b/>
        <sz val="18"/>
        <color rgb="FF000000"/>
        <rFont val="Calibri"/>
        <family val="2"/>
        <scheme val="minor"/>
      </rPr>
      <t xml:space="preserve"> RAHIM SAMAD MIAH settlement PST0019266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</si>
  <si>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30560</t>
    </r>
    <r>
      <rPr>
        <b/>
        <sz val="18"/>
        <color rgb="FF000000"/>
        <rFont val="Calibri"/>
        <family val="2"/>
        <scheme val="minor"/>
      </rPr>
      <t xml:space="preserve"> MOHAMED HASSAN WAHID ALI SAYED AHMED settlement PST0019265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</si>
  <si>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30187</t>
    </r>
    <r>
      <rPr>
        <b/>
        <sz val="18"/>
        <color rgb="FF000000"/>
        <rFont val="Calibri"/>
        <family val="2"/>
        <scheme val="minor"/>
      </rPr>
      <t xml:space="preserve"> HOSNI OTHMAN ABDEL KADER settlement PST0019480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</si>
  <si>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97185</t>
    </r>
    <r>
      <rPr>
        <b/>
        <sz val="18"/>
        <color rgb="FF000000"/>
        <rFont val="Calibri"/>
        <family val="2"/>
        <scheme val="minor"/>
      </rPr>
      <t xml:space="preserve"> MOMIN ASAR UDDIN MOLLIKA settlement PST0019634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</si>
  <si>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50952</t>
    </r>
    <r>
      <rPr>
        <b/>
        <sz val="18"/>
        <color rgb="FF000000"/>
        <rFont val="Calibri"/>
        <family val="2"/>
        <scheme val="minor"/>
      </rPr>
      <t xml:space="preserve"> OSAMA ELSAID IBRAHIM MOGHAZY settlement PST0019706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</si>
  <si>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50920</t>
    </r>
    <r>
      <rPr>
        <b/>
        <sz val="18"/>
        <color rgb="FF000000"/>
        <rFont val="Calibri"/>
        <family val="2"/>
        <scheme val="minor"/>
      </rPr>
      <t xml:space="preserve"> MOHAMED ABDELRAOUF KAMAL MAHMOUD settlement PST0020165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</si>
  <si>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84619</t>
    </r>
    <r>
      <rPr>
        <b/>
        <sz val="18"/>
        <color rgb="FF000000"/>
        <rFont val="Calibri"/>
        <family val="2"/>
        <scheme val="minor"/>
      </rPr>
      <t xml:space="preserve"> MOHAMED MOHAMED A KABAR settlement PST0020095</t>
    </r>
  </si>
  <si>
    <r>
      <rPr>
        <b/>
        <u/>
        <sz val="18"/>
        <color rgb="FFFF0000"/>
        <rFont val="Calibri"/>
        <family val="2"/>
        <scheme val="minor"/>
      </rPr>
      <t>792273</t>
    </r>
    <r>
      <rPr>
        <b/>
        <sz val="18"/>
        <color rgb="FF000000"/>
        <rFont val="Calibri"/>
        <family val="2"/>
        <scheme val="minor"/>
      </rPr>
      <t xml:space="preserve"> تصفية مستحقات - حاويات الرسين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</si>
  <si>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85195</t>
    </r>
    <r>
      <rPr>
        <b/>
        <sz val="18"/>
        <color rgb="FF000000"/>
        <rFont val="Calibri"/>
        <family val="2"/>
        <scheme val="minor"/>
      </rPr>
      <t xml:space="preserve"> رون مياه مدولال settlement PST0020142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</si>
  <si>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96267</t>
    </r>
    <r>
      <rPr>
        <b/>
        <sz val="18"/>
        <color rgb="FF000000"/>
        <rFont val="Calibri"/>
        <family val="2"/>
        <scheme val="minor"/>
      </rPr>
      <t xml:space="preserve"> MANIK MIAH SORHAB UDDIN settlement PST0020373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</si>
  <si>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98199</t>
    </r>
    <r>
      <rPr>
        <b/>
        <sz val="18"/>
        <color rgb="FF000000"/>
        <rFont val="Calibri"/>
        <family val="2"/>
        <scheme val="minor"/>
      </rPr>
      <t xml:space="preserve"> ZILLUR RAHMAN ABDUR RAHIM settlement PST0020932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</si>
  <si>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690142</t>
    </r>
    <r>
      <rPr>
        <b/>
        <sz val="18"/>
        <color rgb="FF000000"/>
        <rFont val="Calibri"/>
        <family val="2"/>
        <scheme val="minor"/>
      </rPr>
      <t xml:space="preserve"> MOUSTAFA MOHAMED ALI RAHOMH settlement PST0021010</t>
    </r>
  </si>
  <si>
    <r>
      <t xml:space="preserve">عمولة اصدار ضمان ابتدائى رقم ( 6109819 ) مؤسسة </t>
    </r>
    <r>
      <rPr>
        <b/>
        <u/>
        <sz val="18"/>
        <color rgb="FFFF0000"/>
        <rFont val="Calibri"/>
        <family val="2"/>
        <scheme val="minor"/>
      </rPr>
      <t>الرفاد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</si>
  <si>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70862</t>
    </r>
    <r>
      <rPr>
        <b/>
        <sz val="18"/>
        <color rgb="FF000000"/>
        <rFont val="Calibri"/>
        <family val="2"/>
        <scheme val="minor"/>
      </rPr>
      <t xml:space="preserve"> SABIR ALAM SOYAB ANSARI settlement PST0021004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</si>
  <si>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590091</t>
    </r>
    <r>
      <rPr>
        <b/>
        <sz val="18"/>
        <color rgb="FF000000"/>
        <rFont val="Calibri"/>
        <family val="2"/>
        <scheme val="minor"/>
      </rPr>
      <t xml:space="preserve"> MOAMEN FAWZI MOHAMED SHARKAS settlement PST0021141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</si>
  <si>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82703</t>
    </r>
    <r>
      <rPr>
        <b/>
        <sz val="18"/>
        <color rgb="FF000000"/>
        <rFont val="Calibri"/>
        <family val="2"/>
        <scheme val="minor"/>
      </rPr>
      <t xml:space="preserve"> AJMAL FAROOQ MUHAMMAD SIDDIQUE settlement PST0021747</t>
    </r>
  </si>
  <si>
    <r>
      <rPr>
        <b/>
        <u/>
        <sz val="18"/>
        <color rgb="FFFF0000"/>
        <rFont val="Calibri"/>
        <family val="2"/>
        <scheme val="minor"/>
      </rPr>
      <t>50986</t>
    </r>
    <r>
      <rPr>
        <b/>
        <sz val="18"/>
        <color rgb="FF000000"/>
        <rFont val="Calibri"/>
        <family val="2"/>
        <scheme val="minor"/>
      </rPr>
      <t xml:space="preserve"> مسير رواتب لم يدرج - حاويات الرسين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</si>
  <si>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792345</t>
    </r>
    <r>
      <rPr>
        <b/>
        <sz val="18"/>
        <color rgb="FF000000"/>
        <rFont val="Calibri"/>
        <family val="2"/>
        <scheme val="minor"/>
      </rPr>
      <t xml:space="preserve"> MAHABUBUR RAHMAN NASU MIAH settlement PST0021324</t>
    </r>
  </si>
  <si>
    <r>
      <t>سداد مخالفة مرورية على السيارة رقم (</t>
    </r>
    <r>
      <rPr>
        <b/>
        <u/>
        <sz val="18"/>
        <color rgb="FFFF0000"/>
        <rFont val="Calibri"/>
        <family val="2"/>
        <scheme val="minor"/>
      </rPr>
      <t xml:space="preserve"> د ب ن 8432 </t>
    </r>
    <r>
      <rPr>
        <b/>
        <sz val="18"/>
        <color rgb="FF000000"/>
        <rFont val="Calibri"/>
        <family val="2"/>
        <scheme val="minor"/>
      </rPr>
      <t>) تجاوز السرعة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</si>
  <si>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795008</t>
    </r>
    <r>
      <rPr>
        <b/>
        <sz val="18"/>
        <color rgb="FF000000"/>
        <rFont val="Calibri"/>
        <family val="2"/>
        <scheme val="minor"/>
      </rPr>
      <t xml:space="preserve"> RAMACHANDRAN SEEMAICHAMY settlement PST0021870</t>
    </r>
  </si>
  <si>
    <r>
      <t xml:space="preserve">أراضي </t>
    </r>
    <r>
      <rPr>
        <b/>
        <u/>
        <sz val="18"/>
        <color rgb="FFFF0000"/>
        <rFont val="Calibri"/>
        <family val="2"/>
        <scheme val="minor"/>
      </rPr>
      <t>و مباني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</si>
  <si>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690234</t>
    </r>
    <r>
      <rPr>
        <b/>
        <sz val="18"/>
        <color rgb="FF000000"/>
        <rFont val="Calibri"/>
        <family val="2"/>
        <scheme val="minor"/>
      </rPr>
      <t xml:space="preserve"> SADDAM HOSSAIN MOSTOB ALI settlement PST0022432</t>
    </r>
  </si>
  <si>
    <r>
      <t xml:space="preserve">عدد 2 مخالفة مرورية للسيارة رقم ( ح ي ق </t>
    </r>
    <r>
      <rPr>
        <b/>
        <sz val="18"/>
        <color rgb="FFFF0000"/>
        <rFont val="Calibri"/>
        <family val="2"/>
        <scheme val="minor"/>
      </rPr>
      <t>8468</t>
    </r>
    <r>
      <rPr>
        <b/>
        <sz val="18"/>
        <color rgb="FF000000"/>
        <rFont val="Calibri"/>
        <family val="2"/>
        <scheme val="minor"/>
      </rPr>
      <t xml:space="preserve"> - ح ي ق </t>
    </r>
    <r>
      <rPr>
        <b/>
        <sz val="18"/>
        <color rgb="FFFF0000"/>
        <rFont val="Calibri"/>
        <family val="2"/>
        <scheme val="minor"/>
      </rPr>
      <t>8467</t>
    </r>
    <r>
      <rPr>
        <b/>
        <sz val="18"/>
        <color rgb="FF000000"/>
        <rFont val="Calibri"/>
        <family val="2"/>
        <scheme val="minor"/>
      </rPr>
      <t xml:space="preserve"> ) مؤسسة الرسين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</si>
  <si>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690215</t>
    </r>
    <r>
      <rPr>
        <b/>
        <sz val="18"/>
        <color rgb="FF000000"/>
        <rFont val="Calibri"/>
        <family val="2"/>
        <scheme val="minor"/>
      </rPr>
      <t xml:space="preserve"> UZZAL MIAH FUL MIAH settlement PST0022863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</si>
  <si>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690217</t>
    </r>
    <r>
      <rPr>
        <b/>
        <sz val="18"/>
        <color rgb="FF000000"/>
        <rFont val="Calibri"/>
        <family val="2"/>
        <scheme val="minor"/>
      </rPr>
      <t xml:space="preserve"> MASUD MOMTAZ MIAH settlement PST0022862</t>
    </r>
  </si>
  <si>
    <r>
      <t xml:space="preserve">Loan (CashLoan) for employee (85592, PALASH KUMAR SARKER) </t>
    </r>
    <r>
      <rPr>
        <b/>
        <u/>
        <sz val="18"/>
        <color rgb="FFC00000"/>
        <rFont val="Calibri"/>
        <family val="2"/>
        <scheme val="minor"/>
      </rPr>
      <t>1268</t>
    </r>
  </si>
  <si>
    <r>
      <t xml:space="preserve">Loan (CashLoan) for employee (85594, KHONDOKAR TARIQUL ISLAM) </t>
    </r>
    <r>
      <rPr>
        <b/>
        <u/>
        <sz val="18"/>
        <color rgb="FFC00000"/>
        <rFont val="Calibri"/>
        <family val="2"/>
        <scheme val="minor"/>
      </rPr>
      <t>1287</t>
    </r>
  </si>
  <si>
    <t>مؤمن فوزي</t>
  </si>
  <si>
    <t>عهدة حسني عثمان</t>
  </si>
  <si>
    <t>08-12-2017</t>
  </si>
  <si>
    <r>
      <t xml:space="preserve">شيك </t>
    </r>
    <r>
      <rPr>
        <b/>
        <u/>
        <sz val="16"/>
        <color rgb="FFC00000"/>
        <rFont val="Calibri"/>
        <family val="2"/>
        <scheme val="minor"/>
      </rPr>
      <t>ألوان الشموس</t>
    </r>
  </si>
  <si>
    <r>
      <t xml:space="preserve">شيك </t>
    </r>
    <r>
      <rPr>
        <b/>
        <u/>
        <sz val="16"/>
        <color rgb="FFC00000"/>
        <rFont val="Calibri"/>
        <family val="2"/>
        <scheme val="minor"/>
      </rPr>
      <t>286</t>
    </r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</si>
  <si>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5146</t>
    </r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</si>
  <si>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5021</t>
    </r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</si>
  <si>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5038</t>
    </r>
  </si>
  <si>
    <r>
      <t xml:space="preserve">شيك </t>
    </r>
    <r>
      <rPr>
        <b/>
        <u/>
        <sz val="16"/>
        <color rgb="FFC00000"/>
        <rFont val="Calibri"/>
        <family val="2"/>
        <scheme val="minor"/>
      </rPr>
      <t>289</t>
    </r>
  </si>
  <si>
    <r>
      <t xml:space="preserve">شيك </t>
    </r>
    <r>
      <rPr>
        <b/>
        <u/>
        <sz val="16"/>
        <color rgb="FFC00000"/>
        <rFont val="Calibri"/>
        <family val="2"/>
        <scheme val="minor"/>
      </rPr>
      <t>294</t>
    </r>
  </si>
  <si>
    <r>
      <t xml:space="preserve">شيك </t>
    </r>
    <r>
      <rPr>
        <b/>
        <u/>
        <sz val="16"/>
        <color rgb="FFC00000"/>
        <rFont val="Calibri"/>
        <family val="2"/>
        <scheme val="minor"/>
      </rPr>
      <t>297</t>
    </r>
  </si>
  <si>
    <r>
      <t xml:space="preserve">شيك رقم </t>
    </r>
    <r>
      <rPr>
        <b/>
        <u/>
        <sz val="16"/>
        <color rgb="FFC00000"/>
        <rFont val="Calibri"/>
        <family val="2"/>
        <scheme val="minor"/>
      </rPr>
      <t>355</t>
    </r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</si>
  <si>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1656</t>
    </r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</si>
  <si>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1689</t>
    </r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</si>
  <si>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6175</t>
    </r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</si>
  <si>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1771</t>
    </r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</si>
  <si>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1602</t>
    </r>
  </si>
  <si>
    <t>13-12-2017</t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</si>
  <si>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5004</t>
    </r>
  </si>
  <si>
    <t>67-12-2017</t>
  </si>
  <si>
    <t>68-12-2017</t>
  </si>
  <si>
    <t>02-10-2017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</si>
</sst>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\ _ر_._س_._‏_-;\-* #,##0.00\ _ر_._س_._‏_-;_-* &quot;-&quot;??\ _ر_._س_._‏_-;_-@_-"/>
    <numFmt numFmtId="164" formatCode="_(* #,##0.00_);_(* \(#,##0.00\);_(* &quot;-&quot;??_);_(@_)"/>
    <numFmt numFmtId="165" formatCode="###\ \ ###\ ###\ ###"/>
    <numFmt numFmtId="166" formatCode="0.0%"/>
    <numFmt numFmtId="167" formatCode="_-* #,##0.00_-;_-* #,##0.00\-;_-* &quot;-&quot;??_-;_-@_-"/>
    <numFmt numFmtId="168" formatCode="_-* #,##0_-;_-* #,##0\-;_-* &quot;-&quot;??_-;_-@_-"/>
    <numFmt numFmtId="169" formatCode="_-* #,##0.000_-;_-* #,##0.000\-;_-* &quot;-&quot;??_-;_-@_-"/>
    <numFmt numFmtId="170" formatCode="[$-10B0000]d\ mmmm\ yyyy;@"/>
    <numFmt numFmtId="171" formatCode="###\ \ ###\ ###\ ###\ ###\ ###"/>
    <numFmt numFmtId="172" formatCode="#,##0.00_ ;\-#,##0.00\ "/>
    <numFmt numFmtId="173" formatCode="[$-409]d\-mmm\-yy;@"/>
    <numFmt numFmtId="174" formatCode="_-* #,##0\ _ر_._س_._‏_-;\-* #,##0\ _ر_._س_._‏_-;_-* &quot;-&quot;??\ _ر_._س_._‏_-;_-@_-"/>
  </numFmts>
  <fonts count="18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2"/>
      <name val="宋体"/>
      <charset val="134"/>
    </font>
    <font>
      <b/>
      <sz val="11"/>
      <color rgb="FFC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u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26"/>
      <color rgb="FF002060"/>
      <name val="PT Bold Heading"/>
      <charset val="178"/>
    </font>
    <font>
      <b/>
      <sz val="22"/>
      <color rgb="FF002060"/>
      <name val="PT Bold Heading"/>
      <charset val="178"/>
    </font>
    <font>
      <b/>
      <u/>
      <sz val="20"/>
      <name val="Calibri"/>
      <family val="2"/>
      <charset val="178"/>
      <scheme val="minor"/>
    </font>
    <font>
      <b/>
      <u/>
      <sz val="20"/>
      <color theme="1" tint="4.9989318521683403E-2"/>
      <name val="Arial Black"/>
      <family val="2"/>
    </font>
    <font>
      <b/>
      <u/>
      <sz val="22"/>
      <name val="Calibri"/>
      <family val="2"/>
      <charset val="178"/>
      <scheme val="minor"/>
    </font>
    <font>
      <b/>
      <u/>
      <sz val="20"/>
      <name val="Akhbar MT"/>
      <charset val="178"/>
    </font>
    <font>
      <b/>
      <u/>
      <sz val="18"/>
      <name val="AL-Mohanad Bold"/>
      <charset val="178"/>
    </font>
    <font>
      <b/>
      <u/>
      <sz val="16"/>
      <name val="Arial Black"/>
      <family val="2"/>
    </font>
    <font>
      <b/>
      <u/>
      <sz val="12"/>
      <name val="Calibri"/>
      <family val="2"/>
      <charset val="178"/>
      <scheme val="minor"/>
    </font>
    <font>
      <b/>
      <u/>
      <sz val="24"/>
      <color rgb="FFC00000"/>
      <name val="Calibri"/>
      <family val="2"/>
      <scheme val="minor"/>
    </font>
    <font>
      <b/>
      <sz val="22"/>
      <color theme="1" tint="4.9989318521683403E-2"/>
      <name val="Arial Black"/>
      <family val="2"/>
    </font>
    <font>
      <b/>
      <sz val="22"/>
      <name val="Calibri"/>
      <family val="2"/>
      <scheme val="minor"/>
    </font>
    <font>
      <b/>
      <u/>
      <sz val="22"/>
      <color theme="7" tint="-0.499984740745262"/>
      <name val="Calibri"/>
      <family val="2"/>
      <scheme val="minor"/>
    </font>
    <font>
      <b/>
      <u/>
      <sz val="28"/>
      <color rgb="FF7030A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24"/>
      <color rgb="FFC00000"/>
      <name val="Calibri"/>
      <family val="2"/>
    </font>
    <font>
      <b/>
      <sz val="24"/>
      <color theme="1" tint="4.9989318521683403E-2"/>
      <name val="Calibri"/>
      <family val="2"/>
    </font>
    <font>
      <b/>
      <sz val="28"/>
      <color theme="1" tint="4.9989318521683403E-2"/>
      <name val="Calibri"/>
      <family val="2"/>
    </font>
    <font>
      <b/>
      <u/>
      <sz val="22"/>
      <color theme="7" tint="-0.499984740745262"/>
      <name val="Akhbar MT"/>
      <charset val="178"/>
    </font>
    <font>
      <b/>
      <sz val="24"/>
      <color rgb="FFC00000"/>
      <name val="Calibri"/>
      <family val="2"/>
      <scheme val="minor"/>
    </font>
    <font>
      <b/>
      <u/>
      <sz val="22"/>
      <color rgb="FFC00000"/>
      <name val="Akhbar MT"/>
      <charset val="178"/>
    </font>
    <font>
      <b/>
      <u/>
      <sz val="22"/>
      <color theme="7" tint="-0.499984740745262"/>
      <name val="Calibri"/>
      <family val="2"/>
    </font>
    <font>
      <b/>
      <u/>
      <sz val="24"/>
      <color theme="1" tint="4.9989318521683403E-2"/>
      <name val="Calibri"/>
      <family val="2"/>
    </font>
    <font>
      <b/>
      <u/>
      <sz val="24"/>
      <color theme="7" tint="-0.499984740745262"/>
      <name val="Calibri"/>
      <family val="2"/>
      <scheme val="minor"/>
    </font>
    <font>
      <b/>
      <u/>
      <sz val="22"/>
      <color rgb="FF006600"/>
      <name val="Calibri"/>
      <family val="2"/>
      <scheme val="minor"/>
    </font>
    <font>
      <b/>
      <u/>
      <sz val="24"/>
      <color rgb="FF0070C0"/>
      <name val="Akhbar MT"/>
      <charset val="178"/>
    </font>
    <font>
      <b/>
      <u/>
      <sz val="22"/>
      <color rgb="FF006600"/>
      <name val="Akhbar MT"/>
      <charset val="178"/>
    </font>
    <font>
      <b/>
      <u/>
      <sz val="22"/>
      <color theme="1"/>
      <name val="Akhbar MT"/>
      <charset val="178"/>
    </font>
    <font>
      <b/>
      <u/>
      <sz val="24"/>
      <color theme="1"/>
      <name val="Akhbar MT"/>
      <charset val="178"/>
    </font>
    <font>
      <b/>
      <u/>
      <sz val="26"/>
      <color rgb="FF0000FF"/>
      <name val="Akhbar MT"/>
      <charset val="178"/>
    </font>
    <font>
      <b/>
      <u/>
      <sz val="24"/>
      <color rgb="FF002060"/>
      <name val="Akhbar MT"/>
      <charset val="178"/>
    </font>
    <font>
      <b/>
      <u/>
      <sz val="26"/>
      <color rgb="FF006600"/>
      <name val="Calibri"/>
      <family val="2"/>
      <scheme val="minor"/>
    </font>
    <font>
      <b/>
      <u/>
      <sz val="22"/>
      <color rgb="FF002060"/>
      <name val="Akhbar MT"/>
      <charset val="178"/>
    </font>
    <font>
      <b/>
      <sz val="20"/>
      <color indexed="8"/>
      <name val="Calibri"/>
      <family val="2"/>
    </font>
    <font>
      <sz val="16"/>
      <color theme="1" tint="4.9989318521683403E-2"/>
      <name val="Arial Black"/>
      <family val="2"/>
    </font>
    <font>
      <sz val="22"/>
      <color theme="1"/>
      <name val="Calibri"/>
      <family val="2"/>
      <charset val="178"/>
      <scheme val="minor"/>
    </font>
    <font>
      <sz val="16"/>
      <color theme="1"/>
      <name val="Calibri"/>
      <family val="2"/>
      <charset val="178"/>
      <scheme val="minor"/>
    </font>
    <font>
      <sz val="14"/>
      <color theme="1"/>
      <name val="Arial Black"/>
      <family val="2"/>
    </font>
    <font>
      <b/>
      <sz val="48"/>
      <color theme="1"/>
      <name val="Calibri"/>
      <family val="2"/>
      <scheme val="minor"/>
    </font>
    <font>
      <b/>
      <u/>
      <sz val="20"/>
      <color theme="1"/>
      <name val="Arial Black"/>
      <family val="2"/>
    </font>
    <font>
      <b/>
      <u/>
      <sz val="16"/>
      <color theme="1"/>
      <name val="Arial Black"/>
      <family val="2"/>
    </font>
    <font>
      <b/>
      <u/>
      <sz val="18"/>
      <color theme="1"/>
      <name val="Arial Black"/>
      <family val="2"/>
    </font>
    <font>
      <sz val="22"/>
      <color rgb="FF002060"/>
      <name val="PT Bold Heading"/>
      <charset val="178"/>
    </font>
    <font>
      <sz val="16"/>
      <color rgb="FF002060"/>
      <name val="PT Bold Heading"/>
      <charset val="178"/>
    </font>
    <font>
      <sz val="18"/>
      <color rgb="FF002060"/>
      <name val="PT Bold Heading"/>
      <charset val="178"/>
    </font>
    <font>
      <b/>
      <sz val="22"/>
      <color theme="1"/>
      <name val="Calibri"/>
      <family val="2"/>
      <scheme val="minor"/>
    </font>
    <font>
      <b/>
      <u/>
      <sz val="20"/>
      <color rgb="FFC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charset val="178"/>
      <scheme val="minor"/>
    </font>
    <font>
      <b/>
      <u/>
      <sz val="36"/>
      <color theme="1"/>
      <name val="Akhbar MT"/>
      <charset val="178"/>
    </font>
    <font>
      <b/>
      <u/>
      <sz val="28"/>
      <name val="AL-Mohanad Bold"/>
      <charset val="178"/>
    </font>
    <font>
      <b/>
      <u/>
      <sz val="22"/>
      <name val="AL-Mohanad Bold"/>
      <charset val="178"/>
    </font>
    <font>
      <b/>
      <sz val="24"/>
      <color theme="1"/>
      <name val="Arial Black"/>
      <family val="2"/>
    </font>
    <font>
      <b/>
      <sz val="24"/>
      <color rgb="FF002060"/>
      <name val="Arial Black"/>
      <family val="2"/>
    </font>
    <font>
      <b/>
      <sz val="20"/>
      <color theme="1"/>
      <name val="Arial Black"/>
      <family val="2"/>
    </font>
    <font>
      <b/>
      <sz val="20"/>
      <color rgb="FF002060"/>
      <name val="Arial Black"/>
      <family val="2"/>
    </font>
    <font>
      <b/>
      <sz val="26"/>
      <color rgb="FF002060"/>
      <name val="Calibri"/>
      <family val="2"/>
      <scheme val="minor"/>
    </font>
    <font>
      <b/>
      <sz val="16"/>
      <color theme="1"/>
      <name val="Arial Black"/>
      <family val="2"/>
    </font>
    <font>
      <b/>
      <sz val="16"/>
      <color rgb="FF002060"/>
      <name val="Arial Black"/>
      <family val="2"/>
    </font>
    <font>
      <b/>
      <u/>
      <sz val="48"/>
      <color theme="1"/>
      <name val="Calibri"/>
      <family val="2"/>
      <scheme val="minor"/>
    </font>
    <font>
      <b/>
      <sz val="48"/>
      <color rgb="FF002060"/>
      <name val="Calibri"/>
      <family val="2"/>
      <scheme val="minor"/>
    </font>
    <font>
      <b/>
      <sz val="36"/>
      <color rgb="FF00206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26"/>
      <color theme="1"/>
      <name val="Arial Black"/>
      <family val="2"/>
    </font>
    <font>
      <b/>
      <u/>
      <sz val="28"/>
      <color theme="1"/>
      <name val="Akhbar MT"/>
      <charset val="178"/>
    </font>
    <font>
      <b/>
      <u/>
      <sz val="16"/>
      <color rgb="FF002060"/>
      <name val="Calibri"/>
      <family val="2"/>
      <scheme val="minor"/>
    </font>
    <font>
      <b/>
      <u/>
      <sz val="18"/>
      <color rgb="FF006600"/>
      <name val="Calibri"/>
      <family val="2"/>
      <scheme val="minor"/>
    </font>
    <font>
      <b/>
      <u/>
      <sz val="18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u val="double"/>
      <sz val="20"/>
      <color theme="1"/>
      <name val="Akhbar MT"/>
      <charset val="178"/>
    </font>
    <font>
      <b/>
      <u val="singleAccounting"/>
      <sz val="16"/>
      <color theme="1"/>
      <name val="Arial Black"/>
      <family val="2"/>
    </font>
    <font>
      <b/>
      <u val="singleAccounting"/>
      <sz val="16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u/>
      <sz val="48"/>
      <color theme="1"/>
      <name val="Akhbar MT"/>
      <charset val="178"/>
    </font>
    <font>
      <b/>
      <u/>
      <sz val="36"/>
      <color theme="1"/>
      <name val="Sakkal Majalla"/>
    </font>
    <font>
      <b/>
      <u/>
      <sz val="18"/>
      <color theme="0"/>
      <name val="PT Bold Heading"/>
      <charset val="178"/>
    </font>
    <font>
      <b/>
      <u/>
      <sz val="11"/>
      <color theme="0"/>
      <name val="PT Bold Heading"/>
      <charset val="178"/>
    </font>
    <font>
      <b/>
      <u/>
      <sz val="9"/>
      <color theme="0"/>
      <name val="PT Bold Heading"/>
      <charset val="178"/>
    </font>
    <font>
      <b/>
      <u/>
      <sz val="16"/>
      <color theme="0"/>
      <name val="PT Bold Heading"/>
      <charset val="178"/>
    </font>
    <font>
      <b/>
      <u/>
      <sz val="12"/>
      <color theme="0"/>
      <name val="PT Bold Heading"/>
      <charset val="178"/>
    </font>
    <font>
      <sz val="18"/>
      <color theme="0"/>
      <name val="Calibri"/>
      <family val="2"/>
      <charset val="178"/>
      <scheme val="minor"/>
    </font>
    <font>
      <b/>
      <sz val="26"/>
      <color theme="1"/>
      <name val="Microsoft Uighur"/>
    </font>
    <font>
      <b/>
      <u/>
      <sz val="26"/>
      <color theme="1"/>
      <name val="Microsoft Uighur"/>
    </font>
    <font>
      <b/>
      <sz val="48"/>
      <color theme="1"/>
      <name val="Microsoft Uighur"/>
    </font>
    <font>
      <b/>
      <u val="singleAccounting"/>
      <sz val="48"/>
      <color rgb="FFC00000"/>
      <name val="Microsoft Uighur"/>
    </font>
    <font>
      <b/>
      <u val="doubleAccounting"/>
      <sz val="48"/>
      <color rgb="FF002060"/>
      <name val="Microsoft Uighur"/>
    </font>
    <font>
      <sz val="26"/>
      <color theme="1"/>
      <name val="Calibri"/>
      <family val="2"/>
      <charset val="178"/>
      <scheme val="minor"/>
    </font>
    <font>
      <b/>
      <u/>
      <sz val="26"/>
      <color rgb="FFC00000"/>
      <name val="Microsoft Uighur"/>
    </font>
    <font>
      <b/>
      <i/>
      <u/>
      <sz val="26"/>
      <color theme="1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charset val="178"/>
      <scheme val="minor"/>
    </font>
    <font>
      <b/>
      <sz val="14"/>
      <color theme="1" tint="4.9989318521683403E-2"/>
      <name val="Calibri"/>
      <family val="2"/>
      <charset val="178"/>
      <scheme val="minor"/>
    </font>
    <font>
      <b/>
      <sz val="20"/>
      <color theme="1"/>
      <name val="Calibri"/>
      <family val="2"/>
      <scheme val="minor"/>
    </font>
    <font>
      <b/>
      <u/>
      <sz val="22"/>
      <name val="Akhbar MT"/>
      <charset val="178"/>
    </font>
    <font>
      <b/>
      <u/>
      <sz val="24"/>
      <color rgb="FFC00000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sz val="14"/>
      <name val="Calibri"/>
      <family val="2"/>
      <scheme val="minor"/>
    </font>
    <font>
      <b/>
      <u/>
      <sz val="18"/>
      <color rgb="FF002060"/>
      <name val="Calibri"/>
      <family val="2"/>
      <scheme val="minor"/>
    </font>
    <font>
      <b/>
      <u/>
      <sz val="24"/>
      <color rgb="FF002060"/>
      <name val="Calibri"/>
      <family val="2"/>
      <scheme val="minor"/>
    </font>
    <font>
      <b/>
      <sz val="24"/>
      <name val="Calibri"/>
      <family val="2"/>
      <scheme val="minor"/>
    </font>
    <font>
      <b/>
      <u/>
      <sz val="26"/>
      <color rgb="FF002060"/>
      <name val="Calibri"/>
      <family val="2"/>
      <scheme val="minor"/>
    </font>
    <font>
      <b/>
      <u/>
      <sz val="14"/>
      <color theme="1"/>
      <name val="Arial Black"/>
      <family val="2"/>
    </font>
    <font>
      <b/>
      <sz val="14"/>
      <color theme="1"/>
      <name val="Arial Black"/>
      <family val="2"/>
    </font>
    <font>
      <b/>
      <sz val="16"/>
      <name val="Calibri"/>
      <family val="2"/>
      <scheme val="minor"/>
    </font>
    <font>
      <b/>
      <u/>
      <sz val="33"/>
      <color rgb="FF7030A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rgb="FF000000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b/>
      <u/>
      <sz val="18"/>
      <color theme="7" tint="-0.499984740745262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rgb="FF002060"/>
      <name val="Calibri"/>
      <family val="2"/>
      <scheme val="minor"/>
    </font>
    <font>
      <b/>
      <u/>
      <sz val="18"/>
      <color rgb="FF006600"/>
      <name val="Calibri"/>
      <family val="2"/>
      <scheme val="minor"/>
    </font>
    <font>
      <b/>
      <u/>
      <sz val="18"/>
      <color rgb="FFC00000"/>
      <name val="Calibri"/>
      <family val="2"/>
      <scheme val="minor"/>
    </font>
    <font>
      <b/>
      <u/>
      <sz val="18"/>
      <color rgb="FF7030A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indexed="81"/>
      <name val="Calibri"/>
      <family val="2"/>
      <scheme val="minor"/>
    </font>
    <font>
      <b/>
      <u/>
      <sz val="16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 val="singleAccounting"/>
      <sz val="18"/>
      <color rgb="FFC00000"/>
      <name val="Calibri"/>
      <family val="2"/>
      <scheme val="minor"/>
    </font>
    <font>
      <b/>
      <u/>
      <sz val="16"/>
      <color rgb="FFC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59999389629810485"/>
        <bgColor theme="7" tint="0.79998168889431442"/>
      </patternFill>
    </fill>
    <fill>
      <patternFill patternType="solid">
        <fgColor theme="6" tint="0.59999389629810485"/>
        <bgColor theme="7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50">
    <border>
      <left/>
      <right/>
      <top/>
      <bottom/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/>
      <right/>
      <top/>
      <bottom style="double">
        <color rgb="FF0070C0"/>
      </bottom>
      <diagonal/>
    </border>
    <border>
      <left style="double">
        <color rgb="FF0070C0"/>
      </left>
      <right style="double">
        <color rgb="FF0070C0"/>
      </right>
      <top/>
      <bottom style="double">
        <color rgb="FF0070C0"/>
      </bottom>
      <diagonal/>
    </border>
    <border>
      <left style="double">
        <color rgb="FF0070C0"/>
      </left>
      <right/>
      <top/>
      <bottom style="double">
        <color rgb="FF0070C0"/>
      </bottom>
      <diagonal/>
    </border>
    <border>
      <left/>
      <right style="double">
        <color rgb="FF0070C0"/>
      </right>
      <top/>
      <bottom style="double">
        <color rgb="FF0070C0"/>
      </bottom>
      <diagonal/>
    </border>
    <border>
      <left/>
      <right/>
      <top style="double">
        <color rgb="FF0070C0"/>
      </top>
      <bottom style="double">
        <color rgb="FF0070C0"/>
      </bottom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/>
      <diagonal/>
    </border>
    <border>
      <left style="dashed">
        <color rgb="FF0070C0"/>
      </left>
      <right/>
      <top style="dashed">
        <color rgb="FF0070C0"/>
      </top>
      <bottom style="dashed">
        <color rgb="FF0070C0"/>
      </bottom>
      <diagonal/>
    </border>
    <border>
      <left/>
      <right style="dashed">
        <color rgb="FF0070C0"/>
      </right>
      <top style="dashed">
        <color rgb="FF0070C0"/>
      </top>
      <bottom/>
      <diagonal/>
    </border>
    <border>
      <left style="double">
        <color rgb="FF0070C0"/>
      </left>
      <right style="double">
        <color rgb="FF0070C0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 style="dashed">
        <color rgb="FF0070C0"/>
      </top>
      <bottom/>
      <diagonal/>
    </border>
    <border>
      <left style="medium">
        <color rgb="FFC00000"/>
      </left>
      <right style="medium">
        <color rgb="FFC00000"/>
      </right>
      <top style="dashed">
        <color rgb="FF0070C0"/>
      </top>
      <bottom style="dashed">
        <color theme="3" tint="0.59996337778862885"/>
      </bottom>
      <diagonal/>
    </border>
    <border>
      <left style="medium">
        <color rgb="FFC00000"/>
      </left>
      <right style="medium">
        <color rgb="FFC00000"/>
      </right>
      <top style="dashed">
        <color theme="3" tint="0.59996337778862885"/>
      </top>
      <bottom style="dashed">
        <color theme="3" tint="0.59996337778862885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dashed">
        <color rgb="FF0070C0"/>
      </bottom>
      <diagonal/>
    </border>
    <border>
      <left style="medium">
        <color rgb="FFC00000"/>
      </left>
      <right style="medium">
        <color rgb="FFC00000"/>
      </right>
      <top style="dashed">
        <color theme="3" tint="0.59996337778862885"/>
      </top>
      <bottom/>
      <diagonal/>
    </border>
    <border>
      <left style="dashed">
        <color rgb="FF0070C0"/>
      </left>
      <right/>
      <top style="dashed">
        <color rgb="FF0070C0"/>
      </top>
      <bottom/>
      <diagonal/>
    </border>
    <border>
      <left style="medium">
        <color rgb="FFC0000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/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/>
      <right/>
      <top/>
      <bottom style="dashed">
        <color rgb="FF0070C0"/>
      </bottom>
      <diagonal/>
    </border>
    <border>
      <left/>
      <right/>
      <top style="dashed">
        <color rgb="FF0070C0"/>
      </top>
      <bottom/>
      <diagonal/>
    </border>
    <border>
      <left style="dashed">
        <color rgb="FF0070C0"/>
      </left>
      <right style="medium">
        <color rgb="FFC00000"/>
      </right>
      <top style="dashed">
        <color rgb="FF0070C0"/>
      </top>
      <bottom style="dashed">
        <color rgb="FF0070C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rgb="FFC00000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rgb="FFC00000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C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rgb="FFC00000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rgb="FFC00000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7030A0"/>
      </left>
      <right style="double">
        <color rgb="FF7030A0"/>
      </right>
      <top style="medium">
        <color rgb="FF7030A0"/>
      </top>
      <bottom/>
      <diagonal/>
    </border>
    <border>
      <left style="double">
        <color rgb="FF7030A0"/>
      </left>
      <right/>
      <top style="medium">
        <color rgb="FF7030A0"/>
      </top>
      <bottom style="thin">
        <color theme="7"/>
      </bottom>
      <diagonal/>
    </border>
    <border>
      <left/>
      <right/>
      <top style="medium">
        <color rgb="FF7030A0"/>
      </top>
      <bottom style="thin">
        <color theme="7"/>
      </bottom>
      <diagonal/>
    </border>
    <border>
      <left/>
      <right style="medium">
        <color rgb="FF7030A0"/>
      </right>
      <top style="medium">
        <color rgb="FF7030A0"/>
      </top>
      <bottom style="thin">
        <color theme="7"/>
      </bottom>
      <diagonal/>
    </border>
    <border>
      <left style="medium">
        <color rgb="FF7030A0"/>
      </left>
      <right/>
      <top style="medium">
        <color rgb="FF7030A0"/>
      </top>
      <bottom style="thin">
        <color theme="7"/>
      </bottom>
      <diagonal/>
    </border>
    <border>
      <left style="medium">
        <color rgb="FF7030A0"/>
      </left>
      <right style="double">
        <color rgb="FF7030A0"/>
      </right>
      <top/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 style="double">
        <color rgb="FF7030A0"/>
      </right>
      <top style="medium">
        <color theme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rgb="FF7030A0"/>
      </left>
      <right/>
      <top style="medium">
        <color auto="1"/>
      </top>
      <bottom/>
      <diagonal/>
    </border>
    <border>
      <left/>
      <right style="medium">
        <color rgb="FF7030A0"/>
      </right>
      <top style="medium">
        <color auto="1"/>
      </top>
      <bottom/>
      <diagonal/>
    </border>
    <border>
      <left style="medium">
        <color rgb="FF7030A0"/>
      </left>
      <right style="double">
        <color rgb="FF7030A0"/>
      </right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double">
        <color rgb="FF7030A0"/>
      </left>
      <right/>
      <top/>
      <bottom/>
      <diagonal/>
    </border>
    <border>
      <left style="double">
        <color rgb="FF7030A0"/>
      </left>
      <right/>
      <top style="medium">
        <color auto="1"/>
      </top>
      <bottom/>
      <diagonal/>
    </border>
    <border>
      <left style="medium">
        <color rgb="FF7030A0"/>
      </left>
      <right style="double">
        <color rgb="FF7030A0"/>
      </right>
      <top/>
      <bottom style="double">
        <color rgb="FF7030A0"/>
      </bottom>
      <diagonal/>
    </border>
    <border>
      <left/>
      <right/>
      <top/>
      <bottom style="double">
        <color rgb="FF7030A0"/>
      </bottom>
      <diagonal/>
    </border>
    <border>
      <left style="medium">
        <color rgb="FF7030A0"/>
      </left>
      <right/>
      <top/>
      <bottom style="double">
        <color rgb="FF7030A0"/>
      </bottom>
      <diagonal/>
    </border>
    <border>
      <left style="double">
        <color rgb="FF7030A0"/>
      </left>
      <right/>
      <top/>
      <bottom style="double">
        <color rgb="FF7030A0"/>
      </bottom>
      <diagonal/>
    </border>
    <border>
      <left/>
      <right style="medium">
        <color rgb="FF7030A0"/>
      </right>
      <top/>
      <bottom style="double">
        <color rgb="FF7030A0"/>
      </bottom>
      <diagonal/>
    </border>
    <border>
      <left style="medium">
        <color rgb="FF7030A0"/>
      </left>
      <right style="double">
        <color rgb="FF7030A0"/>
      </right>
      <top style="double">
        <color rgb="FF7030A0"/>
      </top>
      <bottom style="medium">
        <color rgb="FF7030A0"/>
      </bottom>
      <diagonal/>
    </border>
    <border>
      <left/>
      <right/>
      <top style="double">
        <color rgb="FF7030A0"/>
      </top>
      <bottom style="medium">
        <color rgb="FF7030A0"/>
      </bottom>
      <diagonal/>
    </border>
    <border>
      <left style="medium">
        <color rgb="FF7030A0"/>
      </left>
      <right/>
      <top style="double">
        <color rgb="FF7030A0"/>
      </top>
      <bottom style="medium">
        <color rgb="FF7030A0"/>
      </bottom>
      <diagonal/>
    </border>
    <border>
      <left style="double">
        <color rgb="FF7030A0"/>
      </left>
      <right/>
      <top style="double">
        <color rgb="FF7030A0"/>
      </top>
      <bottom style="medium">
        <color rgb="FF7030A0"/>
      </bottom>
      <diagonal/>
    </border>
    <border>
      <left/>
      <right style="medium">
        <color rgb="FF7030A0"/>
      </right>
      <top style="double">
        <color rgb="FF7030A0"/>
      </top>
      <bottom style="medium">
        <color rgb="FF7030A0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thin">
        <color auto="1"/>
      </left>
      <right/>
      <top/>
      <bottom/>
      <diagonal/>
    </border>
    <border>
      <left style="medium">
        <color rgb="FFC00000"/>
      </left>
      <right/>
      <top/>
      <bottom/>
      <diagonal/>
    </border>
    <border>
      <left style="thin">
        <color auto="1"/>
      </left>
      <right style="medium">
        <color rgb="FFC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C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C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C00000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C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double">
        <color rgb="FF0070C0"/>
      </left>
      <right style="double">
        <color rgb="FF0070C0"/>
      </right>
      <top style="double">
        <color rgb="FF0070C0"/>
      </top>
      <bottom style="double">
        <color rgb="FF0070C0"/>
      </bottom>
      <diagonal/>
    </border>
    <border>
      <left style="double">
        <color rgb="FF0070C0"/>
      </left>
      <right/>
      <top style="double">
        <color rgb="FF0070C0"/>
      </top>
      <bottom style="double">
        <color rgb="FF0070C0"/>
      </bottom>
      <diagonal/>
    </border>
    <border>
      <left/>
      <right style="double">
        <color rgb="FF0070C0"/>
      </right>
      <top style="double">
        <color rgb="FF0070C0"/>
      </top>
      <bottom style="double">
        <color rgb="FF0070C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8">
    <xf numFmtId="170" fontId="0" fillId="0" borderId="0"/>
    <xf numFmtId="164" fontId="12" fillId="0" borderId="0" applyFont="0" applyFill="0" applyBorder="0" applyAlignment="0" applyProtection="0"/>
    <xf numFmtId="170" fontId="12" fillId="0" borderId="0"/>
    <xf numFmtId="170" fontId="3" fillId="0" borderId="0">
      <alignment vertical="center"/>
    </xf>
    <xf numFmtId="170" fontId="13" fillId="0" borderId="0"/>
    <xf numFmtId="9" fontId="12" fillId="0" borderId="0" applyFont="0" applyFill="0" applyBorder="0" applyAlignment="0" applyProtection="0"/>
    <xf numFmtId="170" fontId="14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3" fillId="0" borderId="0"/>
    <xf numFmtId="170" fontId="2" fillId="0" borderId="0"/>
    <xf numFmtId="167" fontId="2" fillId="0" borderId="0" applyFont="0" applyFill="0" applyBorder="0" applyAlignment="0" applyProtection="0"/>
    <xf numFmtId="170" fontId="1" fillId="0" borderId="0"/>
    <xf numFmtId="167" fontId="13" fillId="0" borderId="0" applyFont="0" applyFill="0" applyBorder="0" applyAlignment="0" applyProtection="0"/>
    <xf numFmtId="170" fontId="13" fillId="0" borderId="0"/>
  </cellStyleXfs>
  <cellXfs count="863">
    <xf numFmtId="170" fontId="0" fillId="0" borderId="0" xfId="0"/>
    <xf numFmtId="170" fontId="10" fillId="0" borderId="1" xfId="0" applyNumberFormat="1" applyFont="1" applyBorder="1" applyAlignment="1" applyProtection="1">
      <alignment horizontal="right" vertical="center" shrinkToFit="1"/>
      <protection hidden="1"/>
    </xf>
    <xf numFmtId="170" fontId="10" fillId="0" borderId="7" xfId="0" applyNumberFormat="1" applyFont="1" applyBorder="1" applyAlignment="1" applyProtection="1">
      <alignment horizontal="right" vertical="center" shrinkToFit="1"/>
      <protection hidden="1"/>
    </xf>
    <xf numFmtId="170" fontId="11" fillId="0" borderId="0" xfId="0" applyFont="1" applyBorder="1" applyAlignment="1" applyProtection="1">
      <alignment horizontal="center"/>
      <protection hidden="1"/>
    </xf>
    <xf numFmtId="170" fontId="11" fillId="0" borderId="0" xfId="0" applyNumberFormat="1" applyFont="1" applyBorder="1" applyAlignment="1" applyProtection="1">
      <alignment horizontal="center"/>
      <protection hidden="1"/>
    </xf>
    <xf numFmtId="170" fontId="10" fillId="0" borderId="0" xfId="0" applyNumberFormat="1" applyFont="1" applyBorder="1" applyAlignment="1" applyProtection="1">
      <alignment vertical="center"/>
      <protection hidden="1"/>
    </xf>
    <xf numFmtId="3" fontId="10" fillId="0" borderId="9" xfId="0" applyNumberFormat="1" applyFont="1" applyBorder="1" applyAlignment="1" applyProtection="1">
      <alignment horizontal="center" vertical="center"/>
      <protection hidden="1"/>
    </xf>
    <xf numFmtId="170" fontId="7" fillId="4" borderId="3" xfId="0" applyFont="1" applyFill="1" applyBorder="1" applyAlignment="1" applyProtection="1">
      <alignment horizontal="center" vertical="center" wrapText="1" shrinkToFit="1"/>
      <protection hidden="1"/>
    </xf>
    <xf numFmtId="170" fontId="7" fillId="4" borderId="3" xfId="0" applyFont="1" applyFill="1" applyBorder="1" applyAlignment="1" applyProtection="1">
      <alignment horizontal="center" vertical="center" wrapText="1"/>
      <protection hidden="1"/>
    </xf>
    <xf numFmtId="3" fontId="9" fillId="4" borderId="3" xfId="0" applyNumberFormat="1" applyFont="1" applyFill="1" applyBorder="1" applyAlignment="1" applyProtection="1">
      <alignment horizontal="center" vertical="center" wrapText="1"/>
      <protection hidden="1"/>
    </xf>
    <xf numFmtId="49" fontId="8" fillId="4" borderId="10" xfId="0" applyNumberFormat="1" applyFont="1" applyFill="1" applyBorder="1" applyAlignment="1" applyProtection="1">
      <alignment horizontal="center" vertical="center" wrapText="1"/>
      <protection hidden="1"/>
    </xf>
    <xf numFmtId="49" fontId="15" fillId="4" borderId="11" xfId="0" applyNumberFormat="1" applyFont="1" applyFill="1" applyBorder="1" applyAlignment="1" applyProtection="1">
      <alignment horizontal="center" vertical="center"/>
      <protection hidden="1"/>
    </xf>
    <xf numFmtId="49" fontId="15" fillId="4" borderId="12" xfId="0" applyNumberFormat="1" applyFont="1" applyFill="1" applyBorder="1" applyAlignment="1" applyProtection="1">
      <alignment horizontal="center" vertical="center"/>
      <protection hidden="1"/>
    </xf>
    <xf numFmtId="49" fontId="0" fillId="0" borderId="0" xfId="0" applyNumberFormat="1" applyFont="1" applyAlignment="1" applyProtection="1">
      <alignment horizontal="center" vertical="center"/>
      <protection hidden="1"/>
    </xf>
    <xf numFmtId="49" fontId="0" fillId="0" borderId="0" xfId="0" applyNumberFormat="1"/>
    <xf numFmtId="170" fontId="18" fillId="0" borderId="0" xfId="0" applyFont="1" applyBorder="1" applyAlignment="1" applyProtection="1">
      <alignment horizontal="right" shrinkToFit="1"/>
      <protection hidden="1"/>
    </xf>
    <xf numFmtId="170" fontId="19" fillId="0" borderId="0" xfId="0" applyFont="1"/>
    <xf numFmtId="49" fontId="15" fillId="4" borderId="14" xfId="0" applyNumberFormat="1" applyFont="1" applyFill="1" applyBorder="1" applyAlignment="1" applyProtection="1">
      <alignment horizontal="center" vertical="center"/>
      <protection hidden="1"/>
    </xf>
    <xf numFmtId="170" fontId="7" fillId="4" borderId="10" xfId="0" applyNumberFormat="1" applyFont="1" applyFill="1" applyBorder="1" applyAlignment="1" applyProtection="1">
      <alignment horizontal="center" vertical="center" wrapText="1"/>
      <protection hidden="1"/>
    </xf>
    <xf numFmtId="49" fontId="15" fillId="4" borderId="15" xfId="0" applyNumberFormat="1" applyFont="1" applyFill="1" applyBorder="1" applyAlignment="1" applyProtection="1">
      <alignment horizontal="center" vertical="center"/>
      <protection hidden="1"/>
    </xf>
    <xf numFmtId="4" fontId="0" fillId="2" borderId="3" xfId="0" applyNumberFormat="1" applyFont="1" applyFill="1" applyBorder="1" applyAlignment="1" applyProtection="1">
      <alignment horizontal="center" vertical="center"/>
      <protection hidden="1"/>
    </xf>
    <xf numFmtId="170" fontId="7" fillId="4" borderId="5" xfId="0" applyNumberFormat="1" applyFont="1" applyFill="1" applyBorder="1" applyAlignment="1" applyProtection="1">
      <alignment horizontal="center" vertical="center" wrapText="1"/>
      <protection hidden="1"/>
    </xf>
    <xf numFmtId="170" fontId="7" fillId="4" borderId="4" xfId="0" applyFont="1" applyFill="1" applyBorder="1" applyAlignment="1" applyProtection="1">
      <alignment horizontal="center" vertical="center" wrapText="1"/>
      <protection hidden="1"/>
    </xf>
    <xf numFmtId="170" fontId="10" fillId="0" borderId="9" xfId="0" applyNumberFormat="1" applyFont="1" applyBorder="1" applyAlignment="1" applyProtection="1">
      <alignment horizontal="center" vertical="center"/>
      <protection hidden="1"/>
    </xf>
    <xf numFmtId="4" fontId="20" fillId="0" borderId="8" xfId="0" applyNumberFormat="1" applyFont="1" applyBorder="1" applyAlignment="1" applyProtection="1">
      <alignment horizontal="center" vertical="center"/>
      <protection hidden="1"/>
    </xf>
    <xf numFmtId="49" fontId="15" fillId="4" borderId="16" xfId="0" applyNumberFormat="1" applyFont="1" applyFill="1" applyBorder="1" applyAlignment="1" applyProtection="1">
      <alignment horizontal="center" vertical="center"/>
      <protection hidden="1"/>
    </xf>
    <xf numFmtId="4" fontId="20" fillId="0" borderId="17" xfId="0" applyNumberFormat="1" applyFont="1" applyBorder="1" applyAlignment="1" applyProtection="1">
      <alignment horizontal="center" vertical="center"/>
      <protection hidden="1"/>
    </xf>
    <xf numFmtId="4" fontId="22" fillId="2" borderId="3" xfId="0" applyNumberFormat="1" applyFont="1" applyFill="1" applyBorder="1" applyAlignment="1" applyProtection="1">
      <alignment horizontal="center" vertical="center"/>
      <protection hidden="1"/>
    </xf>
    <xf numFmtId="4" fontId="5" fillId="0" borderId="1" xfId="0" applyNumberFormat="1" applyFont="1" applyBorder="1" applyAlignment="1" applyProtection="1">
      <alignment horizontal="center" vertical="center"/>
      <protection hidden="1"/>
    </xf>
    <xf numFmtId="4" fontId="5" fillId="0" borderId="7" xfId="0" applyNumberFormat="1" applyFont="1" applyBorder="1" applyAlignment="1" applyProtection="1">
      <alignment horizontal="center" vertical="center"/>
      <protection hidden="1"/>
    </xf>
    <xf numFmtId="170" fontId="15" fillId="4" borderId="15" xfId="0" applyNumberFormat="1" applyFont="1" applyFill="1" applyBorder="1" applyAlignment="1" applyProtection="1">
      <alignment horizontal="center" vertical="center"/>
      <protection hidden="1"/>
    </xf>
    <xf numFmtId="170" fontId="15" fillId="4" borderId="12" xfId="0" applyNumberFormat="1" applyFont="1" applyFill="1" applyBorder="1" applyAlignment="1" applyProtection="1">
      <alignment horizontal="center" vertical="center"/>
      <protection hidden="1"/>
    </xf>
    <xf numFmtId="170" fontId="15" fillId="4" borderId="13" xfId="0" applyNumberFormat="1" applyFont="1" applyFill="1" applyBorder="1" applyAlignment="1" applyProtection="1">
      <alignment horizontal="center" vertical="center"/>
      <protection hidden="1"/>
    </xf>
    <xf numFmtId="170" fontId="15" fillId="4" borderId="14" xfId="0" applyNumberFormat="1" applyFont="1" applyFill="1" applyBorder="1" applyAlignment="1" applyProtection="1">
      <alignment horizontal="center" vertical="center"/>
      <protection hidden="1"/>
    </xf>
    <xf numFmtId="170" fontId="15" fillId="4" borderId="16" xfId="0" applyNumberFormat="1" applyFont="1" applyFill="1" applyBorder="1" applyAlignment="1" applyProtection="1">
      <alignment horizontal="center" vertical="center"/>
      <protection hidden="1"/>
    </xf>
    <xf numFmtId="170" fontId="10" fillId="0" borderId="17" xfId="0" applyNumberFormat="1" applyFont="1" applyBorder="1" applyAlignment="1" applyProtection="1">
      <alignment horizontal="center" vertical="center"/>
      <protection hidden="1"/>
    </xf>
    <xf numFmtId="3" fontId="10" fillId="0" borderId="17" xfId="0" applyNumberFormat="1" applyFont="1" applyBorder="1" applyAlignment="1" applyProtection="1">
      <alignment horizontal="center" vertical="center"/>
      <protection hidden="1"/>
    </xf>
    <xf numFmtId="170" fontId="10" fillId="0" borderId="18" xfId="0" applyNumberFormat="1" applyFont="1" applyBorder="1" applyAlignment="1" applyProtection="1">
      <alignment horizontal="right" vertical="center" shrinkToFit="1"/>
      <protection hidden="1"/>
    </xf>
    <xf numFmtId="4" fontId="20" fillId="0" borderId="19" xfId="0" applyNumberFormat="1" applyFont="1" applyBorder="1" applyAlignment="1" applyProtection="1">
      <alignment horizontal="center" vertical="center"/>
      <protection hidden="1"/>
    </xf>
    <xf numFmtId="4" fontId="23" fillId="5" borderId="6" xfId="0" applyNumberFormat="1" applyFont="1" applyFill="1" applyBorder="1" applyAlignment="1" applyProtection="1">
      <alignment horizontal="center" vertical="center"/>
      <protection hidden="1"/>
    </xf>
    <xf numFmtId="4" fontId="6" fillId="5" borderId="6" xfId="0" applyNumberFormat="1" applyFont="1" applyFill="1" applyBorder="1" applyAlignment="1" applyProtection="1">
      <alignment horizontal="center" vertical="center"/>
      <protection hidden="1"/>
    </xf>
    <xf numFmtId="49" fontId="15" fillId="4" borderId="20" xfId="0" applyNumberFormat="1" applyFont="1" applyFill="1" applyBorder="1" applyAlignment="1" applyProtection="1">
      <alignment horizontal="center" vertical="center"/>
      <protection hidden="1"/>
    </xf>
    <xf numFmtId="49" fontId="15" fillId="4" borderId="21" xfId="0" applyNumberFormat="1" applyFont="1" applyFill="1" applyBorder="1" applyAlignment="1" applyProtection="1">
      <alignment horizontal="center" vertical="center"/>
      <protection hidden="1"/>
    </xf>
    <xf numFmtId="49" fontId="15" fillId="4" borderId="0" xfId="0" applyNumberFormat="1" applyFont="1" applyFill="1" applyBorder="1" applyAlignment="1" applyProtection="1">
      <alignment horizontal="center" vertical="center"/>
      <protection hidden="1"/>
    </xf>
    <xf numFmtId="170" fontId="21" fillId="4" borderId="5" xfId="0" applyFont="1" applyFill="1" applyBorder="1" applyAlignment="1" applyProtection="1">
      <alignment horizontal="center" vertical="center" shrinkToFit="1"/>
      <protection hidden="1"/>
    </xf>
    <xf numFmtId="170" fontId="24" fillId="3" borderId="6" xfId="0" applyFont="1" applyFill="1" applyBorder="1" applyAlignment="1" applyProtection="1">
      <alignment horizontal="center" vertical="center" shrinkToFit="1"/>
      <protection hidden="1"/>
    </xf>
    <xf numFmtId="170" fontId="25" fillId="0" borderId="9" xfId="0" applyNumberFormat="1" applyFont="1" applyBorder="1" applyAlignment="1" applyProtection="1">
      <alignment horizontal="center" vertical="center"/>
      <protection hidden="1"/>
    </xf>
    <xf numFmtId="3" fontId="25" fillId="0" borderId="9" xfId="0" applyNumberFormat="1" applyFont="1" applyBorder="1" applyAlignment="1" applyProtection="1">
      <alignment horizontal="center" vertical="center"/>
      <protection hidden="1"/>
    </xf>
    <xf numFmtId="49" fontId="26" fillId="4" borderId="12" xfId="0" applyNumberFormat="1" applyFont="1" applyFill="1" applyBorder="1" applyAlignment="1" applyProtection="1">
      <alignment horizontal="center" vertical="center"/>
      <protection hidden="1"/>
    </xf>
    <xf numFmtId="170" fontId="25" fillId="0" borderId="22" xfId="0" applyNumberFormat="1" applyFont="1" applyBorder="1" applyAlignment="1" applyProtection="1">
      <alignment horizontal="right" vertical="center" shrinkToFit="1"/>
      <protection hidden="1"/>
    </xf>
    <xf numFmtId="49" fontId="26" fillId="4" borderId="21" xfId="0" applyNumberFormat="1" applyFont="1" applyFill="1" applyBorder="1" applyAlignment="1" applyProtection="1">
      <alignment horizontal="center" vertical="center"/>
      <protection hidden="1"/>
    </xf>
    <xf numFmtId="4" fontId="27" fillId="0" borderId="1" xfId="0" applyNumberFormat="1" applyFont="1" applyBorder="1" applyAlignment="1" applyProtection="1">
      <alignment horizontal="center" vertical="center"/>
      <protection hidden="1"/>
    </xf>
    <xf numFmtId="4" fontId="28" fillId="0" borderId="8" xfId="0" applyNumberFormat="1" applyFont="1" applyBorder="1" applyAlignment="1" applyProtection="1">
      <alignment horizontal="center" vertical="center"/>
      <protection hidden="1"/>
    </xf>
    <xf numFmtId="170" fontId="0" fillId="0" borderId="0" xfId="0" applyAlignment="1">
      <alignment vertical="center"/>
    </xf>
    <xf numFmtId="170" fontId="32" fillId="0" borderId="0" xfId="0" applyFont="1" applyAlignment="1">
      <alignment horizontal="center" vertical="center" wrapText="1"/>
    </xf>
    <xf numFmtId="170" fontId="32" fillId="0" borderId="0" xfId="0" applyFont="1" applyAlignment="1">
      <alignment horizontal="center" vertical="center"/>
    </xf>
    <xf numFmtId="170" fontId="33" fillId="0" borderId="0" xfId="0" applyFont="1" applyAlignment="1">
      <alignment vertical="center" shrinkToFit="1"/>
    </xf>
    <xf numFmtId="4" fontId="33" fillId="0" borderId="0" xfId="0" applyNumberFormat="1" applyFont="1" applyAlignment="1">
      <alignment vertical="center" shrinkToFit="1"/>
    </xf>
    <xf numFmtId="170" fontId="0" fillId="0" borderId="0" xfId="0" applyAlignment="1">
      <alignment vertical="center" shrinkToFit="1"/>
    </xf>
    <xf numFmtId="49" fontId="33" fillId="0" borderId="0" xfId="0" applyNumberFormat="1" applyFont="1" applyAlignment="1">
      <alignment vertical="center" shrinkToFit="1"/>
    </xf>
    <xf numFmtId="170" fontId="34" fillId="0" borderId="0" xfId="0" applyFont="1" applyAlignment="1">
      <alignment horizontal="center" vertical="center" wrapText="1" shrinkToFit="1"/>
    </xf>
    <xf numFmtId="170" fontId="33" fillId="0" borderId="0" xfId="0" applyFont="1" applyAlignment="1">
      <alignment vertical="center" wrapText="1" shrinkToFit="1"/>
    </xf>
    <xf numFmtId="170" fontId="0" fillId="0" borderId="0" xfId="0" applyAlignment="1">
      <alignment vertical="center" wrapText="1" shrinkToFit="1"/>
    </xf>
    <xf numFmtId="49" fontId="35" fillId="0" borderId="0" xfId="0" applyNumberFormat="1" applyFont="1" applyAlignment="1">
      <alignment horizontal="center" vertical="center" shrinkToFit="1"/>
    </xf>
    <xf numFmtId="170" fontId="35" fillId="0" borderId="0" xfId="0" applyFont="1" applyAlignment="1">
      <alignment horizontal="center" vertical="center" wrapText="1" shrinkToFit="1"/>
    </xf>
    <xf numFmtId="170" fontId="35" fillId="0" borderId="0" xfId="0" applyFont="1" applyAlignment="1">
      <alignment horizontal="center" vertical="center" shrinkToFit="1"/>
    </xf>
    <xf numFmtId="49" fontId="37" fillId="0" borderId="0" xfId="0" applyNumberFormat="1" applyFont="1" applyAlignment="1">
      <alignment horizontal="center" vertical="center" shrinkToFit="1"/>
    </xf>
    <xf numFmtId="170" fontId="37" fillId="0" borderId="0" xfId="0" applyFont="1" applyAlignment="1">
      <alignment horizontal="center" vertical="center" wrapText="1" shrinkToFit="1"/>
    </xf>
    <xf numFmtId="170" fontId="38" fillId="0" borderId="0" xfId="0" applyFont="1" applyAlignment="1">
      <alignment vertical="center" wrapText="1" shrinkToFit="1"/>
    </xf>
    <xf numFmtId="170" fontId="38" fillId="0" borderId="0" xfId="0" applyFont="1" applyAlignment="1">
      <alignment vertical="center" shrinkToFit="1"/>
    </xf>
    <xf numFmtId="170" fontId="39" fillId="0" borderId="0" xfId="0" applyFont="1" applyAlignment="1">
      <alignment horizontal="center" vertical="center" shrinkToFit="1"/>
    </xf>
    <xf numFmtId="49" fontId="39" fillId="0" borderId="0" xfId="0" applyNumberFormat="1" applyFont="1" applyAlignment="1">
      <alignment horizontal="center" vertical="center" shrinkToFit="1"/>
    </xf>
    <xf numFmtId="170" fontId="39" fillId="0" borderId="0" xfId="0" applyFont="1" applyAlignment="1">
      <alignment horizontal="center" vertical="center" wrapText="1" shrinkToFit="1"/>
    </xf>
    <xf numFmtId="170" fontId="4" fillId="0" borderId="0" xfId="0" applyFont="1" applyAlignment="1">
      <alignment horizontal="center" vertical="center" wrapText="1" shrinkToFit="1"/>
    </xf>
    <xf numFmtId="170" fontId="4" fillId="0" borderId="0" xfId="0" applyFont="1" applyAlignment="1">
      <alignment horizontal="center" vertical="center" shrinkToFit="1"/>
    </xf>
    <xf numFmtId="170" fontId="41" fillId="0" borderId="0" xfId="0" applyFont="1" applyAlignment="1">
      <alignment horizontal="center" vertical="center" wrapText="1" shrinkToFit="1"/>
    </xf>
    <xf numFmtId="170" fontId="41" fillId="0" borderId="0" xfId="0" applyFont="1" applyAlignment="1">
      <alignment horizontal="center" vertical="center" shrinkToFit="1"/>
    </xf>
    <xf numFmtId="170" fontId="39" fillId="0" borderId="24" xfId="0" applyFont="1" applyBorder="1" applyAlignment="1">
      <alignment horizontal="center" vertical="center" shrinkToFit="1"/>
    </xf>
    <xf numFmtId="170" fontId="42" fillId="0" borderId="0" xfId="0" applyFont="1" applyAlignment="1">
      <alignment horizontal="center" vertical="center" shrinkToFit="1"/>
    </xf>
    <xf numFmtId="170" fontId="32" fillId="0" borderId="0" xfId="0" applyFont="1" applyAlignment="1">
      <alignment horizontal="center" vertical="center" wrapText="1" shrinkToFit="1"/>
    </xf>
    <xf numFmtId="4" fontId="32" fillId="0" borderId="0" xfId="0" applyNumberFormat="1" applyFont="1" applyAlignment="1">
      <alignment horizontal="center" vertical="center" shrinkToFit="1"/>
    </xf>
    <xf numFmtId="170" fontId="42" fillId="0" borderId="0" xfId="0" applyFont="1" applyAlignment="1">
      <alignment horizontal="center" wrapText="1"/>
    </xf>
    <xf numFmtId="170" fontId="42" fillId="0" borderId="0" xfId="0" applyFont="1" applyAlignment="1">
      <alignment horizontal="center"/>
    </xf>
    <xf numFmtId="170" fontId="39" fillId="0" borderId="0" xfId="0" applyFont="1" applyAlignment="1">
      <alignment horizontal="center" vertical="center" wrapText="1"/>
    </xf>
    <xf numFmtId="164" fontId="4" fillId="0" borderId="0" xfId="8" applyFont="1" applyAlignment="1">
      <alignment horizontal="center" vertical="center" wrapText="1"/>
    </xf>
    <xf numFmtId="164" fontId="4" fillId="0" borderId="0" xfId="8" applyFont="1" applyAlignment="1">
      <alignment horizontal="center" vertical="center"/>
    </xf>
    <xf numFmtId="4" fontId="4" fillId="0" borderId="0" xfId="0" applyNumberFormat="1" applyFont="1" applyAlignment="1">
      <alignment horizontal="center" vertical="center" wrapText="1"/>
    </xf>
    <xf numFmtId="4" fontId="39" fillId="6" borderId="25" xfId="0" applyNumberFormat="1" applyFont="1" applyFill="1" applyBorder="1" applyAlignment="1">
      <alignment horizontal="center" vertical="center"/>
    </xf>
    <xf numFmtId="170" fontId="43" fillId="0" borderId="0" xfId="0" applyFont="1" applyAlignment="1">
      <alignment horizontal="center" wrapText="1"/>
    </xf>
    <xf numFmtId="170" fontId="4" fillId="0" borderId="0" xfId="0" applyFont="1" applyAlignment="1">
      <alignment horizontal="center" vertical="center"/>
    </xf>
    <xf numFmtId="170" fontId="4" fillId="7" borderId="0" xfId="0" applyFont="1" applyFill="1" applyAlignment="1">
      <alignment horizontal="center" vertical="center"/>
    </xf>
    <xf numFmtId="4" fontId="4" fillId="7" borderId="0" xfId="0" applyNumberFormat="1" applyFont="1" applyFill="1" applyAlignment="1">
      <alignment horizontal="center" vertical="center"/>
    </xf>
    <xf numFmtId="170" fontId="2" fillId="0" borderId="0" xfId="9"/>
    <xf numFmtId="4" fontId="46" fillId="0" borderId="34" xfId="9" applyNumberFormat="1" applyFont="1" applyBorder="1" applyAlignment="1">
      <alignment horizontal="center" vertical="center"/>
    </xf>
    <xf numFmtId="49" fontId="47" fillId="0" borderId="35" xfId="9" applyNumberFormat="1" applyFont="1" applyBorder="1" applyAlignment="1">
      <alignment horizontal="center" vertical="center"/>
    </xf>
    <xf numFmtId="49" fontId="48" fillId="0" borderId="35" xfId="9" applyNumberFormat="1" applyFont="1" applyBorder="1" applyAlignment="1">
      <alignment horizontal="center" vertical="center"/>
    </xf>
    <xf numFmtId="49" fontId="46" fillId="0" borderId="35" xfId="9" applyNumberFormat="1" applyFont="1" applyBorder="1" applyAlignment="1">
      <alignment horizontal="center" vertical="center"/>
    </xf>
    <xf numFmtId="3" fontId="49" fillId="0" borderId="35" xfId="9" applyNumberFormat="1" applyFont="1" applyBorder="1" applyAlignment="1">
      <alignment horizontal="center" vertical="center"/>
    </xf>
    <xf numFmtId="3" fontId="46" fillId="0" borderId="35" xfId="9" applyNumberFormat="1" applyFont="1" applyBorder="1" applyAlignment="1">
      <alignment horizontal="center" vertical="center"/>
    </xf>
    <xf numFmtId="3" fontId="49" fillId="8" borderId="35" xfId="9" applyNumberFormat="1" applyFont="1" applyFill="1" applyBorder="1" applyAlignment="1">
      <alignment horizontal="center" vertical="center"/>
    </xf>
    <xf numFmtId="3" fontId="50" fillId="8" borderId="35" xfId="9" applyNumberFormat="1" applyFont="1" applyFill="1" applyBorder="1" applyAlignment="1">
      <alignment horizontal="center" vertical="center"/>
    </xf>
    <xf numFmtId="3" fontId="50" fillId="8" borderId="36" xfId="9" applyNumberFormat="1" applyFont="1" applyFill="1" applyBorder="1" applyAlignment="1">
      <alignment horizontal="center" vertical="center"/>
    </xf>
    <xf numFmtId="3" fontId="49" fillId="8" borderId="37" xfId="9" applyNumberFormat="1" applyFont="1" applyFill="1" applyBorder="1" applyAlignment="1">
      <alignment horizontal="center" vertical="center"/>
    </xf>
    <xf numFmtId="164" fontId="50" fillId="8" borderId="35" xfId="10" applyFont="1" applyFill="1" applyBorder="1" applyAlignment="1">
      <alignment horizontal="center" vertical="center"/>
    </xf>
    <xf numFmtId="9" fontId="50" fillId="8" borderId="38" xfId="9" applyNumberFormat="1" applyFont="1" applyFill="1" applyBorder="1" applyAlignment="1">
      <alignment horizontal="center" vertical="center"/>
    </xf>
    <xf numFmtId="3" fontId="49" fillId="8" borderId="39" xfId="9" applyNumberFormat="1" applyFont="1" applyFill="1" applyBorder="1" applyAlignment="1">
      <alignment horizontal="center" vertical="center"/>
    </xf>
    <xf numFmtId="3" fontId="50" fillId="8" borderId="38" xfId="9" applyNumberFormat="1" applyFont="1" applyFill="1" applyBorder="1" applyAlignment="1">
      <alignment horizontal="center" vertical="center"/>
    </xf>
    <xf numFmtId="3" fontId="51" fillId="9" borderId="39" xfId="9" applyNumberFormat="1" applyFont="1" applyFill="1" applyBorder="1" applyAlignment="1">
      <alignment horizontal="center" vertical="center"/>
    </xf>
    <xf numFmtId="3" fontId="51" fillId="9" borderId="40" xfId="9" applyNumberFormat="1" applyFont="1" applyFill="1" applyBorder="1" applyAlignment="1">
      <alignment horizontal="center" vertical="center"/>
    </xf>
    <xf numFmtId="170" fontId="52" fillId="0" borderId="0" xfId="9" applyFont="1" applyAlignment="1">
      <alignment horizontal="center" vertical="center"/>
    </xf>
    <xf numFmtId="3" fontId="53" fillId="0" borderId="34" xfId="9" applyNumberFormat="1" applyFont="1" applyBorder="1" applyAlignment="1">
      <alignment horizontal="center" vertical="center"/>
    </xf>
    <xf numFmtId="165" fontId="54" fillId="0" borderId="35" xfId="9" applyNumberFormat="1" applyFont="1" applyBorder="1" applyAlignment="1">
      <alignment horizontal="center" vertical="center"/>
    </xf>
    <xf numFmtId="49" fontId="55" fillId="0" borderId="35" xfId="9" applyNumberFormat="1" applyFont="1" applyBorder="1" applyAlignment="1">
      <alignment horizontal="center" vertical="center" shrinkToFit="1"/>
    </xf>
    <xf numFmtId="49" fontId="4" fillId="0" borderId="35" xfId="9" applyNumberFormat="1" applyFont="1" applyBorder="1" applyAlignment="1">
      <alignment horizontal="center" vertical="center"/>
    </xf>
    <xf numFmtId="49" fontId="56" fillId="10" borderId="35" xfId="9" applyNumberFormat="1" applyFont="1" applyFill="1" applyBorder="1" applyAlignment="1">
      <alignment horizontal="center" vertical="center"/>
    </xf>
    <xf numFmtId="1" fontId="57" fillId="0" borderId="35" xfId="9" applyNumberFormat="1" applyFont="1" applyBorder="1" applyAlignment="1">
      <alignment horizontal="center" vertical="center"/>
    </xf>
    <xf numFmtId="3" fontId="58" fillId="0" borderId="35" xfId="9" applyNumberFormat="1" applyFont="1" applyBorder="1" applyAlignment="1">
      <alignment horizontal="center" vertical="center"/>
    </xf>
    <xf numFmtId="164" fontId="59" fillId="0" borderId="35" xfId="10" applyFont="1" applyBorder="1" applyAlignment="1">
      <alignment horizontal="center" vertical="center"/>
    </xf>
    <xf numFmtId="166" fontId="60" fillId="0" borderId="36" xfId="9" applyNumberFormat="1" applyFont="1" applyBorder="1" applyAlignment="1">
      <alignment horizontal="center" vertical="center"/>
    </xf>
    <xf numFmtId="49" fontId="56" fillId="10" borderId="37" xfId="9" applyNumberFormat="1" applyFont="1" applyFill="1" applyBorder="1" applyAlignment="1">
      <alignment horizontal="center" vertical="center"/>
    </xf>
    <xf numFmtId="4" fontId="60" fillId="0" borderId="35" xfId="10" applyNumberFormat="1" applyFont="1" applyBorder="1" applyAlignment="1">
      <alignment horizontal="center" vertical="center"/>
    </xf>
    <xf numFmtId="166" fontId="60" fillId="0" borderId="38" xfId="9" applyNumberFormat="1" applyFont="1" applyBorder="1" applyAlignment="1">
      <alignment horizontal="center" vertical="center"/>
    </xf>
    <xf numFmtId="49" fontId="56" fillId="10" borderId="39" xfId="9" applyNumberFormat="1" applyFont="1" applyFill="1" applyBorder="1" applyAlignment="1">
      <alignment horizontal="center" vertical="center"/>
    </xf>
    <xf numFmtId="164" fontId="60" fillId="0" borderId="35" xfId="10" applyFont="1" applyBorder="1" applyAlignment="1">
      <alignment horizontal="center" vertical="center"/>
    </xf>
    <xf numFmtId="164" fontId="61" fillId="0" borderId="35" xfId="10" applyFont="1" applyFill="1" applyBorder="1" applyAlignment="1">
      <alignment horizontal="center" vertical="center"/>
    </xf>
    <xf numFmtId="10" fontId="60" fillId="0" borderId="36" xfId="9" applyNumberFormat="1" applyFont="1" applyBorder="1" applyAlignment="1">
      <alignment horizontal="center" vertical="center"/>
    </xf>
    <xf numFmtId="3" fontId="60" fillId="0" borderId="39" xfId="9" applyNumberFormat="1" applyFont="1" applyBorder="1" applyAlignment="1">
      <alignment horizontal="right" vertical="center"/>
    </xf>
    <xf numFmtId="166" fontId="60" fillId="0" borderId="40" xfId="9" applyNumberFormat="1" applyFont="1" applyBorder="1" applyAlignment="1">
      <alignment horizontal="center" vertical="center"/>
    </xf>
    <xf numFmtId="170" fontId="2" fillId="0" borderId="0" xfId="9" applyAlignment="1">
      <alignment vertical="center"/>
    </xf>
    <xf numFmtId="49" fontId="62" fillId="10" borderId="35" xfId="9" applyNumberFormat="1" applyFont="1" applyFill="1" applyBorder="1" applyAlignment="1">
      <alignment horizontal="center" vertical="center"/>
    </xf>
    <xf numFmtId="3" fontId="63" fillId="0" borderId="35" xfId="9" applyNumberFormat="1" applyFont="1" applyBorder="1" applyAlignment="1">
      <alignment horizontal="center" vertical="center"/>
    </xf>
    <xf numFmtId="49" fontId="64" fillId="8" borderId="35" xfId="9" applyNumberFormat="1" applyFont="1" applyFill="1" applyBorder="1" applyAlignment="1">
      <alignment horizontal="center" vertical="center"/>
    </xf>
    <xf numFmtId="1" fontId="57" fillId="10" borderId="35" xfId="9" applyNumberFormat="1" applyFont="1" applyFill="1" applyBorder="1" applyAlignment="1">
      <alignment horizontal="center" vertical="center"/>
    </xf>
    <xf numFmtId="49" fontId="65" fillId="10" borderId="37" xfId="9" applyNumberFormat="1" applyFont="1" applyFill="1" applyBorder="1" applyAlignment="1">
      <alignment horizontal="center" vertical="center"/>
    </xf>
    <xf numFmtId="2" fontId="60" fillId="0" borderId="35" xfId="10" applyNumberFormat="1" applyFont="1" applyBorder="1" applyAlignment="1">
      <alignment horizontal="center" vertical="center"/>
    </xf>
    <xf numFmtId="49" fontId="65" fillId="10" borderId="39" xfId="9" applyNumberFormat="1" applyFont="1" applyFill="1" applyBorder="1" applyAlignment="1">
      <alignment horizontal="center" vertical="center"/>
    </xf>
    <xf numFmtId="49" fontId="66" fillId="8" borderId="39" xfId="9" applyNumberFormat="1" applyFont="1" applyFill="1" applyBorder="1" applyAlignment="1">
      <alignment horizontal="right" vertical="center"/>
    </xf>
    <xf numFmtId="49" fontId="66" fillId="8" borderId="37" xfId="9" applyNumberFormat="1" applyFont="1" applyFill="1" applyBorder="1" applyAlignment="1">
      <alignment horizontal="right" vertical="center"/>
    </xf>
    <xf numFmtId="164" fontId="60" fillId="0" borderId="35" xfId="10" applyFont="1" applyFill="1" applyBorder="1" applyAlignment="1">
      <alignment horizontal="center" vertical="center"/>
    </xf>
    <xf numFmtId="49" fontId="67" fillId="10" borderId="37" xfId="9" applyNumberFormat="1" applyFont="1" applyFill="1" applyBorder="1" applyAlignment="1">
      <alignment horizontal="center" vertical="center"/>
    </xf>
    <xf numFmtId="49" fontId="68" fillId="11" borderId="35" xfId="9" applyNumberFormat="1" applyFont="1" applyFill="1" applyBorder="1" applyAlignment="1">
      <alignment horizontal="center" vertical="center"/>
    </xf>
    <xf numFmtId="164" fontId="63" fillId="0" borderId="35" xfId="10" applyFont="1" applyBorder="1" applyAlignment="1">
      <alignment horizontal="center" vertical="center"/>
    </xf>
    <xf numFmtId="49" fontId="68" fillId="11" borderId="37" xfId="9" applyNumberFormat="1" applyFont="1" applyFill="1" applyBorder="1" applyAlignment="1">
      <alignment horizontal="center" vertical="center"/>
    </xf>
    <xf numFmtId="49" fontId="68" fillId="11" borderId="39" xfId="9" applyNumberFormat="1" applyFont="1" applyFill="1" applyBorder="1" applyAlignment="1">
      <alignment horizontal="center" vertical="center"/>
    </xf>
    <xf numFmtId="164" fontId="61" fillId="0" borderId="35" xfId="10" applyFont="1" applyBorder="1" applyAlignment="1">
      <alignment horizontal="center" vertical="center"/>
    </xf>
    <xf numFmtId="49" fontId="69" fillId="3" borderId="37" xfId="9" applyNumberFormat="1" applyFont="1" applyFill="1" applyBorder="1" applyAlignment="1">
      <alignment horizontal="center" vertical="center"/>
    </xf>
    <xf numFmtId="49" fontId="69" fillId="3" borderId="39" xfId="9" applyNumberFormat="1" applyFont="1" applyFill="1" applyBorder="1" applyAlignment="1">
      <alignment horizontal="center" vertical="center"/>
    </xf>
    <xf numFmtId="49" fontId="70" fillId="11" borderId="35" xfId="9" applyNumberFormat="1" applyFont="1" applyFill="1" applyBorder="1" applyAlignment="1">
      <alignment horizontal="center" vertical="center"/>
    </xf>
    <xf numFmtId="49" fontId="71" fillId="0" borderId="35" xfId="9" applyNumberFormat="1" applyFont="1" applyBorder="1" applyAlignment="1">
      <alignment horizontal="center" vertical="center"/>
    </xf>
    <xf numFmtId="49" fontId="71" fillId="0" borderId="37" xfId="9" applyNumberFormat="1" applyFont="1" applyBorder="1" applyAlignment="1">
      <alignment horizontal="center" vertical="center"/>
    </xf>
    <xf numFmtId="49" fontId="71" fillId="0" borderId="39" xfId="9" applyNumberFormat="1" applyFont="1" applyBorder="1" applyAlignment="1">
      <alignment horizontal="center" vertical="center"/>
    </xf>
    <xf numFmtId="49" fontId="72" fillId="9" borderId="35" xfId="9" applyNumberFormat="1" applyFont="1" applyFill="1" applyBorder="1" applyAlignment="1">
      <alignment horizontal="center" vertical="center"/>
    </xf>
    <xf numFmtId="49" fontId="72" fillId="9" borderId="37" xfId="9" applyNumberFormat="1" applyFont="1" applyFill="1" applyBorder="1" applyAlignment="1">
      <alignment horizontal="center" vertical="center"/>
    </xf>
    <xf numFmtId="49" fontId="72" fillId="9" borderId="39" xfId="9" applyNumberFormat="1" applyFont="1" applyFill="1" applyBorder="1" applyAlignment="1">
      <alignment horizontal="center" vertical="center"/>
    </xf>
    <xf numFmtId="49" fontId="73" fillId="12" borderId="35" xfId="9" applyNumberFormat="1" applyFont="1" applyFill="1" applyBorder="1" applyAlignment="1">
      <alignment horizontal="center" vertical="center"/>
    </xf>
    <xf numFmtId="49" fontId="73" fillId="12" borderId="37" xfId="9" applyNumberFormat="1" applyFont="1" applyFill="1" applyBorder="1" applyAlignment="1">
      <alignment horizontal="center" vertical="center"/>
    </xf>
    <xf numFmtId="49" fontId="73" fillId="12" borderId="39" xfId="9" applyNumberFormat="1" applyFont="1" applyFill="1" applyBorder="1" applyAlignment="1">
      <alignment horizontal="center" vertical="center"/>
    </xf>
    <xf numFmtId="49" fontId="74" fillId="13" borderId="35" xfId="9" applyNumberFormat="1" applyFont="1" applyFill="1" applyBorder="1" applyAlignment="1">
      <alignment horizontal="center" vertical="center"/>
    </xf>
    <xf numFmtId="49" fontId="74" fillId="13" borderId="37" xfId="9" applyNumberFormat="1" applyFont="1" applyFill="1" applyBorder="1" applyAlignment="1">
      <alignment horizontal="center" vertical="center"/>
    </xf>
    <xf numFmtId="49" fontId="74" fillId="13" borderId="39" xfId="9" applyNumberFormat="1" applyFont="1" applyFill="1" applyBorder="1" applyAlignment="1">
      <alignment horizontal="center" vertical="center"/>
    </xf>
    <xf numFmtId="49" fontId="75" fillId="14" borderId="35" xfId="9" applyNumberFormat="1" applyFont="1" applyFill="1" applyBorder="1" applyAlignment="1">
      <alignment horizontal="center" vertical="center"/>
    </xf>
    <xf numFmtId="49" fontId="76" fillId="14" borderId="35" xfId="9" applyNumberFormat="1" applyFont="1" applyFill="1" applyBorder="1" applyAlignment="1">
      <alignment horizontal="center" vertical="center"/>
    </xf>
    <xf numFmtId="49" fontId="76" fillId="14" borderId="37" xfId="9" applyNumberFormat="1" applyFont="1" applyFill="1" applyBorder="1" applyAlignment="1">
      <alignment horizontal="center" vertical="center"/>
    </xf>
    <xf numFmtId="49" fontId="76" fillId="14" borderId="39" xfId="9" applyNumberFormat="1" applyFont="1" applyFill="1" applyBorder="1" applyAlignment="1">
      <alignment horizontal="center" vertical="center"/>
    </xf>
    <xf numFmtId="49" fontId="57" fillId="14" borderId="35" xfId="9" applyNumberFormat="1" applyFont="1" applyFill="1" applyBorder="1" applyAlignment="1">
      <alignment horizontal="center" vertical="center"/>
    </xf>
    <xf numFmtId="49" fontId="68" fillId="15" borderId="35" xfId="9" applyNumberFormat="1" applyFont="1" applyFill="1" applyBorder="1" applyAlignment="1">
      <alignment horizontal="center" vertical="center"/>
    </xf>
    <xf numFmtId="49" fontId="68" fillId="15" borderId="37" xfId="9" applyNumberFormat="1" applyFont="1" applyFill="1" applyBorder="1" applyAlignment="1">
      <alignment horizontal="center" vertical="center"/>
    </xf>
    <xf numFmtId="4" fontId="60" fillId="0" borderId="35" xfId="10" applyNumberFormat="1" applyFont="1" applyFill="1" applyBorder="1" applyAlignment="1">
      <alignment horizontal="center" vertical="center"/>
    </xf>
    <xf numFmtId="49" fontId="68" fillId="15" borderId="39" xfId="9" applyNumberFormat="1" applyFont="1" applyFill="1" applyBorder="1" applyAlignment="1">
      <alignment horizontal="center" vertical="center"/>
    </xf>
    <xf numFmtId="49" fontId="69" fillId="3" borderId="35" xfId="9" applyNumberFormat="1" applyFont="1" applyFill="1" applyBorder="1" applyAlignment="1">
      <alignment horizontal="center" vertical="center"/>
    </xf>
    <xf numFmtId="4" fontId="66" fillId="0" borderId="35" xfId="10" applyNumberFormat="1" applyFont="1" applyBorder="1" applyAlignment="1">
      <alignment horizontal="center" vertical="center"/>
    </xf>
    <xf numFmtId="166" fontId="66" fillId="0" borderId="38" xfId="9" applyNumberFormat="1" applyFont="1" applyBorder="1" applyAlignment="1">
      <alignment horizontal="center" vertical="center"/>
    </xf>
    <xf numFmtId="49" fontId="77" fillId="0" borderId="35" xfId="9" applyNumberFormat="1" applyFont="1" applyFill="1" applyBorder="1" applyAlignment="1" applyProtection="1">
      <alignment horizontal="center" vertical="center"/>
    </xf>
    <xf numFmtId="49" fontId="70" fillId="14" borderId="35" xfId="9" applyNumberFormat="1" applyFont="1" applyFill="1" applyBorder="1" applyAlignment="1">
      <alignment horizontal="center" vertical="center"/>
    </xf>
    <xf numFmtId="165" fontId="54" fillId="0" borderId="42" xfId="9" applyNumberFormat="1" applyFont="1" applyBorder="1" applyAlignment="1">
      <alignment horizontal="center" vertical="center"/>
    </xf>
    <xf numFmtId="49" fontId="55" fillId="0" borderId="42" xfId="9" applyNumberFormat="1" applyFont="1" applyBorder="1" applyAlignment="1">
      <alignment horizontal="center" vertical="center" shrinkToFit="1"/>
    </xf>
    <xf numFmtId="49" fontId="4" fillId="0" borderId="42" xfId="9" applyNumberFormat="1" applyFont="1" applyBorder="1" applyAlignment="1">
      <alignment horizontal="center" vertical="center"/>
    </xf>
    <xf numFmtId="49" fontId="62" fillId="10" borderId="42" xfId="9" applyNumberFormat="1" applyFont="1" applyFill="1" applyBorder="1" applyAlignment="1">
      <alignment horizontal="center" vertical="center"/>
    </xf>
    <xf numFmtId="1" fontId="57" fillId="0" borderId="42" xfId="9" applyNumberFormat="1" applyFont="1" applyBorder="1" applyAlignment="1">
      <alignment horizontal="center" vertical="center"/>
    </xf>
    <xf numFmtId="3" fontId="63" fillId="0" borderId="42" xfId="9" applyNumberFormat="1" applyFont="1" applyBorder="1" applyAlignment="1">
      <alignment horizontal="center" vertical="center"/>
    </xf>
    <xf numFmtId="49" fontId="64" fillId="8" borderId="42" xfId="9" applyNumberFormat="1" applyFont="1" applyFill="1" applyBorder="1" applyAlignment="1">
      <alignment horizontal="center" vertical="center"/>
    </xf>
    <xf numFmtId="1" fontId="57" fillId="10" borderId="42" xfId="9" applyNumberFormat="1" applyFont="1" applyFill="1" applyBorder="1" applyAlignment="1">
      <alignment horizontal="center" vertical="center"/>
    </xf>
    <xf numFmtId="164" fontId="59" fillId="0" borderId="42" xfId="10" applyFont="1" applyBorder="1" applyAlignment="1">
      <alignment horizontal="center" vertical="center"/>
    </xf>
    <xf numFmtId="166" fontId="60" fillId="0" borderId="43" xfId="9" applyNumberFormat="1" applyFont="1" applyBorder="1" applyAlignment="1">
      <alignment horizontal="center" vertical="center"/>
    </xf>
    <xf numFmtId="49" fontId="65" fillId="10" borderId="44" xfId="9" applyNumberFormat="1" applyFont="1" applyFill="1" applyBorder="1" applyAlignment="1">
      <alignment horizontal="center" vertical="center"/>
    </xf>
    <xf numFmtId="2" fontId="60" fillId="0" borderId="42" xfId="10" applyNumberFormat="1" applyFont="1" applyBorder="1" applyAlignment="1">
      <alignment horizontal="center" vertical="center"/>
    </xf>
    <xf numFmtId="166" fontId="60" fillId="0" borderId="45" xfId="9" applyNumberFormat="1" applyFont="1" applyBorder="1" applyAlignment="1">
      <alignment horizontal="center" vertical="center"/>
    </xf>
    <xf numFmtId="49" fontId="65" fillId="10" borderId="46" xfId="9" applyNumberFormat="1" applyFont="1" applyFill="1" applyBorder="1" applyAlignment="1">
      <alignment horizontal="center" vertical="center"/>
    </xf>
    <xf numFmtId="164" fontId="60" fillId="0" borderId="42" xfId="10" applyFont="1" applyBorder="1" applyAlignment="1">
      <alignment horizontal="center" vertical="center"/>
    </xf>
    <xf numFmtId="164" fontId="60" fillId="0" borderId="42" xfId="10" applyFont="1" applyFill="1" applyBorder="1" applyAlignment="1">
      <alignment horizontal="center" vertical="center"/>
    </xf>
    <xf numFmtId="10" fontId="60" fillId="0" borderId="43" xfId="9" applyNumberFormat="1" applyFont="1" applyBorder="1" applyAlignment="1">
      <alignment horizontal="center" vertical="center"/>
    </xf>
    <xf numFmtId="3" fontId="60" fillId="0" borderId="46" xfId="9" applyNumberFormat="1" applyFont="1" applyBorder="1" applyAlignment="1">
      <alignment horizontal="right" vertical="center"/>
    </xf>
    <xf numFmtId="166" fontId="60" fillId="0" borderId="47" xfId="9" applyNumberFormat="1" applyFont="1" applyBorder="1" applyAlignment="1">
      <alignment horizontal="center" vertical="center"/>
    </xf>
    <xf numFmtId="170" fontId="2" fillId="0" borderId="48" xfId="9" applyBorder="1"/>
    <xf numFmtId="49" fontId="78" fillId="0" borderId="0" xfId="9" applyNumberFormat="1" applyFont="1" applyBorder="1" applyAlignment="1">
      <alignment horizontal="left"/>
    </xf>
    <xf numFmtId="49" fontId="79" fillId="0" borderId="0" xfId="9" applyNumberFormat="1" applyFont="1" applyBorder="1" applyAlignment="1">
      <alignment horizontal="right"/>
    </xf>
    <xf numFmtId="49" fontId="80" fillId="0" borderId="0" xfId="9" applyNumberFormat="1" applyFont="1" applyBorder="1" applyAlignment="1">
      <alignment horizontal="right"/>
    </xf>
    <xf numFmtId="49" fontId="2" fillId="0" borderId="0" xfId="9" applyNumberFormat="1" applyBorder="1" applyAlignment="1">
      <alignment horizontal="left"/>
    </xf>
    <xf numFmtId="3" fontId="2" fillId="0" borderId="0" xfId="9" applyNumberFormat="1" applyBorder="1" applyAlignment="1">
      <alignment horizontal="center"/>
    </xf>
    <xf numFmtId="3" fontId="81" fillId="0" borderId="0" xfId="9" applyNumberFormat="1" applyFont="1" applyBorder="1" applyAlignment="1">
      <alignment horizontal="center"/>
    </xf>
    <xf numFmtId="3" fontId="81" fillId="0" borderId="49" xfId="9" applyNumberFormat="1" applyFont="1" applyBorder="1" applyAlignment="1">
      <alignment horizontal="center"/>
    </xf>
    <xf numFmtId="3" fontId="81" fillId="0" borderId="50" xfId="9" applyNumberFormat="1" applyFont="1" applyBorder="1" applyAlignment="1">
      <alignment horizontal="center"/>
    </xf>
    <xf numFmtId="3" fontId="81" fillId="0" borderId="48" xfId="9" applyNumberFormat="1" applyFont="1" applyBorder="1" applyAlignment="1">
      <alignment horizontal="center"/>
    </xf>
    <xf numFmtId="164" fontId="81" fillId="0" borderId="49" xfId="10" applyFont="1" applyBorder="1" applyAlignment="1">
      <alignment horizontal="center"/>
    </xf>
    <xf numFmtId="3" fontId="81" fillId="0" borderId="51" xfId="9" applyNumberFormat="1" applyFont="1" applyBorder="1" applyAlignment="1">
      <alignment horizontal="center"/>
    </xf>
    <xf numFmtId="3" fontId="81" fillId="0" borderId="52" xfId="9" applyNumberFormat="1" applyFont="1" applyBorder="1" applyAlignment="1">
      <alignment horizontal="center"/>
    </xf>
    <xf numFmtId="3" fontId="81" fillId="0" borderId="53" xfId="9" applyNumberFormat="1" applyFont="1" applyBorder="1" applyAlignment="1">
      <alignment horizontal="center"/>
    </xf>
    <xf numFmtId="3" fontId="2" fillId="0" borderId="56" xfId="9" applyNumberFormat="1" applyBorder="1" applyAlignment="1">
      <alignment horizontal="center" vertical="center"/>
    </xf>
    <xf numFmtId="3" fontId="83" fillId="6" borderId="55" xfId="9" applyNumberFormat="1" applyFont="1" applyFill="1" applyBorder="1" applyAlignment="1">
      <alignment horizontal="center" vertical="center"/>
    </xf>
    <xf numFmtId="3" fontId="81" fillId="0" borderId="57" xfId="9" applyNumberFormat="1" applyFont="1" applyBorder="1" applyAlignment="1">
      <alignment horizontal="center" vertical="center"/>
    </xf>
    <xf numFmtId="3" fontId="81" fillId="0" borderId="58" xfId="9" applyNumberFormat="1" applyFont="1" applyBorder="1" applyAlignment="1">
      <alignment horizontal="center" vertical="center"/>
    </xf>
    <xf numFmtId="164" fontId="83" fillId="6" borderId="59" xfId="10" applyFont="1" applyFill="1" applyBorder="1" applyAlignment="1">
      <alignment horizontal="center" vertical="center"/>
    </xf>
    <xf numFmtId="9" fontId="83" fillId="6" borderId="60" xfId="9" applyNumberFormat="1" applyFont="1" applyFill="1" applyBorder="1" applyAlignment="1">
      <alignment horizontal="center" vertical="center"/>
    </xf>
    <xf numFmtId="9" fontId="84" fillId="0" borderId="0" xfId="9" applyNumberFormat="1" applyFont="1" applyBorder="1" applyAlignment="1">
      <alignment horizontal="center" vertical="center"/>
    </xf>
    <xf numFmtId="9" fontId="84" fillId="0" borderId="58" xfId="9" applyNumberFormat="1" applyFont="1" applyBorder="1" applyAlignment="1">
      <alignment horizontal="center" vertical="center"/>
    </xf>
    <xf numFmtId="164" fontId="85" fillId="6" borderId="59" xfId="10" applyFont="1" applyFill="1" applyBorder="1" applyAlignment="1">
      <alignment horizontal="center" vertical="center"/>
    </xf>
    <xf numFmtId="9" fontId="85" fillId="6" borderId="60" xfId="9" applyNumberFormat="1" applyFont="1" applyFill="1" applyBorder="1" applyAlignment="1">
      <alignment horizontal="center" vertical="center"/>
    </xf>
    <xf numFmtId="9" fontId="84" fillId="6" borderId="60" xfId="9" applyNumberFormat="1" applyFont="1" applyFill="1" applyBorder="1" applyAlignment="1">
      <alignment horizontal="center" vertical="center"/>
    </xf>
    <xf numFmtId="164" fontId="84" fillId="6" borderId="59" xfId="10" applyFont="1" applyFill="1" applyBorder="1" applyAlignment="1">
      <alignment horizontal="center" vertical="center"/>
    </xf>
    <xf numFmtId="164" fontId="84" fillId="6" borderId="55" xfId="10" applyFont="1" applyFill="1" applyBorder="1" applyAlignment="1">
      <alignment horizontal="center" vertical="center"/>
    </xf>
    <xf numFmtId="9" fontId="84" fillId="6" borderId="61" xfId="9" applyNumberFormat="1" applyFont="1" applyFill="1" applyBorder="1" applyAlignment="1">
      <alignment horizontal="center" vertical="center"/>
    </xf>
    <xf numFmtId="164" fontId="84" fillId="6" borderId="62" xfId="10" applyFont="1" applyFill="1" applyBorder="1" applyAlignment="1">
      <alignment horizontal="center" vertical="center"/>
    </xf>
    <xf numFmtId="9" fontId="84" fillId="6" borderId="63" xfId="9" applyNumberFormat="1" applyFont="1" applyFill="1" applyBorder="1" applyAlignment="1">
      <alignment horizontal="center" vertical="center"/>
    </xf>
    <xf numFmtId="3" fontId="84" fillId="6" borderId="62" xfId="9" applyNumberFormat="1" applyFont="1" applyFill="1" applyBorder="1" applyAlignment="1">
      <alignment horizontal="center" vertical="center"/>
    </xf>
    <xf numFmtId="9" fontId="84" fillId="6" borderId="63" xfId="11" applyFont="1" applyFill="1" applyBorder="1" applyAlignment="1">
      <alignment horizontal="center" vertical="center"/>
    </xf>
    <xf numFmtId="170" fontId="2" fillId="0" borderId="0" xfId="9" applyAlignment="1">
      <alignment horizontal="center" vertical="center"/>
    </xf>
    <xf numFmtId="49" fontId="78" fillId="0" borderId="0" xfId="9" applyNumberFormat="1" applyFont="1" applyAlignment="1">
      <alignment horizontal="left"/>
    </xf>
    <xf numFmtId="49" fontId="86" fillId="0" borderId="0" xfId="9" applyNumberFormat="1" applyFont="1" applyAlignment="1">
      <alignment horizontal="right" vertical="center"/>
    </xf>
    <xf numFmtId="49" fontId="87" fillId="0" borderId="0" xfId="9" applyNumberFormat="1" applyFont="1" applyAlignment="1">
      <alignment horizontal="right" vertical="center"/>
    </xf>
    <xf numFmtId="49" fontId="88" fillId="0" borderId="0" xfId="9" applyNumberFormat="1" applyFont="1" applyAlignment="1">
      <alignment horizontal="center" vertical="center"/>
    </xf>
    <xf numFmtId="3" fontId="88" fillId="0" borderId="0" xfId="9" applyNumberFormat="1" applyFont="1" applyAlignment="1">
      <alignment vertical="center"/>
    </xf>
    <xf numFmtId="164" fontId="88" fillId="0" borderId="0" xfId="10" applyFont="1" applyAlignment="1">
      <alignment vertical="center"/>
    </xf>
    <xf numFmtId="3" fontId="81" fillId="0" borderId="0" xfId="9" applyNumberFormat="1" applyFont="1"/>
    <xf numFmtId="164" fontId="81" fillId="0" borderId="0" xfId="10" applyFont="1"/>
    <xf numFmtId="164" fontId="0" fillId="0" borderId="0" xfId="10" applyFont="1"/>
    <xf numFmtId="164" fontId="89" fillId="0" borderId="0" xfId="10" applyFont="1" applyAlignment="1">
      <alignment horizontal="center" vertical="center"/>
    </xf>
    <xf numFmtId="49" fontId="80" fillId="0" borderId="0" xfId="9" applyNumberFormat="1" applyFont="1" applyAlignment="1">
      <alignment horizontal="right"/>
    </xf>
    <xf numFmtId="49" fontId="2" fillId="0" borderId="0" xfId="9" applyNumberFormat="1" applyAlignment="1">
      <alignment horizontal="left"/>
    </xf>
    <xf numFmtId="3" fontId="2" fillId="0" borderId="0" xfId="9" applyNumberFormat="1" applyAlignment="1">
      <alignment horizontal="center"/>
    </xf>
    <xf numFmtId="3" fontId="81" fillId="0" borderId="0" xfId="9" applyNumberFormat="1" applyFont="1" applyAlignment="1">
      <alignment horizontal="center"/>
    </xf>
    <xf numFmtId="3" fontId="81" fillId="0" borderId="0" xfId="9" applyNumberFormat="1" applyFont="1" applyAlignment="1">
      <alignment horizontal="center" vertical="center"/>
    </xf>
    <xf numFmtId="164" fontId="81" fillId="0" borderId="0" xfId="10" applyFont="1" applyAlignment="1">
      <alignment horizontal="center" vertical="center"/>
    </xf>
    <xf numFmtId="3" fontId="90" fillId="0" borderId="0" xfId="9" applyNumberFormat="1" applyFont="1" applyAlignment="1">
      <alignment horizontal="center" vertical="center"/>
    </xf>
    <xf numFmtId="164" fontId="91" fillId="0" borderId="0" xfId="10" applyFont="1" applyAlignment="1">
      <alignment horizontal="center" vertical="center"/>
    </xf>
    <xf numFmtId="49" fontId="79" fillId="0" borderId="0" xfId="9" applyNumberFormat="1" applyFont="1" applyAlignment="1">
      <alignment horizontal="right"/>
    </xf>
    <xf numFmtId="164" fontId="81" fillId="0" borderId="0" xfId="10" applyFont="1" applyAlignment="1">
      <alignment horizontal="center"/>
    </xf>
    <xf numFmtId="49" fontId="54" fillId="0" borderId="0" xfId="9" applyNumberFormat="1" applyFont="1" applyAlignment="1">
      <alignment horizontal="left"/>
    </xf>
    <xf numFmtId="49" fontId="92" fillId="0" borderId="0" xfId="9" applyNumberFormat="1" applyFont="1" applyAlignment="1">
      <alignment horizontal="right"/>
    </xf>
    <xf numFmtId="49" fontId="92" fillId="0" borderId="0" xfId="9" applyNumberFormat="1" applyFont="1" applyAlignment="1">
      <alignment horizontal="left"/>
    </xf>
    <xf numFmtId="170" fontId="92" fillId="0" borderId="0" xfId="9" applyFont="1"/>
    <xf numFmtId="164" fontId="92" fillId="0" borderId="0" xfId="10" applyFont="1"/>
    <xf numFmtId="3" fontId="94" fillId="8" borderId="0" xfId="9" applyNumberFormat="1" applyFont="1" applyFill="1" applyBorder="1" applyAlignment="1">
      <alignment horizontal="center" vertical="center"/>
    </xf>
    <xf numFmtId="3" fontId="94" fillId="8" borderId="70" xfId="9" applyNumberFormat="1" applyFont="1" applyFill="1" applyBorder="1" applyAlignment="1">
      <alignment horizontal="center" vertical="center"/>
    </xf>
    <xf numFmtId="3" fontId="94" fillId="8" borderId="71" xfId="9" applyNumberFormat="1" applyFont="1" applyFill="1" applyBorder="1" applyAlignment="1">
      <alignment horizontal="center" vertical="center"/>
    </xf>
    <xf numFmtId="164" fontId="94" fillId="8" borderId="0" xfId="10" applyFont="1" applyFill="1" applyBorder="1" applyAlignment="1">
      <alignment horizontal="center" vertical="center"/>
    </xf>
    <xf numFmtId="164" fontId="94" fillId="8" borderId="70" xfId="10" applyFont="1" applyFill="1" applyBorder="1" applyAlignment="1">
      <alignment horizontal="center" vertical="center"/>
    </xf>
    <xf numFmtId="3" fontId="95" fillId="8" borderId="70" xfId="9" applyNumberFormat="1" applyFont="1" applyFill="1" applyBorder="1" applyAlignment="1">
      <alignment horizontal="center" vertical="center"/>
    </xf>
    <xf numFmtId="3" fontId="95" fillId="8" borderId="71" xfId="9" applyNumberFormat="1" applyFont="1" applyFill="1" applyBorder="1" applyAlignment="1">
      <alignment horizontal="center" vertical="center"/>
    </xf>
    <xf numFmtId="164" fontId="95" fillId="8" borderId="70" xfId="10" applyFont="1" applyFill="1" applyBorder="1" applyAlignment="1">
      <alignment horizontal="center" vertical="center"/>
    </xf>
    <xf numFmtId="49" fontId="93" fillId="0" borderId="72" xfId="9" applyNumberFormat="1" applyFont="1" applyFill="1" applyBorder="1" applyAlignment="1">
      <alignment horizontal="center" vertical="center"/>
    </xf>
    <xf numFmtId="164" fontId="96" fillId="0" borderId="73" xfId="10" applyFont="1" applyBorder="1" applyAlignment="1">
      <alignment horizontal="center" vertical="center" shrinkToFit="1"/>
    </xf>
    <xf numFmtId="9" fontId="97" fillId="0" borderId="73" xfId="9" applyNumberFormat="1" applyFont="1" applyBorder="1" applyAlignment="1">
      <alignment horizontal="center" vertical="center" shrinkToFit="1"/>
    </xf>
    <xf numFmtId="164" fontId="96" fillId="0" borderId="74" xfId="10" applyFont="1" applyBorder="1" applyAlignment="1">
      <alignment horizontal="center" vertical="center" shrinkToFit="1"/>
    </xf>
    <xf numFmtId="9" fontId="97" fillId="0" borderId="75" xfId="9" applyNumberFormat="1" applyFont="1" applyBorder="1" applyAlignment="1">
      <alignment horizontal="center" vertical="center" shrinkToFit="1"/>
    </xf>
    <xf numFmtId="9" fontId="96" fillId="0" borderId="73" xfId="9" applyNumberFormat="1" applyFont="1" applyBorder="1" applyAlignment="1">
      <alignment horizontal="center" vertical="center" shrinkToFit="1"/>
    </xf>
    <xf numFmtId="9" fontId="97" fillId="0" borderId="73" xfId="10" applyNumberFormat="1" applyFont="1" applyBorder="1" applyAlignment="1">
      <alignment horizontal="center" vertical="center" shrinkToFit="1"/>
    </xf>
    <xf numFmtId="164" fontId="96" fillId="0" borderId="73" xfId="10" applyFont="1" applyBorder="1" applyAlignment="1">
      <alignment vertical="center" shrinkToFit="1"/>
    </xf>
    <xf numFmtId="164" fontId="98" fillId="0" borderId="73" xfId="10" applyFont="1" applyBorder="1" applyAlignment="1">
      <alignment vertical="center" shrinkToFit="1"/>
    </xf>
    <xf numFmtId="9" fontId="99" fillId="0" borderId="75" xfId="9" applyNumberFormat="1" applyFont="1" applyBorder="1" applyAlignment="1">
      <alignment horizontal="center" vertical="center" shrinkToFit="1"/>
    </xf>
    <xf numFmtId="164" fontId="29" fillId="0" borderId="73" xfId="10" applyFont="1" applyBorder="1" applyAlignment="1">
      <alignment vertical="center"/>
    </xf>
    <xf numFmtId="9" fontId="100" fillId="0" borderId="75" xfId="9" applyNumberFormat="1" applyFont="1" applyBorder="1" applyAlignment="1">
      <alignment horizontal="center" vertical="center"/>
    </xf>
    <xf numFmtId="164" fontId="101" fillId="0" borderId="73" xfId="10" applyFont="1" applyBorder="1" applyAlignment="1">
      <alignment vertical="center"/>
    </xf>
    <xf numFmtId="10" fontId="102" fillId="0" borderId="75" xfId="10" applyNumberFormat="1" applyFont="1" applyBorder="1" applyAlignment="1">
      <alignment horizontal="center" vertical="center"/>
    </xf>
    <xf numFmtId="9" fontId="102" fillId="0" borderId="75" xfId="9" applyNumberFormat="1" applyFont="1" applyBorder="1" applyAlignment="1">
      <alignment horizontal="center" vertical="center"/>
    </xf>
    <xf numFmtId="49" fontId="93" fillId="17" borderId="69" xfId="9" applyNumberFormat="1" applyFont="1" applyFill="1" applyBorder="1" applyAlignment="1">
      <alignment horizontal="center" vertical="center"/>
    </xf>
    <xf numFmtId="164" fontId="96" fillId="18" borderId="0" xfId="10" applyFont="1" applyFill="1" applyBorder="1" applyAlignment="1">
      <alignment horizontal="center" vertical="center" shrinkToFit="1"/>
    </xf>
    <xf numFmtId="9" fontId="97" fillId="18" borderId="0" xfId="9" applyNumberFormat="1" applyFont="1" applyFill="1" applyBorder="1" applyAlignment="1">
      <alignment horizontal="center" vertical="center" shrinkToFit="1"/>
    </xf>
    <xf numFmtId="164" fontId="96" fillId="18" borderId="70" xfId="10" applyFont="1" applyFill="1" applyBorder="1" applyAlignment="1">
      <alignment horizontal="center" vertical="center" shrinkToFit="1"/>
    </xf>
    <xf numFmtId="9" fontId="97" fillId="18" borderId="71" xfId="9" applyNumberFormat="1" applyFont="1" applyFill="1" applyBorder="1" applyAlignment="1">
      <alignment horizontal="center" vertical="center" shrinkToFit="1"/>
    </xf>
    <xf numFmtId="9" fontId="96" fillId="18" borderId="0" xfId="9" applyNumberFormat="1" applyFont="1" applyFill="1" applyBorder="1" applyAlignment="1">
      <alignment horizontal="center" vertical="center" shrinkToFit="1"/>
    </xf>
    <xf numFmtId="9" fontId="97" fillId="18" borderId="0" xfId="10" applyNumberFormat="1" applyFont="1" applyFill="1" applyBorder="1" applyAlignment="1">
      <alignment horizontal="center" vertical="center" shrinkToFit="1"/>
    </xf>
    <xf numFmtId="164" fontId="96" fillId="18" borderId="0" xfId="10" applyFont="1" applyFill="1" applyBorder="1" applyAlignment="1">
      <alignment vertical="center" shrinkToFit="1"/>
    </xf>
    <xf numFmtId="164" fontId="98" fillId="18" borderId="0" xfId="10" applyFont="1" applyFill="1" applyBorder="1" applyAlignment="1">
      <alignment vertical="center" shrinkToFit="1"/>
    </xf>
    <xf numFmtId="9" fontId="99" fillId="18" borderId="71" xfId="9" applyNumberFormat="1" applyFont="1" applyFill="1" applyBorder="1" applyAlignment="1">
      <alignment horizontal="center" vertical="center" shrinkToFit="1"/>
    </xf>
    <xf numFmtId="164" fontId="29" fillId="18" borderId="0" xfId="10" applyFont="1" applyFill="1" applyBorder="1" applyAlignment="1">
      <alignment vertical="center"/>
    </xf>
    <xf numFmtId="9" fontId="100" fillId="18" borderId="71" xfId="9" applyNumberFormat="1" applyFont="1" applyFill="1" applyBorder="1" applyAlignment="1">
      <alignment horizontal="center" vertical="center"/>
    </xf>
    <xf numFmtId="164" fontId="101" fillId="18" borderId="0" xfId="10" applyFont="1" applyFill="1" applyBorder="1" applyAlignment="1">
      <alignment vertical="center"/>
    </xf>
    <xf numFmtId="10" fontId="102" fillId="18" borderId="71" xfId="10" applyNumberFormat="1" applyFont="1" applyFill="1" applyBorder="1" applyAlignment="1">
      <alignment horizontal="center" vertical="center"/>
    </xf>
    <xf numFmtId="9" fontId="102" fillId="18" borderId="71" xfId="9" applyNumberFormat="1" applyFont="1" applyFill="1" applyBorder="1" applyAlignment="1">
      <alignment horizontal="center" vertical="center"/>
    </xf>
    <xf numFmtId="49" fontId="93" fillId="0" borderId="69" xfId="9" applyNumberFormat="1" applyFont="1" applyFill="1" applyBorder="1" applyAlignment="1">
      <alignment horizontal="center" vertical="center"/>
    </xf>
    <xf numFmtId="164" fontId="96" fillId="0" borderId="0" xfId="10" applyFont="1" applyBorder="1" applyAlignment="1">
      <alignment horizontal="center" vertical="center" shrinkToFit="1"/>
    </xf>
    <xf numFmtId="9" fontId="97" fillId="0" borderId="0" xfId="9" applyNumberFormat="1" applyFont="1" applyBorder="1" applyAlignment="1">
      <alignment horizontal="center" vertical="center" shrinkToFit="1"/>
    </xf>
    <xf numFmtId="164" fontId="96" fillId="0" borderId="70" xfId="10" applyFont="1" applyBorder="1" applyAlignment="1">
      <alignment horizontal="center" vertical="center" shrinkToFit="1"/>
    </xf>
    <xf numFmtId="9" fontId="97" fillId="0" borderId="71" xfId="9" applyNumberFormat="1" applyFont="1" applyBorder="1" applyAlignment="1">
      <alignment horizontal="center" vertical="center" shrinkToFit="1"/>
    </xf>
    <xf numFmtId="9" fontId="96" fillId="0" borderId="0" xfId="9" applyNumberFormat="1" applyFont="1" applyBorder="1" applyAlignment="1">
      <alignment horizontal="center" vertical="center" shrinkToFit="1"/>
    </xf>
    <xf numFmtId="9" fontId="97" fillId="0" borderId="0" xfId="10" applyNumberFormat="1" applyFont="1" applyBorder="1" applyAlignment="1">
      <alignment horizontal="center" vertical="center" shrinkToFit="1"/>
    </xf>
    <xf numFmtId="164" fontId="96" fillId="0" borderId="0" xfId="10" applyFont="1" applyBorder="1" applyAlignment="1">
      <alignment vertical="center" shrinkToFit="1"/>
    </xf>
    <xf numFmtId="164" fontId="98" fillId="0" borderId="0" xfId="10" applyFont="1" applyBorder="1" applyAlignment="1">
      <alignment vertical="center" shrinkToFit="1"/>
    </xf>
    <xf numFmtId="9" fontId="99" fillId="0" borderId="71" xfId="9" applyNumberFormat="1" applyFont="1" applyBorder="1" applyAlignment="1">
      <alignment horizontal="center" vertical="center" shrinkToFit="1"/>
    </xf>
    <xf numFmtId="164" fontId="29" fillId="0" borderId="0" xfId="10" applyFont="1" applyBorder="1" applyAlignment="1">
      <alignment vertical="center"/>
    </xf>
    <xf numFmtId="9" fontId="100" fillId="0" borderId="71" xfId="9" applyNumberFormat="1" applyFont="1" applyBorder="1" applyAlignment="1">
      <alignment horizontal="center" vertical="center"/>
    </xf>
    <xf numFmtId="164" fontId="101" fillId="0" borderId="0" xfId="10" applyFont="1" applyBorder="1" applyAlignment="1">
      <alignment vertical="center"/>
    </xf>
    <xf numFmtId="10" fontId="102" fillId="0" borderId="71" xfId="10" applyNumberFormat="1" applyFont="1" applyBorder="1" applyAlignment="1">
      <alignment horizontal="center" vertical="center"/>
    </xf>
    <xf numFmtId="9" fontId="102" fillId="0" borderId="71" xfId="9" applyNumberFormat="1" applyFont="1" applyBorder="1" applyAlignment="1">
      <alignment horizontal="center" vertical="center"/>
    </xf>
    <xf numFmtId="49" fontId="93" fillId="0" borderId="76" xfId="9" applyNumberFormat="1" applyFont="1" applyFill="1" applyBorder="1" applyAlignment="1">
      <alignment horizontal="center" vertical="center"/>
    </xf>
    <xf numFmtId="164" fontId="96" fillId="0" borderId="77" xfId="10" applyFont="1" applyBorder="1" applyAlignment="1">
      <alignment horizontal="center" vertical="center" shrinkToFit="1"/>
    </xf>
    <xf numFmtId="9" fontId="97" fillId="0" borderId="77" xfId="9" applyNumberFormat="1" applyFont="1" applyBorder="1" applyAlignment="1">
      <alignment horizontal="center" vertical="center" shrinkToFit="1"/>
    </xf>
    <xf numFmtId="164" fontId="96" fillId="0" borderId="78" xfId="10" applyFont="1" applyBorder="1" applyAlignment="1">
      <alignment horizontal="center" vertical="center" shrinkToFit="1"/>
    </xf>
    <xf numFmtId="9" fontId="97" fillId="0" borderId="79" xfId="9" applyNumberFormat="1" applyFont="1" applyBorder="1" applyAlignment="1">
      <alignment horizontal="center" vertical="center" shrinkToFit="1"/>
    </xf>
    <xf numFmtId="9" fontId="96" fillId="0" borderId="77" xfId="9" applyNumberFormat="1" applyFont="1" applyBorder="1" applyAlignment="1">
      <alignment horizontal="center" vertical="center" shrinkToFit="1"/>
    </xf>
    <xf numFmtId="9" fontId="97" fillId="0" borderId="77" xfId="10" applyNumberFormat="1" applyFont="1" applyBorder="1" applyAlignment="1">
      <alignment horizontal="center" vertical="center" shrinkToFit="1"/>
    </xf>
    <xf numFmtId="164" fontId="96" fillId="0" borderId="77" xfId="10" applyFont="1" applyBorder="1" applyAlignment="1">
      <alignment vertical="center" shrinkToFit="1"/>
    </xf>
    <xf numFmtId="164" fontId="98" fillId="0" borderId="77" xfId="10" applyFont="1" applyBorder="1" applyAlignment="1">
      <alignment vertical="center" shrinkToFit="1"/>
    </xf>
    <xf numFmtId="9" fontId="99" fillId="0" borderId="79" xfId="9" applyNumberFormat="1" applyFont="1" applyBorder="1" applyAlignment="1">
      <alignment horizontal="center" vertical="center" shrinkToFit="1"/>
    </xf>
    <xf numFmtId="164" fontId="29" fillId="0" borderId="77" xfId="10" applyFont="1" applyBorder="1" applyAlignment="1">
      <alignment vertical="center"/>
    </xf>
    <xf numFmtId="9" fontId="100" fillId="0" borderId="79" xfId="9" applyNumberFormat="1" applyFont="1" applyBorder="1" applyAlignment="1">
      <alignment horizontal="center" vertical="center"/>
    </xf>
    <xf numFmtId="164" fontId="101" fillId="0" borderId="77" xfId="10" applyFont="1" applyBorder="1" applyAlignment="1">
      <alignment vertical="center"/>
    </xf>
    <xf numFmtId="10" fontId="102" fillId="0" borderId="79" xfId="10" applyNumberFormat="1" applyFont="1" applyBorder="1" applyAlignment="1">
      <alignment horizontal="center" vertical="center"/>
    </xf>
    <xf numFmtId="9" fontId="102" fillId="0" borderId="79" xfId="9" applyNumberFormat="1" applyFont="1" applyBorder="1" applyAlignment="1">
      <alignment horizontal="center" vertical="center"/>
    </xf>
    <xf numFmtId="49" fontId="103" fillId="16" borderId="76" xfId="9" applyNumberFormat="1" applyFont="1" applyFill="1" applyBorder="1" applyAlignment="1">
      <alignment horizontal="center" vertical="center" shrinkToFit="1"/>
    </xf>
    <xf numFmtId="164" fontId="82" fillId="8" borderId="77" xfId="10" applyFont="1" applyFill="1" applyBorder="1" applyAlignment="1">
      <alignment horizontal="center" vertical="center" shrinkToFit="1"/>
    </xf>
    <xf numFmtId="9" fontId="104" fillId="8" borderId="77" xfId="9" applyNumberFormat="1" applyFont="1" applyFill="1" applyBorder="1" applyAlignment="1">
      <alignment horizontal="center" vertical="center" shrinkToFit="1"/>
    </xf>
    <xf numFmtId="164" fontId="82" fillId="8" borderId="78" xfId="10" applyFont="1" applyFill="1" applyBorder="1" applyAlignment="1">
      <alignment horizontal="center" vertical="center" shrinkToFit="1"/>
    </xf>
    <xf numFmtId="9" fontId="105" fillId="8" borderId="79" xfId="9" applyNumberFormat="1" applyFont="1" applyFill="1" applyBorder="1" applyAlignment="1">
      <alignment horizontal="center" vertical="center" shrinkToFit="1"/>
    </xf>
    <xf numFmtId="9" fontId="82" fillId="8" borderId="78" xfId="10" applyNumberFormat="1" applyFont="1" applyFill="1" applyBorder="1" applyAlignment="1">
      <alignment horizontal="center" vertical="center" shrinkToFit="1"/>
    </xf>
    <xf numFmtId="9" fontId="105" fillId="8" borderId="77" xfId="10" applyNumberFormat="1" applyFont="1" applyFill="1" applyBorder="1" applyAlignment="1">
      <alignment horizontal="center" vertical="center" shrinkToFit="1"/>
    </xf>
    <xf numFmtId="9" fontId="104" fillId="8" borderId="79" xfId="9" applyNumberFormat="1" applyFont="1" applyFill="1" applyBorder="1" applyAlignment="1">
      <alignment horizontal="center" vertical="center" shrinkToFit="1"/>
    </xf>
    <xf numFmtId="164" fontId="106" fillId="8" borderId="78" xfId="10" applyFont="1" applyFill="1" applyBorder="1" applyAlignment="1">
      <alignment horizontal="center" vertical="center" shrinkToFit="1"/>
    </xf>
    <xf numFmtId="164" fontId="107" fillId="8" borderId="77" xfId="10" applyFont="1" applyFill="1" applyBorder="1" applyAlignment="1">
      <alignment horizontal="center" vertical="center" shrinkToFit="1"/>
    </xf>
    <xf numFmtId="9" fontId="99" fillId="8" borderId="79" xfId="9" applyNumberFormat="1" applyFont="1" applyFill="1" applyBorder="1" applyAlignment="1">
      <alignment horizontal="center" vertical="center" shrinkToFit="1"/>
    </xf>
    <xf numFmtId="164" fontId="29" fillId="8" borderId="77" xfId="10" applyFont="1" applyFill="1" applyBorder="1" applyAlignment="1">
      <alignment horizontal="center" vertical="center"/>
    </xf>
    <xf numFmtId="9" fontId="100" fillId="8" borderId="79" xfId="9" applyNumberFormat="1" applyFont="1" applyFill="1" applyBorder="1" applyAlignment="1">
      <alignment horizontal="center" vertical="center"/>
    </xf>
    <xf numFmtId="164" fontId="101" fillId="8" borderId="77" xfId="10" applyFont="1" applyFill="1" applyBorder="1" applyAlignment="1">
      <alignment horizontal="center" vertical="center"/>
    </xf>
    <xf numFmtId="10" fontId="102" fillId="8" borderId="79" xfId="10" applyNumberFormat="1" applyFont="1" applyFill="1" applyBorder="1" applyAlignment="1">
      <alignment horizontal="center" vertical="center"/>
    </xf>
    <xf numFmtId="9" fontId="102" fillId="8" borderId="79" xfId="9" applyNumberFormat="1" applyFont="1" applyFill="1" applyBorder="1" applyAlignment="1">
      <alignment horizontal="center" vertical="center"/>
    </xf>
    <xf numFmtId="3" fontId="95" fillId="8" borderId="66" xfId="9" applyNumberFormat="1" applyFont="1" applyFill="1" applyBorder="1" applyAlignment="1">
      <alignment horizontal="center" vertical="center"/>
    </xf>
    <xf numFmtId="3" fontId="95" fillId="8" borderId="0" xfId="9" applyNumberFormat="1" applyFont="1" applyFill="1" applyBorder="1" applyAlignment="1">
      <alignment horizontal="center" vertical="center"/>
    </xf>
    <xf numFmtId="164" fontId="95" fillId="8" borderId="0" xfId="10" applyFont="1" applyFill="1" applyBorder="1" applyAlignment="1">
      <alignment horizontal="center" vertical="center"/>
    </xf>
    <xf numFmtId="164" fontId="95" fillId="8" borderId="80" xfId="10" applyFont="1" applyFill="1" applyBorder="1" applyAlignment="1">
      <alignment horizontal="center" vertical="center"/>
    </xf>
    <xf numFmtId="49" fontId="72" fillId="0" borderId="72" xfId="9" applyNumberFormat="1" applyFont="1" applyFill="1" applyBorder="1" applyAlignment="1">
      <alignment horizontal="center" vertical="center"/>
    </xf>
    <xf numFmtId="3" fontId="101" fillId="0" borderId="73" xfId="9" applyNumberFormat="1" applyFont="1" applyBorder="1" applyAlignment="1">
      <alignment horizontal="center" vertical="center"/>
    </xf>
    <xf numFmtId="9" fontId="102" fillId="0" borderId="73" xfId="9" applyNumberFormat="1" applyFont="1" applyBorder="1" applyAlignment="1">
      <alignment horizontal="center" vertical="center"/>
    </xf>
    <xf numFmtId="3" fontId="101" fillId="0" borderId="74" xfId="9" applyNumberFormat="1" applyFont="1" applyBorder="1" applyAlignment="1">
      <alignment horizontal="center" vertical="center"/>
    </xf>
    <xf numFmtId="164" fontId="102" fillId="0" borderId="73" xfId="10" applyFont="1" applyBorder="1" applyAlignment="1">
      <alignment horizontal="center" vertical="center"/>
    </xf>
    <xf numFmtId="164" fontId="101" fillId="0" borderId="81" xfId="10" applyFont="1" applyBorder="1" applyAlignment="1">
      <alignment vertical="center"/>
    </xf>
    <xf numFmtId="49" fontId="72" fillId="17" borderId="69" xfId="9" applyNumberFormat="1" applyFont="1" applyFill="1" applyBorder="1" applyAlignment="1">
      <alignment horizontal="center" vertical="center"/>
    </xf>
    <xf numFmtId="3" fontId="101" fillId="18" borderId="0" xfId="9" applyNumberFormat="1" applyFont="1" applyFill="1" applyBorder="1" applyAlignment="1">
      <alignment horizontal="center" vertical="center"/>
    </xf>
    <xf numFmtId="9" fontId="102" fillId="18" borderId="0" xfId="9" applyNumberFormat="1" applyFont="1" applyFill="1" applyBorder="1" applyAlignment="1">
      <alignment horizontal="center" vertical="center"/>
    </xf>
    <xf numFmtId="3" fontId="101" fillId="18" borderId="70" xfId="9" applyNumberFormat="1" applyFont="1" applyFill="1" applyBorder="1" applyAlignment="1">
      <alignment horizontal="center" vertical="center"/>
    </xf>
    <xf numFmtId="164" fontId="102" fillId="18" borderId="0" xfId="10" applyFont="1" applyFill="1" applyBorder="1" applyAlignment="1">
      <alignment horizontal="center" vertical="center"/>
    </xf>
    <xf numFmtId="164" fontId="101" fillId="18" borderId="80" xfId="10" applyFont="1" applyFill="1" applyBorder="1" applyAlignment="1">
      <alignment vertical="center"/>
    </xf>
    <xf numFmtId="49" fontId="72" fillId="0" borderId="69" xfId="9" applyNumberFormat="1" applyFont="1" applyFill="1" applyBorder="1" applyAlignment="1">
      <alignment horizontal="center" vertical="center"/>
    </xf>
    <xf numFmtId="3" fontId="101" fillId="0" borderId="0" xfId="9" applyNumberFormat="1" applyFont="1" applyBorder="1" applyAlignment="1">
      <alignment horizontal="center" vertical="center"/>
    </xf>
    <xf numFmtId="9" fontId="102" fillId="0" borderId="0" xfId="9" applyNumberFormat="1" applyFont="1" applyBorder="1" applyAlignment="1">
      <alignment horizontal="center" vertical="center"/>
    </xf>
    <xf numFmtId="3" fontId="101" fillId="0" borderId="70" xfId="9" applyNumberFormat="1" applyFont="1" applyBorder="1" applyAlignment="1">
      <alignment horizontal="center" vertical="center"/>
    </xf>
    <xf numFmtId="164" fontId="102" fillId="0" borderId="0" xfId="10" applyFont="1" applyBorder="1" applyAlignment="1">
      <alignment horizontal="center" vertical="center"/>
    </xf>
    <xf numFmtId="164" fontId="101" fillId="0" borderId="80" xfId="10" applyFont="1" applyBorder="1" applyAlignment="1">
      <alignment vertical="center"/>
    </xf>
    <xf numFmtId="49" fontId="72" fillId="0" borderId="82" xfId="9" applyNumberFormat="1" applyFont="1" applyFill="1" applyBorder="1" applyAlignment="1">
      <alignment horizontal="center" vertical="center"/>
    </xf>
    <xf numFmtId="3" fontId="101" fillId="0" borderId="83" xfId="9" applyNumberFormat="1" applyFont="1" applyBorder="1" applyAlignment="1">
      <alignment horizontal="center" vertical="center"/>
    </xf>
    <xf numFmtId="9" fontId="102" fillId="0" borderId="83" xfId="9" applyNumberFormat="1" applyFont="1" applyBorder="1" applyAlignment="1">
      <alignment horizontal="center" vertical="center"/>
    </xf>
    <xf numFmtId="3" fontId="101" fillId="0" borderId="84" xfId="9" applyNumberFormat="1" applyFont="1" applyBorder="1" applyAlignment="1">
      <alignment horizontal="center" vertical="center"/>
    </xf>
    <xf numFmtId="164" fontId="102" fillId="0" borderId="83" xfId="10" applyFont="1" applyBorder="1" applyAlignment="1">
      <alignment horizontal="center" vertical="center"/>
    </xf>
    <xf numFmtId="164" fontId="101" fillId="0" borderId="85" xfId="10" applyFont="1" applyBorder="1" applyAlignment="1">
      <alignment vertical="center"/>
    </xf>
    <xf numFmtId="9" fontId="102" fillId="0" borderId="86" xfId="9" applyNumberFormat="1" applyFont="1" applyBorder="1" applyAlignment="1">
      <alignment horizontal="center" vertical="center"/>
    </xf>
    <xf numFmtId="49" fontId="72" fillId="16" borderId="87" xfId="9" applyNumberFormat="1" applyFont="1" applyFill="1" applyBorder="1" applyAlignment="1">
      <alignment horizontal="center" vertical="center"/>
    </xf>
    <xf numFmtId="3" fontId="101" fillId="8" borderId="88" xfId="9" applyNumberFormat="1" applyFont="1" applyFill="1" applyBorder="1" applyAlignment="1">
      <alignment horizontal="center" vertical="center"/>
    </xf>
    <xf numFmtId="9" fontId="102" fillId="8" borderId="88" xfId="9" applyNumberFormat="1" applyFont="1" applyFill="1" applyBorder="1" applyAlignment="1">
      <alignment horizontal="center" vertical="center"/>
    </xf>
    <xf numFmtId="3" fontId="101" fillId="8" borderId="89" xfId="9" applyNumberFormat="1" applyFont="1" applyFill="1" applyBorder="1" applyAlignment="1">
      <alignment horizontal="center" vertical="center"/>
    </xf>
    <xf numFmtId="164" fontId="102" fillId="8" borderId="88" xfId="10" applyFont="1" applyFill="1" applyBorder="1" applyAlignment="1">
      <alignment horizontal="center" vertical="center"/>
    </xf>
    <xf numFmtId="164" fontId="101" fillId="8" borderId="90" xfId="10" applyFont="1" applyFill="1" applyBorder="1" applyAlignment="1">
      <alignment horizontal="center" vertical="center"/>
    </xf>
    <xf numFmtId="9" fontId="102" fillId="8" borderId="91" xfId="9" applyNumberFormat="1" applyFont="1" applyFill="1" applyBorder="1" applyAlignment="1">
      <alignment horizontal="center" vertical="center"/>
    </xf>
    <xf numFmtId="170" fontId="17" fillId="0" borderId="0" xfId="12" applyFont="1" applyAlignment="1">
      <alignment horizontal="center" vertical="center"/>
    </xf>
    <xf numFmtId="170" fontId="17" fillId="0" borderId="0" xfId="12" applyNumberFormat="1" applyFont="1" applyAlignment="1">
      <alignment horizontal="center" vertical="center"/>
    </xf>
    <xf numFmtId="4" fontId="22" fillId="0" borderId="0" xfId="12" applyNumberFormat="1" applyFont="1" applyAlignment="1">
      <alignment horizontal="center" vertical="center"/>
    </xf>
    <xf numFmtId="170" fontId="22" fillId="0" borderId="0" xfId="12" applyFont="1" applyAlignment="1">
      <alignment horizontal="center" vertical="center"/>
    </xf>
    <xf numFmtId="49" fontId="109" fillId="0" borderId="0" xfId="12" applyNumberFormat="1" applyFont="1" applyAlignment="1">
      <alignment horizontal="center" vertical="center"/>
    </xf>
    <xf numFmtId="170" fontId="42" fillId="0" borderId="0" xfId="12" applyFont="1" applyAlignment="1">
      <alignment horizontal="center" vertical="center"/>
    </xf>
    <xf numFmtId="4" fontId="110" fillId="0" borderId="0" xfId="12" applyNumberFormat="1" applyFont="1" applyAlignment="1">
      <alignment horizontal="center" vertical="center"/>
    </xf>
    <xf numFmtId="4" fontId="111" fillId="0" borderId="0" xfId="12" applyNumberFormat="1" applyFont="1" applyAlignment="1">
      <alignment horizontal="center" vertical="center"/>
    </xf>
    <xf numFmtId="170" fontId="42" fillId="0" borderId="0" xfId="12" applyNumberFormat="1" applyFont="1" applyAlignment="1">
      <alignment horizontal="center" vertical="center"/>
    </xf>
    <xf numFmtId="4" fontId="37" fillId="0" borderId="0" xfId="12" applyNumberFormat="1" applyFont="1" applyAlignment="1">
      <alignment horizontal="center" vertical="center"/>
    </xf>
    <xf numFmtId="170" fontId="3" fillId="0" borderId="0" xfId="12" applyAlignment="1">
      <alignment horizontal="center" vertical="center"/>
    </xf>
    <xf numFmtId="170" fontId="112" fillId="0" borderId="0" xfId="12" applyFont="1" applyAlignment="1">
      <alignment horizontal="center" vertical="center"/>
    </xf>
    <xf numFmtId="170" fontId="3" fillId="0" borderId="0" xfId="12"/>
    <xf numFmtId="4" fontId="3" fillId="0" borderId="0" xfId="12" applyNumberFormat="1" applyAlignment="1">
      <alignment horizontal="center" vertical="center"/>
    </xf>
    <xf numFmtId="170" fontId="17" fillId="0" borderId="0" xfId="12" applyNumberFormat="1" applyFont="1" applyAlignment="1">
      <alignment horizontal="center" vertical="center"/>
    </xf>
    <xf numFmtId="170" fontId="42" fillId="0" borderId="0" xfId="12" applyNumberFormat="1" applyFont="1" applyAlignment="1">
      <alignment horizontal="center" vertical="center"/>
    </xf>
    <xf numFmtId="3" fontId="53" fillId="0" borderId="36" xfId="9" applyNumberFormat="1" applyFont="1" applyBorder="1" applyAlignment="1">
      <alignment horizontal="center" vertical="center"/>
    </xf>
    <xf numFmtId="43" fontId="59" fillId="0" borderId="35" xfId="7" applyFont="1" applyBorder="1" applyAlignment="1">
      <alignment horizontal="center" vertical="center"/>
    </xf>
    <xf numFmtId="166" fontId="60" fillId="0" borderId="35" xfId="9" applyNumberFormat="1" applyFont="1" applyBorder="1" applyAlignment="1">
      <alignment horizontal="center" vertical="center"/>
    </xf>
    <xf numFmtId="49" fontId="65" fillId="10" borderId="38" xfId="9" applyNumberFormat="1" applyFont="1" applyFill="1" applyBorder="1" applyAlignment="1">
      <alignment horizontal="center" vertical="center"/>
    </xf>
    <xf numFmtId="43" fontId="60" fillId="0" borderId="35" xfId="7" applyFont="1" applyBorder="1" applyAlignment="1">
      <alignment horizontal="center" vertical="center"/>
    </xf>
    <xf numFmtId="2" fontId="60" fillId="0" borderId="35" xfId="7" applyNumberFormat="1" applyFont="1" applyBorder="1" applyAlignment="1">
      <alignment horizontal="center" vertical="center"/>
    </xf>
    <xf numFmtId="166" fontId="60" fillId="0" borderId="37" xfId="9" applyNumberFormat="1" applyFont="1" applyBorder="1" applyAlignment="1">
      <alignment horizontal="center" vertical="center"/>
    </xf>
    <xf numFmtId="49" fontId="65" fillId="10" borderId="35" xfId="9" applyNumberFormat="1" applyFont="1" applyFill="1" applyBorder="1" applyAlignment="1">
      <alignment horizontal="center" vertical="center"/>
    </xf>
    <xf numFmtId="49" fontId="66" fillId="8" borderId="35" xfId="9" applyNumberFormat="1" applyFont="1" applyFill="1" applyBorder="1" applyAlignment="1">
      <alignment horizontal="right" vertical="center"/>
    </xf>
    <xf numFmtId="49" fontId="66" fillId="8" borderId="38" xfId="9" applyNumberFormat="1" applyFont="1" applyFill="1" applyBorder="1" applyAlignment="1">
      <alignment horizontal="right" vertical="center"/>
    </xf>
    <xf numFmtId="43" fontId="60" fillId="0" borderId="35" xfId="7" applyFont="1" applyFill="1" applyBorder="1" applyAlignment="1">
      <alignment horizontal="center" vertical="center"/>
    </xf>
    <xf numFmtId="10" fontId="60" fillId="0" borderId="35" xfId="9" applyNumberFormat="1" applyFont="1" applyBorder="1" applyAlignment="1">
      <alignment horizontal="center" vertical="center"/>
    </xf>
    <xf numFmtId="3" fontId="60" fillId="0" borderId="35" xfId="9" applyNumberFormat="1" applyFont="1" applyBorder="1" applyAlignment="1">
      <alignment horizontal="right" vertical="center"/>
    </xf>
    <xf numFmtId="166" fontId="60" fillId="0" borderId="39" xfId="9" applyNumberFormat="1" applyFont="1" applyBorder="1" applyAlignment="1">
      <alignment horizontal="center" vertical="center"/>
    </xf>
    <xf numFmtId="170" fontId="2" fillId="0" borderId="0" xfId="13" applyProtection="1">
      <protection hidden="1"/>
    </xf>
    <xf numFmtId="14" fontId="113" fillId="8" borderId="92" xfId="13" applyNumberFormat="1" applyFont="1" applyFill="1" applyBorder="1" applyAlignment="1" applyProtection="1">
      <alignment horizontal="center" vertical="center" shrinkToFit="1"/>
      <protection hidden="1"/>
    </xf>
    <xf numFmtId="170" fontId="113" fillId="8" borderId="93" xfId="13" applyFont="1" applyFill="1" applyBorder="1" applyAlignment="1" applyProtection="1">
      <alignment horizontal="center" vertical="center" shrinkToFit="1"/>
      <protection hidden="1"/>
    </xf>
    <xf numFmtId="14" fontId="113" fillId="8" borderId="94" xfId="13" applyNumberFormat="1" applyFont="1" applyFill="1" applyBorder="1" applyAlignment="1" applyProtection="1">
      <alignment horizontal="center" vertical="center" shrinkToFit="1"/>
      <protection hidden="1"/>
    </xf>
    <xf numFmtId="167" fontId="42" fillId="0" borderId="0" xfId="13" applyNumberFormat="1" applyFont="1" applyAlignment="1" applyProtection="1">
      <alignment horizontal="center" vertical="center"/>
      <protection hidden="1"/>
    </xf>
    <xf numFmtId="168" fontId="42" fillId="0" borderId="0" xfId="13" applyNumberFormat="1" applyFont="1" applyAlignment="1" applyProtection="1">
      <alignment horizontal="center" vertical="center"/>
      <protection hidden="1"/>
    </xf>
    <xf numFmtId="1" fontId="42" fillId="0" borderId="0" xfId="13" applyNumberFormat="1" applyFont="1" applyAlignment="1" applyProtection="1">
      <alignment horizontal="center" vertical="center"/>
      <protection hidden="1"/>
    </xf>
    <xf numFmtId="168" fontId="114" fillId="6" borderId="95" xfId="14" applyNumberFormat="1" applyFont="1" applyFill="1" applyBorder="1" applyAlignment="1" applyProtection="1">
      <alignment horizontal="center" vertical="center" shrinkToFit="1"/>
      <protection hidden="1"/>
    </xf>
    <xf numFmtId="170" fontId="42" fillId="0" borderId="0" xfId="13" applyFont="1" applyAlignment="1" applyProtection="1">
      <alignment horizontal="center" vertical="center"/>
      <protection hidden="1"/>
    </xf>
    <xf numFmtId="3" fontId="84" fillId="6" borderId="96" xfId="14" applyNumberFormat="1" applyFont="1" applyFill="1" applyBorder="1" applyAlignment="1" applyProtection="1">
      <alignment horizontal="center" vertical="center" shrinkToFit="1"/>
      <protection hidden="1"/>
    </xf>
    <xf numFmtId="3" fontId="84" fillId="19" borderId="97" xfId="13" applyNumberFormat="1" applyFont="1" applyFill="1" applyBorder="1" applyAlignment="1" applyProtection="1">
      <alignment horizontal="center" vertical="center" shrinkToFit="1"/>
      <protection hidden="1"/>
    </xf>
    <xf numFmtId="3" fontId="84" fillId="7" borderId="97" xfId="13" applyNumberFormat="1" applyFont="1" applyFill="1" applyBorder="1" applyAlignment="1" applyProtection="1">
      <alignment horizontal="center" vertical="center" shrinkToFit="1"/>
      <protection hidden="1"/>
    </xf>
    <xf numFmtId="3" fontId="84" fillId="0" borderId="98" xfId="13" applyNumberFormat="1" applyFont="1" applyBorder="1" applyAlignment="1" applyProtection="1">
      <alignment horizontal="center" vertical="center" shrinkToFit="1"/>
      <protection hidden="1"/>
    </xf>
    <xf numFmtId="167" fontId="115" fillId="0" borderId="0" xfId="13" applyNumberFormat="1" applyFont="1" applyAlignment="1" applyProtection="1">
      <alignment horizontal="center" vertical="center"/>
      <protection hidden="1"/>
    </xf>
    <xf numFmtId="168" fontId="115" fillId="0" borderId="0" xfId="14" applyNumberFormat="1" applyFont="1" applyFill="1" applyBorder="1" applyAlignment="1" applyProtection="1">
      <alignment horizontal="center" vertical="center" shrinkToFit="1"/>
      <protection hidden="1"/>
    </xf>
    <xf numFmtId="168" fontId="4" fillId="0" borderId="0" xfId="14" applyNumberFormat="1" applyFont="1" applyAlignment="1" applyProtection="1">
      <alignment horizontal="center" vertical="center" shrinkToFit="1"/>
      <protection hidden="1"/>
    </xf>
    <xf numFmtId="168" fontId="98" fillId="6" borderId="35" xfId="14" applyNumberFormat="1" applyFont="1" applyFill="1" applyBorder="1" applyAlignment="1" applyProtection="1">
      <alignment horizontal="center" vertical="center" shrinkToFit="1"/>
      <protection hidden="1"/>
    </xf>
    <xf numFmtId="168" fontId="98" fillId="0" borderId="0" xfId="14" applyNumberFormat="1" applyFont="1" applyFill="1" applyBorder="1" applyAlignment="1" applyProtection="1">
      <alignment horizontal="center" vertical="center" shrinkToFit="1"/>
      <protection hidden="1"/>
    </xf>
    <xf numFmtId="168" fontId="116" fillId="6" borderId="35" xfId="14" applyNumberFormat="1" applyFont="1" applyFill="1" applyBorder="1" applyAlignment="1" applyProtection="1">
      <alignment horizontal="center" vertical="center" shrinkToFit="1"/>
      <protection hidden="1"/>
    </xf>
    <xf numFmtId="169" fontId="42" fillId="0" borderId="0" xfId="13" applyNumberFormat="1" applyFont="1" applyAlignment="1" applyProtection="1">
      <alignment horizontal="center" vertical="center"/>
      <protection hidden="1"/>
    </xf>
    <xf numFmtId="1" fontId="101" fillId="0" borderId="0" xfId="13" applyNumberFormat="1" applyFont="1" applyAlignment="1" applyProtection="1">
      <alignment horizontal="center" vertical="center"/>
      <protection hidden="1"/>
    </xf>
    <xf numFmtId="170" fontId="101" fillId="0" borderId="0" xfId="13" applyFont="1" applyAlignment="1" applyProtection="1">
      <alignment horizontal="center" vertical="center"/>
      <protection hidden="1"/>
    </xf>
    <xf numFmtId="168" fontId="98" fillId="0" borderId="0" xfId="14" applyNumberFormat="1" applyFont="1" applyAlignment="1" applyProtection="1">
      <alignment horizontal="center" vertical="center" shrinkToFit="1"/>
      <protection hidden="1"/>
    </xf>
    <xf numFmtId="168" fontId="114" fillId="6" borderId="99" xfId="14" applyNumberFormat="1" applyFont="1" applyFill="1" applyBorder="1" applyAlignment="1" applyProtection="1">
      <alignment horizontal="center" vertical="center" shrinkToFit="1"/>
      <protection hidden="1"/>
    </xf>
    <xf numFmtId="168" fontId="101" fillId="0" borderId="0" xfId="14" applyNumberFormat="1" applyFont="1" applyAlignment="1" applyProtection="1">
      <alignment horizontal="center" vertical="center" shrinkToFit="1"/>
      <protection hidden="1"/>
    </xf>
    <xf numFmtId="16" fontId="2" fillId="0" borderId="0" xfId="13" applyNumberFormat="1" applyProtection="1">
      <protection hidden="1"/>
    </xf>
    <xf numFmtId="170" fontId="119" fillId="0" borderId="48" xfId="13" applyFont="1" applyFill="1" applyBorder="1" applyAlignment="1" applyProtection="1">
      <alignment horizontal="center" vertical="center" wrapText="1"/>
      <protection hidden="1"/>
    </xf>
    <xf numFmtId="170" fontId="119" fillId="0" borderId="103" xfId="13" applyFont="1" applyFill="1" applyBorder="1" applyAlignment="1" applyProtection="1">
      <alignment horizontal="center" vertical="center" wrapText="1"/>
      <protection hidden="1"/>
    </xf>
    <xf numFmtId="170" fontId="119" fillId="0" borderId="103" xfId="13" applyFont="1" applyFill="1" applyBorder="1" applyAlignment="1" applyProtection="1">
      <alignment horizontal="center" vertical="center" wrapText="1" shrinkToFit="1"/>
      <protection hidden="1"/>
    </xf>
    <xf numFmtId="1" fontId="120" fillId="0" borderId="103" xfId="13" applyNumberFormat="1" applyFont="1" applyFill="1" applyBorder="1" applyAlignment="1" applyProtection="1">
      <alignment horizontal="center" vertical="center" wrapText="1"/>
      <protection hidden="1"/>
    </xf>
    <xf numFmtId="170" fontId="121" fillId="0" borderId="103" xfId="13" applyFont="1" applyFill="1" applyBorder="1" applyAlignment="1" applyProtection="1">
      <alignment horizontal="center" vertical="center" wrapText="1"/>
      <protection hidden="1"/>
    </xf>
    <xf numFmtId="168" fontId="119" fillId="0" borderId="103" xfId="14" applyNumberFormat="1" applyFont="1" applyFill="1" applyBorder="1" applyAlignment="1" applyProtection="1">
      <alignment horizontal="center" vertical="center" wrapText="1"/>
      <protection hidden="1"/>
    </xf>
    <xf numFmtId="168" fontId="119" fillId="0" borderId="104" xfId="14" applyNumberFormat="1" applyFont="1" applyFill="1" applyBorder="1" applyAlignment="1" applyProtection="1">
      <alignment horizontal="center" vertical="center" wrapText="1"/>
      <protection hidden="1"/>
    </xf>
    <xf numFmtId="168" fontId="119" fillId="0" borderId="105" xfId="14" applyNumberFormat="1" applyFont="1" applyFill="1" applyBorder="1" applyAlignment="1" applyProtection="1">
      <alignment horizontal="center" vertical="center" wrapText="1"/>
      <protection hidden="1"/>
    </xf>
    <xf numFmtId="168" fontId="119" fillId="0" borderId="0" xfId="14" applyNumberFormat="1" applyFont="1" applyFill="1" applyBorder="1" applyAlignment="1" applyProtection="1">
      <alignment horizontal="center" vertical="center" wrapText="1"/>
      <protection hidden="1"/>
    </xf>
    <xf numFmtId="9" fontId="122" fillId="0" borderId="103" xfId="13" applyNumberFormat="1" applyFont="1" applyFill="1" applyBorder="1" applyAlignment="1" applyProtection="1">
      <alignment horizontal="center" vertical="center" wrapText="1"/>
      <protection hidden="1"/>
    </xf>
    <xf numFmtId="170" fontId="120" fillId="0" borderId="103" xfId="13" applyFont="1" applyFill="1" applyBorder="1" applyAlignment="1" applyProtection="1">
      <alignment horizontal="center" vertical="center" wrapText="1"/>
      <protection hidden="1"/>
    </xf>
    <xf numFmtId="168" fontId="120" fillId="0" borderId="103" xfId="14" applyNumberFormat="1" applyFont="1" applyFill="1" applyBorder="1" applyAlignment="1" applyProtection="1">
      <alignment horizontal="center" vertical="center" wrapText="1"/>
      <protection hidden="1"/>
    </xf>
    <xf numFmtId="168" fontId="123" fillId="0" borderId="103" xfId="14" applyNumberFormat="1" applyFont="1" applyFill="1" applyBorder="1" applyAlignment="1" applyProtection="1">
      <alignment horizontal="center" vertical="center" wrapText="1"/>
      <protection hidden="1"/>
    </xf>
    <xf numFmtId="168" fontId="123" fillId="0" borderId="106" xfId="14" applyNumberFormat="1" applyFont="1" applyFill="1" applyBorder="1" applyAlignment="1" applyProtection="1">
      <alignment horizontal="center" vertical="center" wrapText="1"/>
      <protection hidden="1"/>
    </xf>
    <xf numFmtId="170" fontId="124" fillId="0" borderId="0" xfId="13" applyFont="1" applyFill="1" applyProtection="1">
      <protection hidden="1"/>
    </xf>
    <xf numFmtId="1" fontId="125" fillId="0" borderId="35" xfId="13" applyNumberFormat="1" applyFont="1" applyFill="1" applyBorder="1" applyAlignment="1" applyProtection="1">
      <alignment horizontal="center" vertical="center" shrinkToFit="1"/>
      <protection hidden="1"/>
    </xf>
    <xf numFmtId="170" fontId="125" fillId="0" borderId="35" xfId="13" applyFont="1" applyFill="1" applyBorder="1" applyAlignment="1" applyProtection="1">
      <alignment horizontal="center" vertical="center" shrinkToFit="1"/>
      <protection hidden="1"/>
    </xf>
    <xf numFmtId="170" fontId="126" fillId="0" borderId="35" xfId="13" applyFont="1" applyFill="1" applyBorder="1" applyAlignment="1" applyProtection="1">
      <alignment horizontal="center" vertical="center" shrinkToFit="1"/>
      <protection hidden="1"/>
    </xf>
    <xf numFmtId="170" fontId="125" fillId="0" borderId="35" xfId="13" applyFont="1" applyFill="1" applyBorder="1" applyAlignment="1" applyProtection="1">
      <alignment horizontal="center" vertical="center"/>
      <protection hidden="1"/>
    </xf>
    <xf numFmtId="170" fontId="125" fillId="0" borderId="35" xfId="13" applyNumberFormat="1" applyFont="1" applyFill="1" applyBorder="1" applyAlignment="1" applyProtection="1">
      <alignment horizontal="center" vertical="center" shrinkToFit="1"/>
      <protection hidden="1"/>
    </xf>
    <xf numFmtId="168" fontId="125" fillId="0" borderId="35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36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107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108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39" xfId="14" applyNumberFormat="1" applyFont="1" applyFill="1" applyBorder="1" applyAlignment="1" applyProtection="1">
      <alignment horizontal="center" vertical="center" shrinkToFit="1"/>
      <protection hidden="1"/>
    </xf>
    <xf numFmtId="9" fontId="125" fillId="0" borderId="35" xfId="13" applyNumberFormat="1" applyFont="1" applyFill="1" applyBorder="1" applyAlignment="1" applyProtection="1">
      <alignment horizontal="center" vertical="center"/>
      <protection hidden="1"/>
    </xf>
    <xf numFmtId="168" fontId="127" fillId="0" borderId="35" xfId="14" applyNumberFormat="1" applyFont="1" applyFill="1" applyBorder="1" applyAlignment="1" applyProtection="1">
      <alignment horizontal="center" vertical="center" shrinkToFit="1"/>
      <protection hidden="1"/>
    </xf>
    <xf numFmtId="168" fontId="128" fillId="0" borderId="35" xfId="14" applyNumberFormat="1" applyFont="1" applyFill="1" applyBorder="1" applyAlignment="1" applyProtection="1">
      <alignment horizontal="center" vertical="center" shrinkToFit="1"/>
      <protection hidden="1"/>
    </xf>
    <xf numFmtId="168" fontId="129" fillId="0" borderId="35" xfId="14" applyNumberFormat="1" applyFont="1" applyFill="1" applyBorder="1" applyAlignment="1" applyProtection="1">
      <alignment horizontal="center" vertical="center" shrinkToFit="1"/>
      <protection hidden="1"/>
    </xf>
    <xf numFmtId="170" fontId="130" fillId="0" borderId="0" xfId="13" applyFont="1" applyProtection="1">
      <protection hidden="1"/>
    </xf>
    <xf numFmtId="10" fontId="125" fillId="0" borderId="35" xfId="13" applyNumberFormat="1" applyFont="1" applyFill="1" applyBorder="1" applyAlignment="1" applyProtection="1">
      <alignment horizontal="center" vertical="center"/>
      <protection hidden="1"/>
    </xf>
    <xf numFmtId="1" fontId="125" fillId="0" borderId="35" xfId="13" applyNumberFormat="1" applyFont="1" applyFill="1" applyBorder="1" applyAlignment="1" applyProtection="1">
      <alignment horizontal="center" vertical="center" wrapText="1" shrinkToFit="1"/>
      <protection hidden="1"/>
    </xf>
    <xf numFmtId="1" fontId="2" fillId="0" borderId="35" xfId="13" applyNumberFormat="1" applyFont="1" applyFill="1" applyBorder="1" applyAlignment="1" applyProtection="1">
      <alignment horizontal="center" vertical="center" shrinkToFit="1"/>
      <protection hidden="1"/>
    </xf>
    <xf numFmtId="170" fontId="125" fillId="0" borderId="35" xfId="13" applyFont="1" applyFill="1" applyBorder="1" applyAlignment="1" applyProtection="1">
      <alignment horizontal="center" vertical="center" wrapText="1" shrinkToFit="1"/>
      <protection hidden="1"/>
    </xf>
    <xf numFmtId="168" fontId="128" fillId="0" borderId="107" xfId="14" applyNumberFormat="1" applyFont="1" applyFill="1" applyBorder="1" applyAlignment="1" applyProtection="1">
      <alignment horizontal="center" vertical="center" shrinkToFit="1"/>
      <protection hidden="1"/>
    </xf>
    <xf numFmtId="170" fontId="131" fillId="0" borderId="35" xfId="13" applyNumberFormat="1" applyFont="1" applyFill="1" applyBorder="1" applyAlignment="1" applyProtection="1">
      <alignment horizontal="center" vertical="center" shrinkToFit="1"/>
      <protection hidden="1"/>
    </xf>
    <xf numFmtId="168" fontId="128" fillId="0" borderId="108" xfId="14" applyNumberFormat="1" applyFont="1" applyFill="1" applyBorder="1" applyAlignment="1" applyProtection="1">
      <alignment horizontal="center" vertical="center" shrinkToFit="1"/>
      <protection hidden="1"/>
    </xf>
    <xf numFmtId="170" fontId="125" fillId="0" borderId="35" xfId="13" applyNumberFormat="1" applyFont="1" applyFill="1" applyBorder="1" applyAlignment="1" applyProtection="1">
      <alignment horizontal="center" vertical="center" wrapText="1" shrinkToFit="1"/>
      <protection hidden="1"/>
    </xf>
    <xf numFmtId="1" fontId="2" fillId="0" borderId="109" xfId="13" applyNumberFormat="1" applyFont="1" applyFill="1" applyBorder="1" applyAlignment="1" applyProtection="1">
      <alignment horizontal="center" vertical="center" shrinkToFit="1"/>
      <protection hidden="1"/>
    </xf>
    <xf numFmtId="170" fontId="125" fillId="0" borderId="109" xfId="13" applyFont="1" applyFill="1" applyBorder="1" applyAlignment="1" applyProtection="1">
      <alignment horizontal="center" vertical="center" shrinkToFit="1"/>
      <protection hidden="1"/>
    </xf>
    <xf numFmtId="170" fontId="125" fillId="0" borderId="109" xfId="13" applyFont="1" applyFill="1" applyBorder="1" applyAlignment="1" applyProtection="1">
      <alignment horizontal="center" vertical="center"/>
      <protection hidden="1"/>
    </xf>
    <xf numFmtId="170" fontId="125" fillId="0" borderId="109" xfId="13" applyNumberFormat="1" applyFont="1" applyFill="1" applyBorder="1" applyAlignment="1" applyProtection="1">
      <alignment horizontal="center" vertical="center" shrinkToFit="1"/>
      <protection hidden="1"/>
    </xf>
    <xf numFmtId="1" fontId="125" fillId="0" borderId="109" xfId="13" applyNumberFormat="1" applyFont="1" applyFill="1" applyBorder="1" applyAlignment="1" applyProtection="1">
      <alignment horizontal="center" vertical="center" shrinkToFit="1"/>
      <protection hidden="1"/>
    </xf>
    <xf numFmtId="168" fontId="125" fillId="0" borderId="109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110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111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112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113" xfId="14" applyNumberFormat="1" applyFont="1" applyFill="1" applyBorder="1" applyAlignment="1" applyProtection="1">
      <alignment horizontal="center" vertical="center" shrinkToFit="1"/>
      <protection hidden="1"/>
    </xf>
    <xf numFmtId="168" fontId="127" fillId="0" borderId="109" xfId="14" applyNumberFormat="1" applyFont="1" applyFill="1" applyBorder="1" applyAlignment="1" applyProtection="1">
      <alignment horizontal="center" vertical="center" shrinkToFit="1"/>
      <protection hidden="1"/>
    </xf>
    <xf numFmtId="168" fontId="129" fillId="0" borderId="109" xfId="14" applyNumberFormat="1" applyFont="1" applyFill="1" applyBorder="1" applyAlignment="1" applyProtection="1">
      <alignment horizontal="center" vertical="center" shrinkToFit="1"/>
      <protection hidden="1"/>
    </xf>
    <xf numFmtId="167" fontId="130" fillId="0" borderId="0" xfId="14" applyFont="1" applyProtection="1">
      <protection hidden="1"/>
    </xf>
    <xf numFmtId="1" fontId="130" fillId="0" borderId="109" xfId="13" applyNumberFormat="1" applyFont="1" applyFill="1" applyBorder="1" applyAlignment="1" applyProtection="1">
      <alignment horizontal="center" vertical="center" shrinkToFit="1"/>
      <protection hidden="1"/>
    </xf>
    <xf numFmtId="168" fontId="128" fillId="0" borderId="109" xfId="14" applyNumberFormat="1" applyFont="1" applyFill="1" applyBorder="1" applyAlignment="1" applyProtection="1">
      <alignment horizontal="center" vertical="center" shrinkToFit="1"/>
      <protection hidden="1"/>
    </xf>
    <xf numFmtId="170" fontId="126" fillId="0" borderId="109" xfId="13" applyFont="1" applyFill="1" applyBorder="1" applyAlignment="1" applyProtection="1">
      <alignment horizontal="center" vertical="center" shrinkToFit="1"/>
      <protection hidden="1"/>
    </xf>
    <xf numFmtId="10" fontId="125" fillId="0" borderId="109" xfId="13" applyNumberFormat="1" applyFont="1" applyFill="1" applyBorder="1" applyAlignment="1" applyProtection="1">
      <alignment horizontal="center" vertical="center"/>
      <protection hidden="1"/>
    </xf>
    <xf numFmtId="1" fontId="125" fillId="0" borderId="109" xfId="13" applyNumberFormat="1" applyFont="1" applyFill="1" applyBorder="1" applyAlignment="1" applyProtection="1">
      <alignment horizontal="center" vertical="center" wrapText="1" shrinkToFit="1"/>
      <protection hidden="1"/>
    </xf>
    <xf numFmtId="1" fontId="132" fillId="0" borderId="109" xfId="13" applyNumberFormat="1" applyFont="1" applyFill="1" applyBorder="1" applyAlignment="1" applyProtection="1">
      <alignment horizontal="center" vertical="center" shrinkToFit="1"/>
      <protection hidden="1"/>
    </xf>
    <xf numFmtId="1" fontId="132" fillId="0" borderId="35" xfId="13" applyNumberFormat="1" applyFont="1" applyFill="1" applyBorder="1" applyAlignment="1" applyProtection="1">
      <alignment horizontal="center" vertical="center" shrinkToFit="1"/>
      <protection hidden="1"/>
    </xf>
    <xf numFmtId="170" fontId="125" fillId="0" borderId="109" xfId="13" applyNumberFormat="1" applyFont="1" applyFill="1" applyBorder="1" applyAlignment="1" applyProtection="1">
      <alignment horizontal="center" vertical="center" shrinkToFit="1"/>
      <protection hidden="1"/>
    </xf>
    <xf numFmtId="170" fontId="125" fillId="0" borderId="35" xfId="13" applyNumberFormat="1" applyFont="1" applyFill="1" applyBorder="1" applyAlignment="1" applyProtection="1">
      <alignment horizontal="center" vertical="center" shrinkToFit="1"/>
      <protection hidden="1"/>
    </xf>
    <xf numFmtId="170" fontId="125" fillId="6" borderId="109" xfId="13" applyFont="1" applyFill="1" applyBorder="1" applyAlignment="1" applyProtection="1">
      <alignment horizontal="center" vertical="center" shrinkToFit="1"/>
      <protection hidden="1"/>
    </xf>
    <xf numFmtId="170" fontId="126" fillId="6" borderId="109" xfId="13" applyFont="1" applyFill="1" applyBorder="1" applyAlignment="1" applyProtection="1">
      <alignment horizontal="center" vertical="center" shrinkToFit="1"/>
      <protection hidden="1"/>
    </xf>
    <xf numFmtId="170" fontId="125" fillId="6" borderId="109" xfId="13" applyFont="1" applyFill="1" applyBorder="1" applyAlignment="1" applyProtection="1">
      <alignment horizontal="center" vertical="center"/>
      <protection hidden="1"/>
    </xf>
    <xf numFmtId="170" fontId="125" fillId="6" borderId="109" xfId="13" applyNumberFormat="1" applyFont="1" applyFill="1" applyBorder="1" applyAlignment="1" applyProtection="1">
      <alignment horizontal="center" vertical="center" shrinkToFit="1"/>
      <protection hidden="1"/>
    </xf>
    <xf numFmtId="1" fontId="125" fillId="6" borderId="109" xfId="13" applyNumberFormat="1" applyFont="1" applyFill="1" applyBorder="1" applyAlignment="1" applyProtection="1">
      <alignment horizontal="center" vertical="center" shrinkToFit="1"/>
      <protection hidden="1"/>
    </xf>
    <xf numFmtId="168" fontId="125" fillId="6" borderId="109" xfId="14" applyNumberFormat="1" applyFont="1" applyFill="1" applyBorder="1" applyAlignment="1" applyProtection="1">
      <alignment horizontal="center" vertical="center" shrinkToFit="1"/>
      <protection hidden="1"/>
    </xf>
    <xf numFmtId="168" fontId="125" fillId="6" borderId="110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104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0" xfId="14" applyNumberFormat="1" applyFont="1" applyFill="1" applyAlignment="1" applyProtection="1">
      <alignment horizontal="center" vertical="center" shrinkToFit="1"/>
      <protection hidden="1"/>
    </xf>
    <xf numFmtId="168" fontId="125" fillId="0" borderId="114" xfId="14" applyNumberFormat="1" applyFont="1" applyFill="1" applyBorder="1" applyAlignment="1" applyProtection="1">
      <alignment horizontal="center" vertical="center" shrinkToFit="1"/>
      <protection hidden="1"/>
    </xf>
    <xf numFmtId="170" fontId="125" fillId="0" borderId="115" xfId="13" applyFont="1" applyFill="1" applyBorder="1" applyAlignment="1" applyProtection="1">
      <alignment horizontal="center" vertical="center" shrinkToFit="1"/>
      <protection hidden="1"/>
    </xf>
    <xf numFmtId="170" fontId="1" fillId="0" borderId="0" xfId="15"/>
    <xf numFmtId="170" fontId="133" fillId="0" borderId="109" xfId="15" applyFont="1" applyBorder="1" applyAlignment="1">
      <alignment horizontal="center" vertical="center"/>
    </xf>
    <xf numFmtId="171" fontId="134" fillId="0" borderId="109" xfId="15" applyNumberFormat="1" applyFont="1" applyBorder="1" applyAlignment="1">
      <alignment horizontal="center" vertical="center"/>
    </xf>
    <xf numFmtId="170" fontId="135" fillId="0" borderId="113" xfId="15" applyFont="1" applyBorder="1" applyAlignment="1">
      <alignment horizontal="center" vertical="center"/>
    </xf>
    <xf numFmtId="14" fontId="133" fillId="0" borderId="36" xfId="15" applyNumberFormat="1" applyFont="1" applyBorder="1" applyAlignment="1">
      <alignment horizontal="center" vertical="center"/>
    </xf>
    <xf numFmtId="170" fontId="133" fillId="0" borderId="35" xfId="15" applyFont="1" applyBorder="1" applyAlignment="1">
      <alignment horizontal="center" vertical="center"/>
    </xf>
    <xf numFmtId="171" fontId="134" fillId="0" borderId="35" xfId="15" applyNumberFormat="1" applyFont="1" applyBorder="1" applyAlignment="1">
      <alignment horizontal="center" vertical="center"/>
    </xf>
    <xf numFmtId="170" fontId="135" fillId="0" borderId="39" xfId="15" applyFont="1" applyBorder="1" applyAlignment="1">
      <alignment horizontal="center" vertical="center"/>
    </xf>
    <xf numFmtId="170" fontId="133" fillId="0" borderId="36" xfId="15" applyFont="1" applyBorder="1" applyAlignment="1">
      <alignment horizontal="center" vertical="center"/>
    </xf>
    <xf numFmtId="14" fontId="133" fillId="0" borderId="116" xfId="15" applyNumberFormat="1" applyFont="1" applyBorder="1" applyAlignment="1">
      <alignment horizontal="center" vertical="center"/>
    </xf>
    <xf numFmtId="170" fontId="133" fillId="0" borderId="117" xfId="15" applyFont="1" applyBorder="1" applyAlignment="1">
      <alignment horizontal="center" vertical="center"/>
    </xf>
    <xf numFmtId="171" fontId="134" fillId="0" borderId="117" xfId="15" applyNumberFormat="1" applyFont="1" applyBorder="1" applyAlignment="1">
      <alignment horizontal="center" vertical="center"/>
    </xf>
    <xf numFmtId="170" fontId="135" fillId="0" borderId="118" xfId="15" applyFont="1" applyBorder="1" applyAlignment="1">
      <alignment horizontal="center" vertical="center"/>
    </xf>
    <xf numFmtId="170" fontId="136" fillId="3" borderId="103" xfId="15" applyFont="1" applyFill="1" applyBorder="1" applyAlignment="1">
      <alignment horizontal="center" vertical="center"/>
    </xf>
    <xf numFmtId="170" fontId="136" fillId="3" borderId="115" xfId="15" applyFont="1" applyFill="1" applyBorder="1" applyAlignment="1">
      <alignment horizontal="center" vertical="center"/>
    </xf>
    <xf numFmtId="170" fontId="136" fillId="3" borderId="119" xfId="15" applyFont="1" applyFill="1" applyBorder="1" applyAlignment="1">
      <alignment horizontal="center" vertical="center"/>
    </xf>
    <xf numFmtId="170" fontId="133" fillId="0" borderId="110" xfId="15" applyFont="1" applyBorder="1" applyAlignment="1">
      <alignment horizontal="center" vertical="center"/>
    </xf>
    <xf numFmtId="43" fontId="50" fillId="8" borderId="35" xfId="7" applyFont="1" applyFill="1" applyBorder="1" applyAlignment="1">
      <alignment horizontal="center" vertical="center"/>
    </xf>
    <xf numFmtId="43" fontId="81" fillId="0" borderId="49" xfId="7" applyFont="1" applyBorder="1" applyAlignment="1">
      <alignment horizontal="center"/>
    </xf>
    <xf numFmtId="43" fontId="81" fillId="0" borderId="0" xfId="7" applyFont="1"/>
    <xf numFmtId="43" fontId="94" fillId="8" borderId="70" xfId="7" applyFont="1" applyFill="1" applyBorder="1" applyAlignment="1">
      <alignment horizontal="center" vertical="center"/>
    </xf>
    <xf numFmtId="43" fontId="96" fillId="0" borderId="73" xfId="7" applyFont="1" applyBorder="1" applyAlignment="1">
      <alignment vertical="center" shrinkToFit="1"/>
    </xf>
    <xf numFmtId="43" fontId="96" fillId="18" borderId="0" xfId="7" applyFont="1" applyFill="1" applyBorder="1" applyAlignment="1">
      <alignment vertical="center" shrinkToFit="1"/>
    </xf>
    <xf numFmtId="43" fontId="96" fillId="0" borderId="0" xfId="7" applyFont="1" applyBorder="1" applyAlignment="1">
      <alignment vertical="center" shrinkToFit="1"/>
    </xf>
    <xf numFmtId="43" fontId="96" fillId="0" borderId="77" xfId="7" applyFont="1" applyBorder="1" applyAlignment="1">
      <alignment vertical="center" shrinkToFit="1"/>
    </xf>
    <xf numFmtId="43" fontId="82" fillId="8" borderId="78" xfId="7" applyFont="1" applyFill="1" applyBorder="1" applyAlignment="1">
      <alignment horizontal="center" vertical="center" shrinkToFit="1"/>
    </xf>
    <xf numFmtId="43" fontId="60" fillId="0" borderId="42" xfId="7" applyFont="1" applyFill="1" applyBorder="1" applyAlignment="1">
      <alignment horizontal="center" vertical="center"/>
    </xf>
    <xf numFmtId="43" fontId="96" fillId="0" borderId="74" xfId="7" applyFont="1" applyBorder="1" applyAlignment="1">
      <alignment horizontal="center" vertical="center" shrinkToFit="1"/>
    </xf>
    <xf numFmtId="43" fontId="96" fillId="18" borderId="70" xfId="7" applyFont="1" applyFill="1" applyBorder="1" applyAlignment="1">
      <alignment horizontal="center" vertical="center" shrinkToFit="1"/>
    </xf>
    <xf numFmtId="43" fontId="96" fillId="0" borderId="70" xfId="7" applyFont="1" applyBorder="1" applyAlignment="1">
      <alignment horizontal="center" vertical="center" shrinkToFit="1"/>
    </xf>
    <xf numFmtId="43" fontId="96" fillId="0" borderId="78" xfId="7" applyFont="1" applyBorder="1" applyAlignment="1">
      <alignment horizontal="center" vertical="center" shrinkToFit="1"/>
    </xf>
    <xf numFmtId="170" fontId="109" fillId="0" borderId="0" xfId="0" applyFont="1" applyAlignment="1">
      <alignment horizontal="center" vertical="center" shrinkToFit="1"/>
    </xf>
    <xf numFmtId="170" fontId="109" fillId="0" borderId="0" xfId="0" applyFont="1" applyAlignment="1">
      <alignment horizontal="center" vertical="center" wrapText="1" shrinkToFit="1"/>
    </xf>
    <xf numFmtId="170" fontId="112" fillId="0" borderId="0" xfId="0" applyFont="1" applyAlignment="1">
      <alignment horizontal="center" vertical="center" shrinkToFit="1"/>
    </xf>
    <xf numFmtId="170" fontId="112" fillId="0" borderId="0" xfId="0" applyFont="1" applyAlignment="1">
      <alignment horizontal="center" vertical="center" wrapText="1" shrinkToFit="1"/>
    </xf>
    <xf numFmtId="3" fontId="53" fillId="0" borderId="39" xfId="9" applyNumberFormat="1" applyFont="1" applyBorder="1" applyAlignment="1">
      <alignment horizontal="center" vertical="center"/>
    </xf>
    <xf numFmtId="3" fontId="0" fillId="0" borderId="41" xfId="9" applyNumberFormat="1" applyFont="1" applyBorder="1" applyAlignment="1">
      <alignment horizontal="center" vertical="center"/>
    </xf>
    <xf numFmtId="49" fontId="138" fillId="0" borderId="35" xfId="9" applyNumberFormat="1" applyFont="1" applyBorder="1" applyAlignment="1">
      <alignment horizontal="center" vertical="center"/>
    </xf>
    <xf numFmtId="43" fontId="139" fillId="8" borderId="35" xfId="7" applyFont="1" applyFill="1" applyBorder="1" applyAlignment="1">
      <alignment horizontal="center" vertical="center"/>
    </xf>
    <xf numFmtId="2" fontId="66" fillId="8" borderId="35" xfId="7" applyNumberFormat="1" applyFont="1" applyFill="1" applyBorder="1" applyAlignment="1">
      <alignment horizontal="center" vertical="center"/>
    </xf>
    <xf numFmtId="166" fontId="60" fillId="8" borderId="38" xfId="9" applyNumberFormat="1" applyFont="1" applyFill="1" applyBorder="1" applyAlignment="1">
      <alignment horizontal="center" vertical="center"/>
    </xf>
    <xf numFmtId="43" fontId="66" fillId="8" borderId="35" xfId="7" applyFont="1" applyFill="1" applyBorder="1" applyAlignment="1">
      <alignment horizontal="center" vertical="center"/>
    </xf>
    <xf numFmtId="43" fontId="66" fillId="0" borderId="35" xfId="7" applyFont="1" applyFill="1" applyBorder="1" applyAlignment="1">
      <alignment horizontal="center" vertical="center"/>
    </xf>
    <xf numFmtId="3" fontId="66" fillId="9" borderId="35" xfId="9" applyNumberFormat="1" applyFont="1" applyFill="1" applyBorder="1" applyAlignment="1">
      <alignment horizontal="right" vertical="center"/>
    </xf>
    <xf numFmtId="170" fontId="140" fillId="0" borderId="0" xfId="4" applyFont="1" applyAlignment="1">
      <alignment vertical="center" readingOrder="2"/>
    </xf>
    <xf numFmtId="170" fontId="141" fillId="0" borderId="0" xfId="4" applyFont="1" applyAlignment="1">
      <alignment horizontal="center" vertical="center" readingOrder="2"/>
    </xf>
    <xf numFmtId="170" fontId="141" fillId="0" borderId="127" xfId="4" applyFont="1" applyBorder="1" applyAlignment="1">
      <alignment horizontal="center" vertical="center" readingOrder="2"/>
    </xf>
    <xf numFmtId="170" fontId="141" fillId="0" borderId="131" xfId="4" applyFont="1" applyBorder="1" applyAlignment="1">
      <alignment horizontal="center" vertical="center" readingOrder="2"/>
    </xf>
    <xf numFmtId="170" fontId="141" fillId="0" borderId="133" xfId="4" applyFont="1" applyBorder="1" applyAlignment="1">
      <alignment horizontal="center" vertical="center" readingOrder="2"/>
    </xf>
    <xf numFmtId="49" fontId="141" fillId="0" borderId="0" xfId="4" applyNumberFormat="1" applyFont="1" applyAlignment="1">
      <alignment horizontal="center" vertical="center" readingOrder="2"/>
    </xf>
    <xf numFmtId="170" fontId="145" fillId="0" borderId="0" xfId="4" applyFont="1" applyAlignment="1">
      <alignment horizontal="center" vertical="center" readingOrder="2"/>
    </xf>
    <xf numFmtId="164" fontId="144" fillId="20" borderId="123" xfId="4" applyNumberFormat="1" applyFont="1" applyFill="1" applyBorder="1" applyAlignment="1">
      <alignment horizontal="center" vertical="center" readingOrder="2"/>
    </xf>
    <xf numFmtId="164" fontId="144" fillId="20" borderId="121" xfId="4" applyNumberFormat="1" applyFont="1" applyFill="1" applyBorder="1" applyAlignment="1">
      <alignment horizontal="center" vertical="center" readingOrder="2"/>
    </xf>
    <xf numFmtId="170" fontId="55" fillId="20" borderId="124" xfId="4" applyFont="1" applyFill="1" applyBorder="1" applyAlignment="1">
      <alignment horizontal="center" vertical="center" readingOrder="2"/>
    </xf>
    <xf numFmtId="170" fontId="55" fillId="20" borderId="125" xfId="4" applyFont="1" applyFill="1" applyBorder="1" applyAlignment="1">
      <alignment horizontal="center" vertical="center" readingOrder="2"/>
    </xf>
    <xf numFmtId="170" fontId="55" fillId="20" borderId="126" xfId="4" applyFont="1" applyFill="1" applyBorder="1" applyAlignment="1">
      <alignment horizontal="center" vertical="center" readingOrder="2"/>
    </xf>
    <xf numFmtId="170" fontId="55" fillId="20" borderId="94" xfId="4" applyFont="1" applyFill="1" applyBorder="1" applyAlignment="1">
      <alignment horizontal="center" vertical="center" readingOrder="2"/>
    </xf>
    <xf numFmtId="164" fontId="144" fillId="0" borderId="128" xfId="4" applyNumberFormat="1" applyFont="1" applyBorder="1" applyAlignment="1">
      <alignment horizontal="center" vertical="center" readingOrder="2"/>
    </xf>
    <xf numFmtId="164" fontId="144" fillId="0" borderId="129" xfId="4" applyNumberFormat="1" applyFont="1" applyBorder="1" applyAlignment="1">
      <alignment horizontal="center" vertical="center" readingOrder="2"/>
    </xf>
    <xf numFmtId="164" fontId="144" fillId="0" borderId="130" xfId="4" applyNumberFormat="1" applyFont="1" applyBorder="1" applyAlignment="1">
      <alignment horizontal="center" vertical="center" readingOrder="2"/>
    </xf>
    <xf numFmtId="164" fontId="144" fillId="0" borderId="35" xfId="4" applyNumberFormat="1" applyFont="1" applyBorder="1" applyAlignment="1">
      <alignment horizontal="center" vertical="center" readingOrder="2"/>
    </xf>
    <xf numFmtId="164" fontId="144" fillId="0" borderId="36" xfId="4" applyNumberFormat="1" applyFont="1" applyBorder="1" applyAlignment="1">
      <alignment horizontal="center" vertical="center" readingOrder="2"/>
    </xf>
    <xf numFmtId="164" fontId="144" fillId="0" borderId="132" xfId="4" applyNumberFormat="1" applyFont="1" applyBorder="1" applyAlignment="1">
      <alignment horizontal="center" vertical="center" readingOrder="2"/>
    </xf>
    <xf numFmtId="164" fontId="144" fillId="3" borderId="132" xfId="4" applyNumberFormat="1" applyFont="1" applyFill="1" applyBorder="1" applyAlignment="1">
      <alignment horizontal="center" vertical="center" readingOrder="2"/>
    </xf>
    <xf numFmtId="164" fontId="144" fillId="0" borderId="62" xfId="4" applyNumberFormat="1" applyFont="1" applyBorder="1" applyAlignment="1">
      <alignment horizontal="center" vertical="center" readingOrder="2"/>
    </xf>
    <xf numFmtId="164" fontId="144" fillId="0" borderId="134" xfId="4" applyNumberFormat="1" applyFont="1" applyBorder="1" applyAlignment="1">
      <alignment horizontal="center" vertical="center" readingOrder="2"/>
    </xf>
    <xf numFmtId="164" fontId="144" fillId="6" borderId="135" xfId="4" applyNumberFormat="1" applyFont="1" applyFill="1" applyBorder="1" applyAlignment="1">
      <alignment horizontal="center" vertical="center" readingOrder="2"/>
    </xf>
    <xf numFmtId="170" fontId="143" fillId="0" borderId="128" xfId="4" applyFont="1" applyBorder="1" applyAlignment="1">
      <alignment horizontal="center" vertical="center" readingOrder="2"/>
    </xf>
    <xf numFmtId="49" fontId="143" fillId="0" borderId="128" xfId="4" applyNumberFormat="1" applyFont="1" applyBorder="1" applyAlignment="1">
      <alignment horizontal="center" vertical="center" readingOrder="2"/>
    </xf>
    <xf numFmtId="170" fontId="143" fillId="0" borderId="35" xfId="4" applyFont="1" applyBorder="1" applyAlignment="1">
      <alignment horizontal="center" vertical="center" readingOrder="2"/>
    </xf>
    <xf numFmtId="49" fontId="143" fillId="0" borderId="35" xfId="4" applyNumberFormat="1" applyFont="1" applyBorder="1" applyAlignment="1">
      <alignment horizontal="center" vertical="center" readingOrder="2"/>
    </xf>
    <xf numFmtId="170" fontId="143" fillId="0" borderId="62" xfId="4" applyFont="1" applyBorder="1" applyAlignment="1">
      <alignment horizontal="center" vertical="center" readingOrder="2"/>
    </xf>
    <xf numFmtId="49" fontId="143" fillId="0" borderId="62" xfId="4" applyNumberFormat="1" applyFont="1" applyBorder="1" applyAlignment="1">
      <alignment horizontal="center" vertical="center" readingOrder="2"/>
    </xf>
    <xf numFmtId="43" fontId="60" fillId="0" borderId="42" xfId="7" applyFont="1" applyBorder="1" applyAlignment="1">
      <alignment horizontal="center" vertical="center"/>
    </xf>
    <xf numFmtId="43" fontId="150" fillId="6" borderId="62" xfId="7" applyFont="1" applyFill="1" applyBorder="1" applyAlignment="1">
      <alignment horizontal="center" vertical="center"/>
    </xf>
    <xf numFmtId="43" fontId="101" fillId="18" borderId="0" xfId="7" applyFont="1" applyFill="1" applyBorder="1" applyAlignment="1">
      <alignment vertical="center"/>
    </xf>
    <xf numFmtId="43" fontId="101" fillId="0" borderId="0" xfId="7" applyFont="1" applyBorder="1" applyAlignment="1">
      <alignment vertical="center"/>
    </xf>
    <xf numFmtId="43" fontId="151" fillId="0" borderId="73" xfId="7" applyFont="1" applyBorder="1" applyAlignment="1">
      <alignment vertical="center"/>
    </xf>
    <xf numFmtId="43" fontId="151" fillId="0" borderId="77" xfId="7" applyFont="1" applyBorder="1" applyAlignment="1">
      <alignment vertical="center"/>
    </xf>
    <xf numFmtId="43" fontId="151" fillId="8" borderId="77" xfId="7" applyFont="1" applyFill="1" applyBorder="1" applyAlignment="1">
      <alignment horizontal="center" vertical="center"/>
    </xf>
    <xf numFmtId="170" fontId="36" fillId="0" borderId="0" xfId="0" applyFont="1" applyAlignment="1">
      <alignment vertical="center" shrinkToFit="1"/>
    </xf>
    <xf numFmtId="170" fontId="36" fillId="0" borderId="0" xfId="0" applyFont="1" applyAlignment="1">
      <alignment vertical="center" wrapText="1" shrinkToFit="1"/>
    </xf>
    <xf numFmtId="170" fontId="37" fillId="0" borderId="0" xfId="0" applyFont="1" applyAlignment="1">
      <alignment horizontal="center" vertical="center" shrinkToFit="1"/>
    </xf>
    <xf numFmtId="170" fontId="140" fillId="0" borderId="0" xfId="17" applyFont="1" applyAlignment="1">
      <alignment vertical="center" readingOrder="2"/>
    </xf>
    <xf numFmtId="170" fontId="141" fillId="0" borderId="0" xfId="17" applyFont="1" applyAlignment="1">
      <alignment horizontal="center" vertical="center" readingOrder="2"/>
    </xf>
    <xf numFmtId="170" fontId="144" fillId="20" borderId="124" xfId="17" applyFont="1" applyFill="1" applyBorder="1" applyAlignment="1">
      <alignment horizontal="center" vertical="center" readingOrder="2"/>
    </xf>
    <xf numFmtId="170" fontId="144" fillId="20" borderId="125" xfId="17" applyFont="1" applyFill="1" applyBorder="1" applyAlignment="1">
      <alignment horizontal="center" vertical="center" readingOrder="2"/>
    </xf>
    <xf numFmtId="170" fontId="144" fillId="20" borderId="126" xfId="17" applyFont="1" applyFill="1" applyBorder="1" applyAlignment="1">
      <alignment horizontal="center" vertical="center" readingOrder="2"/>
    </xf>
    <xf numFmtId="170" fontId="144" fillId="20" borderId="94" xfId="17" applyFont="1" applyFill="1" applyBorder="1" applyAlignment="1">
      <alignment horizontal="center" vertical="center" readingOrder="2"/>
    </xf>
    <xf numFmtId="170" fontId="154" fillId="0" borderId="127" xfId="17" applyFont="1" applyBorder="1" applyAlignment="1">
      <alignment horizontal="center" vertical="center" readingOrder="2"/>
    </xf>
    <xf numFmtId="170" fontId="152" fillId="0" borderId="128" xfId="17" applyFont="1" applyBorder="1" applyAlignment="1">
      <alignment horizontal="center" vertical="center" readingOrder="2"/>
    </xf>
    <xf numFmtId="49" fontId="152" fillId="0" borderId="128" xfId="17" applyNumberFormat="1" applyFont="1" applyBorder="1" applyAlignment="1">
      <alignment horizontal="center" vertical="center" readingOrder="2"/>
    </xf>
    <xf numFmtId="164" fontId="143" fillId="0" borderId="128" xfId="17" applyNumberFormat="1" applyFont="1" applyBorder="1" applyAlignment="1">
      <alignment horizontal="center" vertical="center" readingOrder="2"/>
    </xf>
    <xf numFmtId="164" fontId="143" fillId="0" borderId="129" xfId="17" applyNumberFormat="1" applyFont="1" applyBorder="1" applyAlignment="1">
      <alignment horizontal="center" vertical="center" readingOrder="2"/>
    </xf>
    <xf numFmtId="164" fontId="143" fillId="0" borderId="130" xfId="17" applyNumberFormat="1" applyFont="1" applyBorder="1" applyAlignment="1">
      <alignment horizontal="center" vertical="center" readingOrder="2"/>
    </xf>
    <xf numFmtId="170" fontId="154" fillId="0" borderId="131" xfId="17" applyFont="1" applyBorder="1" applyAlignment="1">
      <alignment horizontal="center" vertical="center" readingOrder="2"/>
    </xf>
    <xf numFmtId="170" fontId="152" fillId="0" borderId="35" xfId="17" applyFont="1" applyBorder="1" applyAlignment="1">
      <alignment horizontal="center" vertical="center" readingOrder="2"/>
    </xf>
    <xf numFmtId="49" fontId="152" fillId="0" borderId="35" xfId="17" applyNumberFormat="1" applyFont="1" applyBorder="1" applyAlignment="1">
      <alignment horizontal="center" vertical="center" readingOrder="2"/>
    </xf>
    <xf numFmtId="164" fontId="143" fillId="0" borderId="35" xfId="17" applyNumberFormat="1" applyFont="1" applyBorder="1" applyAlignment="1">
      <alignment horizontal="center" vertical="center" readingOrder="2"/>
    </xf>
    <xf numFmtId="164" fontId="143" fillId="0" borderId="36" xfId="17" applyNumberFormat="1" applyFont="1" applyBorder="1" applyAlignment="1">
      <alignment horizontal="center" vertical="center" readingOrder="2"/>
    </xf>
    <xf numFmtId="164" fontId="143" fillId="0" borderId="132" xfId="17" applyNumberFormat="1" applyFont="1" applyFill="1" applyBorder="1" applyAlignment="1">
      <alignment horizontal="center" vertical="center" readingOrder="2"/>
    </xf>
    <xf numFmtId="170" fontId="154" fillId="0" borderId="136" xfId="17" applyFont="1" applyBorder="1" applyAlignment="1">
      <alignment horizontal="center" vertical="center" readingOrder="2"/>
    </xf>
    <xf numFmtId="170" fontId="152" fillId="0" borderId="109" xfId="17" applyFont="1" applyBorder="1" applyAlignment="1">
      <alignment horizontal="center" vertical="center" readingOrder="2"/>
    </xf>
    <xf numFmtId="49" fontId="152" fillId="0" borderId="109" xfId="17" applyNumberFormat="1" applyFont="1" applyBorder="1" applyAlignment="1">
      <alignment horizontal="center" vertical="center" readingOrder="2"/>
    </xf>
    <xf numFmtId="164" fontId="143" fillId="0" borderId="109" xfId="17" applyNumberFormat="1" applyFont="1" applyBorder="1" applyAlignment="1">
      <alignment horizontal="center" vertical="center" readingOrder="2"/>
    </xf>
    <xf numFmtId="164" fontId="143" fillId="0" borderId="110" xfId="17" applyNumberFormat="1" applyFont="1" applyBorder="1" applyAlignment="1">
      <alignment horizontal="center" vertical="center" readingOrder="2"/>
    </xf>
    <xf numFmtId="49" fontId="141" fillId="0" borderId="0" xfId="17" applyNumberFormat="1" applyFont="1" applyAlignment="1">
      <alignment horizontal="center" vertical="center" readingOrder="2"/>
    </xf>
    <xf numFmtId="164" fontId="143" fillId="20" borderId="123" xfId="17" applyNumberFormat="1" applyFont="1" applyFill="1" applyBorder="1" applyAlignment="1">
      <alignment horizontal="center" vertical="center" readingOrder="2"/>
    </xf>
    <xf numFmtId="164" fontId="143" fillId="20" borderId="121" xfId="17" applyNumberFormat="1" applyFont="1" applyFill="1" applyBorder="1" applyAlignment="1">
      <alignment horizontal="center" vertical="center" readingOrder="2"/>
    </xf>
    <xf numFmtId="170" fontId="145" fillId="0" borderId="0" xfId="17" applyFont="1" applyAlignment="1">
      <alignment horizontal="center" vertical="center" readingOrder="2"/>
    </xf>
    <xf numFmtId="170" fontId="154" fillId="0" borderId="137" xfId="17" applyFont="1" applyBorder="1" applyAlignment="1">
      <alignment horizontal="center" vertical="center" readingOrder="2"/>
    </xf>
    <xf numFmtId="170" fontId="152" fillId="0" borderId="138" xfId="17" applyFont="1" applyBorder="1" applyAlignment="1">
      <alignment horizontal="center" vertical="center" readingOrder="2"/>
    </xf>
    <xf numFmtId="49" fontId="152" fillId="0" borderId="138" xfId="17" applyNumberFormat="1" applyFont="1" applyBorder="1" applyAlignment="1">
      <alignment horizontal="center" vertical="center" readingOrder="2"/>
    </xf>
    <xf numFmtId="164" fontId="143" fillId="0" borderId="138" xfId="17" applyNumberFormat="1" applyFont="1" applyBorder="1" applyAlignment="1">
      <alignment horizontal="center" vertical="center" readingOrder="2"/>
    </xf>
    <xf numFmtId="164" fontId="143" fillId="0" borderId="139" xfId="17" applyNumberFormat="1" applyFont="1" applyBorder="1" applyAlignment="1">
      <alignment horizontal="center" vertical="center" readingOrder="2"/>
    </xf>
    <xf numFmtId="164" fontId="143" fillId="6" borderId="140" xfId="17" applyNumberFormat="1" applyFont="1" applyFill="1" applyBorder="1" applyAlignment="1">
      <alignment horizontal="center" vertical="center" readingOrder="2"/>
    </xf>
    <xf numFmtId="43" fontId="101" fillId="0" borderId="73" xfId="7" applyFont="1" applyBorder="1" applyAlignment="1">
      <alignment vertical="center"/>
    </xf>
    <xf numFmtId="43" fontId="101" fillId="0" borderId="77" xfId="7" applyFont="1" applyBorder="1" applyAlignment="1">
      <alignment vertical="center"/>
    </xf>
    <xf numFmtId="43" fontId="101" fillId="8" borderId="77" xfId="7" applyFont="1" applyFill="1" applyBorder="1" applyAlignment="1">
      <alignment horizontal="center" vertical="center"/>
    </xf>
    <xf numFmtId="170" fontId="155" fillId="0" borderId="0" xfId="0" applyFont="1" applyAlignment="1">
      <alignment horizontal="center" vertical="center"/>
    </xf>
    <xf numFmtId="4" fontId="42" fillId="0" borderId="0" xfId="7" applyNumberFormat="1" applyFont="1" applyAlignment="1">
      <alignment horizontal="center" vertical="center"/>
    </xf>
    <xf numFmtId="4" fontId="42" fillId="0" borderId="0" xfId="0" applyNumberFormat="1" applyFont="1" applyAlignment="1">
      <alignment horizontal="center" vertical="center"/>
    </xf>
    <xf numFmtId="4" fontId="42" fillId="6" borderId="0" xfId="7" applyNumberFormat="1" applyFont="1" applyFill="1" applyAlignment="1">
      <alignment horizontal="center" vertical="center"/>
    </xf>
    <xf numFmtId="3" fontId="42" fillId="0" borderId="0" xfId="7" applyNumberFormat="1" applyFont="1" applyAlignment="1">
      <alignment horizontal="center" vertical="center"/>
    </xf>
    <xf numFmtId="170" fontId="156" fillId="0" borderId="0" xfId="0" applyFont="1" applyAlignment="1">
      <alignment horizontal="center" vertical="center" shrinkToFit="1"/>
    </xf>
    <xf numFmtId="4" fontId="156" fillId="6" borderId="25" xfId="0" applyNumberFormat="1" applyFont="1" applyFill="1" applyBorder="1" applyAlignment="1">
      <alignment horizontal="center" vertical="center"/>
    </xf>
    <xf numFmtId="170" fontId="16" fillId="0" borderId="0" xfId="0" applyFont="1" applyAlignment="1">
      <alignment horizontal="center" vertical="center"/>
    </xf>
    <xf numFmtId="170" fontId="146" fillId="0" borderId="0" xfId="0" applyFont="1" applyAlignment="1">
      <alignment horizontal="center" vertical="center" shrinkToFit="1"/>
    </xf>
    <xf numFmtId="170" fontId="157" fillId="0" borderId="0" xfId="0" applyFont="1" applyAlignment="1">
      <alignment horizontal="center" vertical="center" shrinkToFit="1"/>
    </xf>
    <xf numFmtId="4" fontId="16" fillId="0" borderId="0" xfId="7" applyNumberFormat="1" applyFont="1" applyAlignment="1">
      <alignment horizontal="center" vertical="center"/>
    </xf>
    <xf numFmtId="3" fontId="16" fillId="0" borderId="0" xfId="7" applyNumberFormat="1" applyFont="1" applyAlignment="1">
      <alignment horizontal="center" vertical="center"/>
    </xf>
    <xf numFmtId="170" fontId="16" fillId="0" borderId="0" xfId="0" applyFont="1" applyAlignment="1">
      <alignment horizontal="center"/>
    </xf>
    <xf numFmtId="170" fontId="159" fillId="0" borderId="0" xfId="0" applyFont="1" applyAlignment="1">
      <alignment horizontal="center" vertical="center" shrinkToFit="1"/>
    </xf>
    <xf numFmtId="170" fontId="160" fillId="0" borderId="0" xfId="0" applyFont="1" applyAlignment="1">
      <alignment horizontal="center" vertical="center" shrinkToFit="1"/>
    </xf>
    <xf numFmtId="170" fontId="21" fillId="0" borderId="0" xfId="0" applyFont="1" applyAlignment="1">
      <alignment horizontal="center" vertical="center" shrinkToFit="1"/>
    </xf>
    <xf numFmtId="170" fontId="21" fillId="0" borderId="24" xfId="0" applyFont="1" applyBorder="1" applyAlignment="1">
      <alignment horizontal="center" vertical="center" shrinkToFit="1"/>
    </xf>
    <xf numFmtId="170" fontId="158" fillId="0" borderId="0" xfId="0" applyFont="1" applyAlignment="1">
      <alignment horizontal="center" vertical="center" shrinkToFit="1"/>
    </xf>
    <xf numFmtId="1" fontId="41" fillId="0" borderId="0" xfId="0" applyNumberFormat="1" applyFont="1" applyAlignment="1">
      <alignment horizontal="center" vertical="center"/>
    </xf>
    <xf numFmtId="170" fontId="162" fillId="0" borderId="0" xfId="0" applyFont="1"/>
    <xf numFmtId="1" fontId="163" fillId="0" borderId="0" xfId="0" applyNumberFormat="1" applyFont="1" applyAlignment="1">
      <alignment horizontal="center" vertical="center"/>
    </xf>
    <xf numFmtId="1" fontId="155" fillId="0" borderId="0" xfId="0" applyNumberFormat="1" applyFont="1" applyAlignment="1">
      <alignment horizontal="center" vertical="center"/>
    </xf>
    <xf numFmtId="1" fontId="42" fillId="0" borderId="0" xfId="0" applyNumberFormat="1" applyFont="1" applyAlignment="1">
      <alignment horizontal="center" vertical="center"/>
    </xf>
    <xf numFmtId="170" fontId="40" fillId="0" borderId="0" xfId="0" applyFont="1" applyAlignment="1">
      <alignment horizontal="center" vertical="center"/>
    </xf>
    <xf numFmtId="49" fontId="156" fillId="0" borderId="0" xfId="0" applyNumberFormat="1" applyFont="1" applyAlignment="1">
      <alignment horizontal="center" vertical="center" shrinkToFit="1"/>
    </xf>
    <xf numFmtId="170" fontId="164" fillId="0" borderId="0" xfId="12" applyNumberFormat="1" applyFont="1" applyAlignment="1">
      <alignment horizontal="center" vertical="center"/>
    </xf>
    <xf numFmtId="170" fontId="164" fillId="0" borderId="0" xfId="12" applyFont="1" applyAlignment="1">
      <alignment horizontal="center" vertical="center"/>
    </xf>
    <xf numFmtId="49" fontId="165" fillId="0" borderId="0" xfId="12" applyNumberFormat="1" applyFont="1" applyAlignment="1">
      <alignment horizontal="center" vertical="center"/>
    </xf>
    <xf numFmtId="4" fontId="166" fillId="0" borderId="0" xfId="12" applyNumberFormat="1" applyFont="1" applyAlignment="1">
      <alignment horizontal="center" vertical="center"/>
    </xf>
    <xf numFmtId="4" fontId="167" fillId="0" borderId="0" xfId="12" applyNumberFormat="1" applyFont="1" applyAlignment="1">
      <alignment horizontal="center" vertical="center"/>
    </xf>
    <xf numFmtId="4" fontId="168" fillId="0" borderId="0" xfId="12" applyNumberFormat="1" applyFont="1" applyAlignment="1">
      <alignment horizontal="center" vertical="center"/>
    </xf>
    <xf numFmtId="4" fontId="4" fillId="0" borderId="0" xfId="8" applyNumberFormat="1" applyFont="1" applyAlignment="1">
      <alignment horizontal="center" vertical="center" wrapText="1"/>
    </xf>
    <xf numFmtId="4" fontId="4" fillId="0" borderId="0" xfId="8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0" fillId="0" borderId="0" xfId="12" applyNumberFormat="1" applyFont="1" applyFill="1" applyAlignment="1">
      <alignment horizontal="center" vertical="center"/>
    </xf>
    <xf numFmtId="4" fontId="111" fillId="6" borderId="0" xfId="12" applyNumberFormat="1" applyFont="1" applyFill="1" applyAlignment="1">
      <alignment horizontal="center" vertical="center"/>
    </xf>
    <xf numFmtId="170" fontId="155" fillId="6" borderId="0" xfId="0" applyFont="1" applyFill="1" applyAlignment="1">
      <alignment horizontal="center" vertical="center"/>
    </xf>
    <xf numFmtId="4" fontId="0" fillId="0" borderId="0" xfId="0" applyNumberFormat="1"/>
    <xf numFmtId="43" fontId="16" fillId="0" borderId="0" xfId="7" applyFont="1" applyAlignment="1">
      <alignment horizontal="center" vertical="center" wrapText="1" shrinkToFit="1"/>
    </xf>
    <xf numFmtId="43" fontId="156" fillId="0" borderId="0" xfId="7" applyFont="1" applyAlignment="1">
      <alignment horizontal="center" vertical="center" shrinkToFit="1"/>
    </xf>
    <xf numFmtId="43" fontId="156" fillId="0" borderId="24" xfId="7" applyFont="1" applyBorder="1" applyAlignment="1">
      <alignment horizontal="center" vertical="center" shrinkToFit="1"/>
    </xf>
    <xf numFmtId="43" fontId="170" fillId="0" borderId="0" xfId="7" applyFont="1" applyAlignment="1">
      <alignment vertical="center"/>
    </xf>
    <xf numFmtId="43" fontId="170" fillId="0" borderId="0" xfId="7" applyFont="1" applyAlignment="1">
      <alignment vertical="center" wrapText="1" shrinkToFit="1"/>
    </xf>
    <xf numFmtId="43" fontId="89" fillId="0" borderId="0" xfId="7" applyFont="1" applyAlignment="1">
      <alignment horizontal="center" vertical="center" shrinkToFit="1"/>
    </xf>
    <xf numFmtId="43" fontId="89" fillId="0" borderId="0" xfId="7" applyFont="1" applyAlignment="1">
      <alignment horizontal="center"/>
    </xf>
    <xf numFmtId="43" fontId="89" fillId="0" borderId="0" xfId="7" applyFont="1" applyAlignment="1">
      <alignment horizontal="center" vertical="center"/>
    </xf>
    <xf numFmtId="43" fontId="170" fillId="0" borderId="0" xfId="7" applyFont="1"/>
    <xf numFmtId="43" fontId="4" fillId="6" borderId="0" xfId="7" applyFont="1" applyFill="1" applyAlignment="1">
      <alignment horizontal="center" vertical="center"/>
    </xf>
    <xf numFmtId="43" fontId="0" fillId="0" borderId="0" xfId="7" applyFont="1"/>
    <xf numFmtId="1" fontId="155" fillId="0" borderId="0" xfId="0" applyNumberFormat="1" applyFont="1" applyAlignment="1">
      <alignment horizontal="center" vertical="center" shrinkToFit="1"/>
    </xf>
    <xf numFmtId="43" fontId="157" fillId="0" borderId="0" xfId="7" applyFont="1" applyAlignment="1">
      <alignment horizontal="center" vertical="center" wrapText="1"/>
    </xf>
    <xf numFmtId="43" fontId="146" fillId="0" borderId="0" xfId="7" applyFont="1" applyAlignment="1">
      <alignment horizontal="center" vertical="center" shrinkToFit="1"/>
    </xf>
    <xf numFmtId="43" fontId="111" fillId="0" borderId="0" xfId="7" applyFont="1" applyAlignment="1">
      <alignment horizontal="center" vertical="center" shrinkToFit="1"/>
    </xf>
    <xf numFmtId="43" fontId="37" fillId="0" borderId="0" xfId="7" applyFont="1" applyAlignment="1">
      <alignment horizontal="center" vertical="center" shrinkToFit="1"/>
    </xf>
    <xf numFmtId="43" fontId="37" fillId="0" borderId="24" xfId="7" applyFont="1" applyBorder="1" applyAlignment="1">
      <alignment horizontal="center" vertical="center" shrinkToFit="1"/>
    </xf>
    <xf numFmtId="43" fontId="158" fillId="0" borderId="0" xfId="7" applyFont="1" applyAlignment="1">
      <alignment horizontal="center" vertical="center" shrinkToFit="1"/>
    </xf>
    <xf numFmtId="43" fontId="39" fillId="0" borderId="0" xfId="7" applyFont="1" applyAlignment="1">
      <alignment horizontal="center" vertical="center" wrapText="1" shrinkToFit="1"/>
    </xf>
    <xf numFmtId="43" fontId="39" fillId="0" borderId="24" xfId="7" applyFont="1" applyBorder="1" applyAlignment="1">
      <alignment horizontal="center" vertical="center" wrapText="1" shrinkToFit="1"/>
    </xf>
    <xf numFmtId="1" fontId="17" fillId="0" borderId="0" xfId="12" applyNumberFormat="1" applyFont="1" applyAlignment="1">
      <alignment horizontal="center" vertical="center"/>
    </xf>
    <xf numFmtId="1" fontId="169" fillId="0" borderId="0" xfId="12" applyNumberFormat="1" applyFont="1" applyAlignment="1">
      <alignment horizontal="center" vertical="center"/>
    </xf>
    <xf numFmtId="1" fontId="42" fillId="0" borderId="0" xfId="12" applyNumberFormat="1" applyFont="1" applyAlignment="1">
      <alignment horizontal="center" vertical="center"/>
    </xf>
    <xf numFmtId="1" fontId="42" fillId="0" borderId="0" xfId="12" applyNumberFormat="1" applyFont="1" applyAlignment="1">
      <alignment horizontal="center" vertical="center" wrapText="1"/>
    </xf>
    <xf numFmtId="1" fontId="164" fillId="0" borderId="0" xfId="12" applyNumberFormat="1" applyFont="1" applyAlignment="1">
      <alignment horizontal="center" vertical="center"/>
    </xf>
    <xf numFmtId="1" fontId="164" fillId="0" borderId="0" xfId="12" applyNumberFormat="1" applyFont="1" applyAlignment="1">
      <alignment horizontal="center" vertical="center" wrapText="1"/>
    </xf>
    <xf numFmtId="170" fontId="24" fillId="3" borderId="6" xfId="0" applyFont="1" applyFill="1" applyBorder="1" applyAlignment="1" applyProtection="1">
      <alignment horizontal="center" vertical="center" shrinkToFit="1"/>
      <protection hidden="1"/>
    </xf>
    <xf numFmtId="170" fontId="11" fillId="0" borderId="0" xfId="0" applyFont="1" applyBorder="1" applyAlignment="1" applyProtection="1">
      <alignment horizontal="center"/>
      <protection hidden="1"/>
    </xf>
    <xf numFmtId="1" fontId="37" fillId="0" borderId="0" xfId="0" applyNumberFormat="1" applyFont="1" applyAlignment="1">
      <alignment horizontal="center" vertical="center" wrapText="1" shrinkToFit="1"/>
    </xf>
    <xf numFmtId="1" fontId="39" fillId="0" borderId="0" xfId="0" applyNumberFormat="1" applyFont="1" applyAlignment="1">
      <alignment horizontal="center" vertical="center" wrapText="1" shrinkToFit="1"/>
    </xf>
    <xf numFmtId="1" fontId="39" fillId="0" borderId="24" xfId="0" applyNumberFormat="1" applyFont="1" applyBorder="1" applyAlignment="1">
      <alignment horizontal="center" vertical="center" wrapText="1" shrinkToFit="1"/>
    </xf>
    <xf numFmtId="170" fontId="42" fillId="0" borderId="0" xfId="12" applyFont="1" applyAlignment="1">
      <alignment horizontal="center" vertical="center" shrinkToFit="1"/>
    </xf>
    <xf numFmtId="170" fontId="164" fillId="0" borderId="0" xfId="12" applyFont="1" applyAlignment="1">
      <alignment horizontal="center" vertical="center" shrinkToFit="1"/>
    </xf>
    <xf numFmtId="2" fontId="0" fillId="0" borderId="0" xfId="0" applyNumberFormat="1"/>
    <xf numFmtId="1" fontId="7" fillId="4" borderId="10" xfId="0" applyNumberFormat="1" applyFont="1" applyFill="1" applyBorder="1" applyAlignment="1" applyProtection="1">
      <alignment horizontal="center" vertical="center" wrapText="1"/>
      <protection hidden="1"/>
    </xf>
    <xf numFmtId="1" fontId="15" fillId="4" borderId="15" xfId="0" applyNumberFormat="1" applyFont="1" applyFill="1" applyBorder="1" applyAlignment="1" applyProtection="1">
      <alignment horizontal="center" vertical="center"/>
      <protection hidden="1"/>
    </xf>
    <xf numFmtId="1" fontId="15" fillId="4" borderId="12" xfId="0" applyNumberFormat="1" applyFont="1" applyFill="1" applyBorder="1" applyAlignment="1" applyProtection="1">
      <alignment horizontal="center" vertical="center"/>
      <protection hidden="1"/>
    </xf>
    <xf numFmtId="1" fontId="0" fillId="0" borderId="0" xfId="0" applyNumberFormat="1"/>
    <xf numFmtId="173" fontId="10" fillId="0" borderId="17" xfId="0" applyNumberFormat="1" applyFont="1" applyBorder="1" applyAlignment="1" applyProtection="1">
      <alignment horizontal="center" vertical="center"/>
      <protection hidden="1"/>
    </xf>
    <xf numFmtId="173" fontId="10" fillId="0" borderId="18" xfId="0" applyNumberFormat="1" applyFont="1" applyBorder="1" applyAlignment="1" applyProtection="1">
      <alignment horizontal="right" vertical="center" shrinkToFit="1"/>
      <protection hidden="1"/>
    </xf>
    <xf numFmtId="170" fontId="21" fillId="4" borderId="143" xfId="0" applyFont="1" applyFill="1" applyBorder="1" applyAlignment="1" applyProtection="1">
      <alignment horizontal="center" vertical="center" shrinkToFit="1"/>
      <protection hidden="1"/>
    </xf>
    <xf numFmtId="4" fontId="22" fillId="2" borderId="141" xfId="0" applyNumberFormat="1" applyFont="1" applyFill="1" applyBorder="1" applyAlignment="1" applyProtection="1">
      <alignment horizontal="center" vertical="center"/>
      <protection hidden="1"/>
    </xf>
    <xf numFmtId="4" fontId="0" fillId="2" borderId="141" xfId="0" applyNumberFormat="1" applyFont="1" applyFill="1" applyBorder="1" applyAlignment="1" applyProtection="1">
      <alignment horizontal="center" vertical="center"/>
      <protection hidden="1"/>
    </xf>
    <xf numFmtId="170" fontId="10" fillId="0" borderId="0" xfId="0" applyNumberFormat="1" applyFont="1" applyFill="1" applyBorder="1" applyAlignment="1" applyProtection="1">
      <alignment horizontal="center" vertical="center"/>
      <protection hidden="1"/>
    </xf>
    <xf numFmtId="3" fontId="10" fillId="0" borderId="0" xfId="0" applyNumberFormat="1" applyFont="1" applyFill="1" applyBorder="1" applyAlignment="1" applyProtection="1">
      <alignment horizontal="center" vertical="center"/>
      <protection hidden="1"/>
    </xf>
    <xf numFmtId="49" fontId="15" fillId="0" borderId="0" xfId="0" applyNumberFormat="1" applyFont="1" applyFill="1" applyBorder="1" applyAlignment="1" applyProtection="1">
      <alignment horizontal="center" vertical="center"/>
      <protection hidden="1"/>
    </xf>
    <xf numFmtId="170" fontId="10" fillId="0" borderId="0" xfId="0" applyNumberFormat="1" applyFont="1" applyFill="1" applyBorder="1" applyAlignment="1" applyProtection="1">
      <alignment horizontal="right" vertical="center" shrinkToFit="1"/>
      <protection hidden="1"/>
    </xf>
    <xf numFmtId="1" fontId="15" fillId="0" borderId="0" xfId="0" applyNumberFormat="1" applyFont="1" applyFill="1" applyBorder="1" applyAlignment="1" applyProtection="1">
      <alignment horizontal="center" vertical="center"/>
      <protection hidden="1"/>
    </xf>
    <xf numFmtId="4" fontId="5" fillId="0" borderId="0" xfId="0" applyNumberFormat="1" applyFont="1" applyFill="1" applyBorder="1" applyAlignment="1" applyProtection="1">
      <alignment horizontal="center" vertical="center"/>
      <protection hidden="1"/>
    </xf>
    <xf numFmtId="4" fontId="20" fillId="0" borderId="0" xfId="0" applyNumberFormat="1" applyFont="1" applyFill="1" applyBorder="1" applyAlignment="1" applyProtection="1">
      <alignment horizontal="center" vertical="center"/>
      <protection hidden="1"/>
    </xf>
    <xf numFmtId="4" fontId="5" fillId="0" borderId="1" xfId="0" applyNumberFormat="1" applyFont="1" applyFill="1" applyBorder="1" applyAlignment="1" applyProtection="1">
      <alignment horizontal="center" vertical="center"/>
      <protection hidden="1"/>
    </xf>
    <xf numFmtId="4" fontId="27" fillId="0" borderId="1" xfId="0" applyNumberFormat="1" applyFont="1" applyFill="1" applyBorder="1" applyAlignment="1" applyProtection="1">
      <alignment horizontal="center" vertical="center"/>
      <protection hidden="1"/>
    </xf>
    <xf numFmtId="49" fontId="15" fillId="4" borderId="9" xfId="0" applyNumberFormat="1" applyFont="1" applyFill="1" applyBorder="1" applyAlignment="1" applyProtection="1">
      <alignment horizontal="center" vertical="center"/>
      <protection hidden="1"/>
    </xf>
    <xf numFmtId="43" fontId="156" fillId="6" borderId="0" xfId="7" applyFont="1" applyFill="1" applyAlignment="1">
      <alignment horizontal="center" vertical="center" shrinkToFit="1"/>
    </xf>
    <xf numFmtId="3" fontId="175" fillId="21" borderId="0" xfId="0" applyNumberFormat="1" applyFont="1" applyFill="1"/>
    <xf numFmtId="4" fontId="175" fillId="21" borderId="0" xfId="0" applyNumberFormat="1" applyFont="1" applyFill="1"/>
    <xf numFmtId="49" fontId="41" fillId="0" borderId="0" xfId="0" applyNumberFormat="1" applyFont="1" applyAlignment="1">
      <alignment horizontal="center" vertical="center"/>
    </xf>
    <xf numFmtId="170" fontId="41" fillId="0" borderId="0" xfId="0" applyFont="1" applyAlignment="1">
      <alignment horizontal="center" vertical="center"/>
    </xf>
    <xf numFmtId="170" fontId="41" fillId="4" borderId="0" xfId="0" applyFont="1" applyFill="1" applyAlignment="1">
      <alignment horizontal="center" vertical="center"/>
    </xf>
    <xf numFmtId="49" fontId="41" fillId="4" borderId="0" xfId="0" applyNumberFormat="1" applyFont="1" applyFill="1" applyAlignment="1">
      <alignment horizontal="center" vertical="center"/>
    </xf>
    <xf numFmtId="170" fontId="17" fillId="0" borderId="0" xfId="0" applyFont="1" applyAlignment="1">
      <alignment horizontal="center" wrapText="1"/>
    </xf>
    <xf numFmtId="170" fontId="144" fillId="20" borderId="123" xfId="17" applyFont="1" applyFill="1" applyBorder="1" applyAlignment="1">
      <alignment horizontal="center" vertical="center" readingOrder="2"/>
    </xf>
    <xf numFmtId="174" fontId="42" fillId="0" borderId="0" xfId="7" applyNumberFormat="1" applyFont="1" applyAlignment="1">
      <alignment horizontal="center" wrapText="1"/>
    </xf>
    <xf numFmtId="43" fontId="155" fillId="0" borderId="144" xfId="7" applyFont="1" applyBorder="1" applyAlignment="1">
      <alignment horizontal="center"/>
    </xf>
    <xf numFmtId="0" fontId="141" fillId="0" borderId="0" xfId="17" applyNumberFormat="1" applyFont="1" applyAlignment="1">
      <alignment horizontal="center" vertical="center" readingOrder="2"/>
    </xf>
    <xf numFmtId="0" fontId="145" fillId="0" borderId="0" xfId="17" applyNumberFormat="1" applyFont="1" applyAlignment="1">
      <alignment horizontal="center" vertical="center" readingOrder="2"/>
    </xf>
    <xf numFmtId="0" fontId="140" fillId="0" borderId="0" xfId="17" applyNumberFormat="1" applyFont="1" applyAlignment="1">
      <alignment vertical="center" readingOrder="2"/>
    </xf>
    <xf numFmtId="170" fontId="144" fillId="20" borderId="103" xfId="17" applyNumberFormat="1" applyFont="1" applyFill="1" applyBorder="1" applyAlignment="1">
      <alignment horizontal="center" vertical="center" readingOrder="2"/>
    </xf>
    <xf numFmtId="170" fontId="161" fillId="0" borderId="0" xfId="12" applyFont="1" applyAlignment="1">
      <alignment horizontal="center" vertical="center"/>
    </xf>
    <xf numFmtId="170" fontId="144" fillId="20" borderId="122" xfId="17" applyFont="1" applyFill="1" applyBorder="1" applyAlignment="1">
      <alignment horizontal="center" vertical="center" readingOrder="2"/>
    </xf>
    <xf numFmtId="170" fontId="144" fillId="20" borderId="123" xfId="17" applyFont="1" applyFill="1" applyBorder="1" applyAlignment="1">
      <alignment horizontal="center" vertical="center" readingOrder="2"/>
    </xf>
    <xf numFmtId="170" fontId="55" fillId="0" borderId="0" xfId="17" applyFont="1" applyAlignment="1">
      <alignment horizontal="center" vertical="center" wrapText="1" readingOrder="2"/>
    </xf>
    <xf numFmtId="170" fontId="55" fillId="0" borderId="0" xfId="17" applyFont="1" applyAlignment="1">
      <alignment horizontal="center" vertical="center" readingOrder="2"/>
    </xf>
    <xf numFmtId="170" fontId="143" fillId="0" borderId="0" xfId="17" applyFont="1" applyAlignment="1">
      <alignment horizontal="center" vertical="center" wrapText="1" readingOrder="2"/>
    </xf>
    <xf numFmtId="170" fontId="143" fillId="0" borderId="0" xfId="17" applyFont="1" applyAlignment="1">
      <alignment horizontal="center" vertical="center" readingOrder="2"/>
    </xf>
    <xf numFmtId="170" fontId="143" fillId="0" borderId="120" xfId="17" applyFont="1" applyBorder="1" applyAlignment="1">
      <alignment horizontal="center" vertical="center" readingOrder="2"/>
    </xf>
    <xf numFmtId="170" fontId="4" fillId="0" borderId="0" xfId="0" applyFont="1" applyBorder="1" applyAlignment="1" applyProtection="1">
      <alignment horizontal="center" vertical="center" wrapText="1"/>
      <protection hidden="1"/>
    </xf>
    <xf numFmtId="170" fontId="21" fillId="4" borderId="142" xfId="0" applyFont="1" applyFill="1" applyBorder="1" applyAlignment="1" applyProtection="1">
      <alignment horizontal="center" vertical="center" shrinkToFit="1"/>
      <protection hidden="1"/>
    </xf>
    <xf numFmtId="170" fontId="21" fillId="4" borderId="6" xfId="0" applyFont="1" applyFill="1" applyBorder="1" applyAlignment="1" applyProtection="1">
      <alignment horizontal="center" vertical="center" shrinkToFit="1"/>
      <protection hidden="1"/>
    </xf>
    <xf numFmtId="170" fontId="21" fillId="4" borderId="143" xfId="0" applyFont="1" applyFill="1" applyBorder="1" applyAlignment="1" applyProtection="1">
      <alignment horizontal="center" vertical="center" shrinkToFit="1"/>
      <protection hidden="1"/>
    </xf>
    <xf numFmtId="170" fontId="24" fillId="3" borderId="6" xfId="0" applyFont="1" applyFill="1" applyBorder="1" applyAlignment="1" applyProtection="1">
      <alignment horizontal="center" vertical="center" shrinkToFit="1"/>
      <protection hidden="1"/>
    </xf>
    <xf numFmtId="170" fontId="11" fillId="0" borderId="0" xfId="0" applyFont="1" applyBorder="1" applyAlignment="1" applyProtection="1">
      <alignment horizontal="center"/>
      <protection hidden="1"/>
    </xf>
    <xf numFmtId="3" fontId="11" fillId="0" borderId="0" xfId="0" applyNumberFormat="1" applyFont="1" applyBorder="1" applyAlignment="1" applyProtection="1">
      <alignment horizontal="center" vertical="center"/>
      <protection hidden="1"/>
    </xf>
    <xf numFmtId="170" fontId="152" fillId="0" borderId="138" xfId="17" applyFont="1" applyBorder="1" applyAlignment="1">
      <alignment horizontal="center" vertical="center" readingOrder="2"/>
    </xf>
    <xf numFmtId="170" fontId="152" fillId="0" borderId="35" xfId="17" applyFont="1" applyBorder="1" applyAlignment="1">
      <alignment horizontal="center" vertical="center" readingOrder="2"/>
    </xf>
    <xf numFmtId="170" fontId="144" fillId="20" borderId="125" xfId="17" applyFont="1" applyFill="1" applyBorder="1" applyAlignment="1">
      <alignment horizontal="center" vertical="center" readingOrder="2"/>
    </xf>
    <xf numFmtId="170" fontId="152" fillId="0" borderId="128" xfId="17" applyFont="1" applyBorder="1" applyAlignment="1">
      <alignment horizontal="center" vertical="center" readingOrder="2"/>
    </xf>
    <xf numFmtId="170" fontId="55" fillId="20" borderId="122" xfId="4" applyFont="1" applyFill="1" applyBorder="1" applyAlignment="1">
      <alignment horizontal="center" vertical="center" readingOrder="2"/>
    </xf>
    <xf numFmtId="170" fontId="55" fillId="20" borderId="123" xfId="4" applyFont="1" applyFill="1" applyBorder="1" applyAlignment="1">
      <alignment horizontal="center" vertical="center" readingOrder="2"/>
    </xf>
    <xf numFmtId="170" fontId="148" fillId="0" borderId="0" xfId="4" applyFont="1" applyAlignment="1">
      <alignment horizontal="center" vertical="center" wrapText="1" readingOrder="2"/>
    </xf>
    <xf numFmtId="170" fontId="148" fillId="0" borderId="0" xfId="4" applyFont="1" applyAlignment="1">
      <alignment horizontal="center" vertical="center" readingOrder="2"/>
    </xf>
    <xf numFmtId="170" fontId="143" fillId="0" borderId="35" xfId="4" applyFont="1" applyBorder="1" applyAlignment="1">
      <alignment horizontal="center" vertical="center" readingOrder="2"/>
    </xf>
    <xf numFmtId="170" fontId="143" fillId="0" borderId="62" xfId="4" applyFont="1" applyBorder="1" applyAlignment="1">
      <alignment horizontal="center" vertical="center" readingOrder="2"/>
    </xf>
    <xf numFmtId="170" fontId="143" fillId="0" borderId="0" xfId="4" applyFont="1" applyAlignment="1">
      <alignment horizontal="center" vertical="center" wrapText="1" readingOrder="2"/>
    </xf>
    <xf numFmtId="170" fontId="143" fillId="0" borderId="0" xfId="4" applyFont="1" applyAlignment="1">
      <alignment horizontal="center" vertical="center" readingOrder="2"/>
    </xf>
    <xf numFmtId="170" fontId="143" fillId="0" borderId="120" xfId="4" applyFont="1" applyBorder="1" applyAlignment="1">
      <alignment horizontal="center" vertical="center" readingOrder="2"/>
    </xf>
    <xf numFmtId="170" fontId="55" fillId="20" borderId="125" xfId="4" applyFont="1" applyFill="1" applyBorder="1" applyAlignment="1">
      <alignment horizontal="center" vertical="center" readingOrder="2"/>
    </xf>
    <xf numFmtId="170" fontId="143" fillId="0" borderId="128" xfId="4" applyFont="1" applyBorder="1" applyAlignment="1">
      <alignment horizontal="center" vertical="center" readingOrder="2"/>
    </xf>
    <xf numFmtId="170" fontId="137" fillId="0" borderId="0" xfId="15" applyFont="1" applyAlignment="1">
      <alignment horizontal="center" vertical="center"/>
    </xf>
    <xf numFmtId="170" fontId="117" fillId="0" borderId="0" xfId="13" applyFont="1" applyAlignment="1" applyProtection="1">
      <alignment horizontal="center" vertical="center"/>
      <protection hidden="1"/>
    </xf>
    <xf numFmtId="170" fontId="117" fillId="7" borderId="100" xfId="13" applyFont="1" applyFill="1" applyBorder="1" applyAlignment="1" applyProtection="1">
      <alignment horizontal="center" vertical="center"/>
      <protection hidden="1"/>
    </xf>
    <xf numFmtId="170" fontId="117" fillId="7" borderId="101" xfId="13" applyFont="1" applyFill="1" applyBorder="1" applyAlignment="1" applyProtection="1">
      <alignment horizontal="center" vertical="center"/>
      <protection hidden="1"/>
    </xf>
    <xf numFmtId="170" fontId="117" fillId="7" borderId="102" xfId="13" applyFont="1" applyFill="1" applyBorder="1" applyAlignment="1" applyProtection="1">
      <alignment horizontal="center" vertical="center"/>
      <protection hidden="1"/>
    </xf>
    <xf numFmtId="170" fontId="118" fillId="0" borderId="0" xfId="13" applyFont="1" applyAlignment="1" applyProtection="1">
      <alignment horizontal="center" vertical="center"/>
      <protection hidden="1"/>
    </xf>
    <xf numFmtId="49" fontId="45" fillId="0" borderId="31" xfId="9" applyNumberFormat="1" applyFont="1" applyBorder="1" applyAlignment="1">
      <alignment horizontal="center" vertical="center"/>
    </xf>
    <xf numFmtId="49" fontId="45" fillId="0" borderId="27" xfId="9" applyNumberFormat="1" applyFont="1" applyBorder="1" applyAlignment="1">
      <alignment horizontal="center" vertical="center"/>
    </xf>
    <xf numFmtId="49" fontId="45" fillId="0" borderId="28" xfId="9" applyNumberFormat="1" applyFont="1" applyBorder="1" applyAlignment="1">
      <alignment horizontal="center" vertical="center"/>
    </xf>
    <xf numFmtId="49" fontId="44" fillId="3" borderId="26" xfId="9" applyNumberFormat="1" applyFont="1" applyFill="1" applyBorder="1" applyAlignment="1">
      <alignment horizontal="center" vertical="center"/>
    </xf>
    <xf numFmtId="49" fontId="44" fillId="3" borderId="27" xfId="9" applyNumberFormat="1" applyFont="1" applyFill="1" applyBorder="1" applyAlignment="1">
      <alignment horizontal="center" vertical="center"/>
    </xf>
    <xf numFmtId="49" fontId="44" fillId="0" borderId="27" xfId="9" applyNumberFormat="1" applyFont="1" applyFill="1" applyBorder="1" applyAlignment="1">
      <alignment horizontal="center" vertical="center"/>
    </xf>
    <xf numFmtId="49" fontId="44" fillId="0" borderId="28" xfId="9" applyNumberFormat="1" applyFont="1" applyFill="1" applyBorder="1" applyAlignment="1">
      <alignment horizontal="center" vertical="center"/>
    </xf>
    <xf numFmtId="49" fontId="45" fillId="8" borderId="29" xfId="9" applyNumberFormat="1" applyFont="1" applyFill="1" applyBorder="1" applyAlignment="1">
      <alignment horizontal="center" vertical="center"/>
    </xf>
    <xf numFmtId="49" fontId="45" fillId="8" borderId="27" xfId="9" applyNumberFormat="1" applyFont="1" applyFill="1" applyBorder="1" applyAlignment="1">
      <alignment horizontal="center" vertical="center"/>
    </xf>
    <xf numFmtId="49" fontId="45" fillId="8" borderId="30" xfId="9" applyNumberFormat="1" applyFont="1" applyFill="1" applyBorder="1" applyAlignment="1">
      <alignment horizontal="center" vertical="center"/>
    </xf>
    <xf numFmtId="170" fontId="30" fillId="0" borderId="32" xfId="9" applyFont="1" applyBorder="1" applyAlignment="1">
      <alignment horizontal="center" vertical="center"/>
    </xf>
    <xf numFmtId="170" fontId="30" fillId="0" borderId="33" xfId="9" applyFont="1" applyBorder="1" applyAlignment="1">
      <alignment horizontal="center" vertical="center"/>
    </xf>
    <xf numFmtId="170" fontId="82" fillId="6" borderId="54" xfId="9" applyFont="1" applyFill="1" applyBorder="1" applyAlignment="1">
      <alignment horizontal="center" vertical="center"/>
    </xf>
    <xf numFmtId="170" fontId="82" fillId="6" borderId="55" xfId="9" applyFont="1" applyFill="1" applyBorder="1" applyAlignment="1">
      <alignment horizontal="center" vertical="center"/>
    </xf>
    <xf numFmtId="49" fontId="93" fillId="16" borderId="64" xfId="9" applyNumberFormat="1" applyFont="1" applyFill="1" applyBorder="1" applyAlignment="1">
      <alignment horizontal="center" vertical="center" textRotation="135"/>
    </xf>
    <xf numFmtId="49" fontId="93" fillId="16" borderId="69" xfId="9" applyNumberFormat="1" applyFont="1" applyFill="1" applyBorder="1" applyAlignment="1">
      <alignment horizontal="center" vertical="center" textRotation="135"/>
    </xf>
    <xf numFmtId="3" fontId="94" fillId="8" borderId="65" xfId="9" applyNumberFormat="1" applyFont="1" applyFill="1" applyBorder="1" applyAlignment="1">
      <alignment horizontal="center" vertical="center"/>
    </xf>
    <xf numFmtId="3" fontId="94" fillId="8" borderId="66" xfId="9" applyNumberFormat="1" applyFont="1" applyFill="1" applyBorder="1" applyAlignment="1">
      <alignment horizontal="center" vertical="center"/>
    </xf>
    <xf numFmtId="3" fontId="94" fillId="8" borderId="67" xfId="9" applyNumberFormat="1" applyFont="1" applyFill="1" applyBorder="1" applyAlignment="1">
      <alignment horizontal="center" vertical="center"/>
    </xf>
    <xf numFmtId="3" fontId="94" fillId="8" borderId="68" xfId="9" applyNumberFormat="1" applyFont="1" applyFill="1" applyBorder="1" applyAlignment="1">
      <alignment horizontal="center" vertical="center"/>
    </xf>
    <xf numFmtId="164" fontId="45" fillId="0" borderId="27" xfId="10" applyFont="1" applyBorder="1" applyAlignment="1">
      <alignment horizontal="center" vertical="center"/>
    </xf>
    <xf numFmtId="3" fontId="95" fillId="8" borderId="68" xfId="9" applyNumberFormat="1" applyFont="1" applyFill="1" applyBorder="1" applyAlignment="1">
      <alignment horizontal="center" vertical="center"/>
    </xf>
    <xf numFmtId="3" fontId="95" fillId="8" borderId="67" xfId="9" applyNumberFormat="1" applyFont="1" applyFill="1" applyBorder="1" applyAlignment="1">
      <alignment horizontal="center" vertical="center"/>
    </xf>
    <xf numFmtId="49" fontId="108" fillId="16" borderId="64" xfId="9" applyNumberFormat="1" applyFont="1" applyFill="1" applyBorder="1" applyAlignment="1">
      <alignment horizontal="center" vertical="center" textRotation="135"/>
    </xf>
    <xf numFmtId="49" fontId="108" fillId="16" borderId="69" xfId="9" applyNumberFormat="1" applyFont="1" applyFill="1" applyBorder="1" applyAlignment="1">
      <alignment horizontal="center" vertical="center" textRotation="135"/>
    </xf>
    <xf numFmtId="3" fontId="95" fillId="8" borderId="66" xfId="9" applyNumberFormat="1" applyFont="1" applyFill="1" applyBorder="1" applyAlignment="1">
      <alignment horizontal="center" vertical="center"/>
    </xf>
    <xf numFmtId="3" fontId="95" fillId="8" borderId="65" xfId="9" applyNumberFormat="1" applyFont="1" applyFill="1" applyBorder="1" applyAlignment="1">
      <alignment horizontal="center" vertical="center"/>
    </xf>
    <xf numFmtId="170" fontId="21" fillId="4" borderId="4" xfId="0" applyFont="1" applyFill="1" applyBorder="1" applyAlignment="1" applyProtection="1">
      <alignment horizontal="center" vertical="center" shrinkToFit="1"/>
      <protection hidden="1"/>
    </xf>
    <xf numFmtId="170" fontId="21" fillId="4" borderId="2" xfId="0" applyFont="1" applyFill="1" applyBorder="1" applyAlignment="1" applyProtection="1">
      <alignment horizontal="center" vertical="center" shrinkToFit="1"/>
      <protection hidden="1"/>
    </xf>
    <xf numFmtId="170" fontId="21" fillId="4" borderId="5" xfId="0" applyFont="1" applyFill="1" applyBorder="1" applyAlignment="1" applyProtection="1">
      <alignment horizontal="center" vertical="center" shrinkToFit="1"/>
      <protection hidden="1"/>
    </xf>
    <xf numFmtId="170" fontId="29" fillId="0" borderId="0" xfId="0" applyFont="1" applyAlignment="1">
      <alignment horizontal="center" vertical="center" wrapText="1"/>
    </xf>
    <xf numFmtId="170" fontId="29" fillId="0" borderId="0" xfId="0" applyFont="1" applyAlignment="1">
      <alignment horizontal="center" vertical="center"/>
    </xf>
    <xf numFmtId="170" fontId="16" fillId="0" borderId="0" xfId="0" applyFont="1" applyAlignment="1">
      <alignment horizontal="center" vertical="center"/>
    </xf>
    <xf numFmtId="170" fontId="0" fillId="0" borderId="0" xfId="0" applyAlignment="1">
      <alignment horizontal="center"/>
    </xf>
    <xf numFmtId="170" fontId="176" fillId="0" borderId="23" xfId="0" applyFont="1" applyBorder="1" applyAlignment="1">
      <alignment horizontal="center" vertical="center"/>
    </xf>
    <xf numFmtId="170" fontId="176" fillId="0" borderId="0" xfId="0" applyFont="1" applyBorder="1" applyAlignment="1">
      <alignment horizontal="center" vertical="center"/>
    </xf>
    <xf numFmtId="43" fontId="176" fillId="0" borderId="0" xfId="7" applyFont="1" applyAlignment="1">
      <alignment horizontal="center" vertical="center" wrapText="1"/>
    </xf>
    <xf numFmtId="43" fontId="176" fillId="0" borderId="23" xfId="7" applyFont="1" applyBorder="1" applyAlignment="1">
      <alignment horizontal="center" vertical="center"/>
    </xf>
    <xf numFmtId="1" fontId="39" fillId="0" borderId="0" xfId="0" applyNumberFormat="1" applyFont="1" applyAlignment="1">
      <alignment horizontal="center" vertical="center" shrinkToFit="1"/>
    </xf>
    <xf numFmtId="43" fontId="4" fillId="0" borderId="0" xfId="7" applyFont="1" applyAlignment="1">
      <alignment horizontal="center" vertical="center" wrapText="1" shrinkToFit="1"/>
    </xf>
    <xf numFmtId="172" fontId="156" fillId="0" borderId="0" xfId="7" applyNumberFormat="1" applyFont="1" applyAlignment="1">
      <alignment horizontal="center" vertical="center" shrinkToFit="1"/>
    </xf>
    <xf numFmtId="170" fontId="156" fillId="0" borderId="0" xfId="0" applyFont="1" applyAlignment="1">
      <alignment horizontal="center" vertical="center" wrapText="1" shrinkToFit="1"/>
    </xf>
    <xf numFmtId="43" fontId="39" fillId="0" borderId="0" xfId="7" applyFont="1" applyAlignment="1">
      <alignment horizontal="center" vertical="center" shrinkToFit="1"/>
    </xf>
    <xf numFmtId="170" fontId="156" fillId="6" borderId="0" xfId="0" applyFont="1" applyFill="1" applyAlignment="1">
      <alignment horizontal="center" vertical="center" wrapText="1" shrinkToFit="1"/>
    </xf>
    <xf numFmtId="4" fontId="156" fillId="0" borderId="0" xfId="0" applyNumberFormat="1" applyFont="1" applyAlignment="1">
      <alignment horizontal="center" vertical="center" shrinkToFit="1"/>
    </xf>
    <xf numFmtId="170" fontId="156" fillId="0" borderId="24" xfId="0" applyFont="1" applyBorder="1" applyAlignment="1">
      <alignment horizontal="center" vertical="center" wrapText="1" shrinkToFit="1"/>
    </xf>
    <xf numFmtId="170" fontId="39" fillId="0" borderId="24" xfId="0" applyFont="1" applyBorder="1" applyAlignment="1">
      <alignment horizontal="center" vertical="center" wrapText="1" shrinkToFit="1"/>
    </xf>
    <xf numFmtId="49" fontId="159" fillId="0" borderId="0" xfId="0" applyNumberFormat="1" applyFont="1" applyAlignment="1">
      <alignment horizontal="center" vertical="center" shrinkToFit="1"/>
    </xf>
    <xf numFmtId="1" fontId="159" fillId="0" borderId="0" xfId="0" applyNumberFormat="1" applyFont="1" applyAlignment="1">
      <alignment horizontal="center" vertical="center" wrapText="1" shrinkToFit="1"/>
    </xf>
    <xf numFmtId="170" fontId="159" fillId="0" borderId="0" xfId="0" applyFont="1" applyAlignment="1">
      <alignment horizontal="center" vertical="center" wrapText="1" shrinkToFit="1"/>
    </xf>
    <xf numFmtId="43" fontId="159" fillId="0" borderId="0" xfId="7" applyFont="1" applyAlignment="1">
      <alignment horizontal="center" vertical="center" wrapText="1" shrinkToFit="1"/>
    </xf>
    <xf numFmtId="170" fontId="177" fillId="0" borderId="0" xfId="0" applyFont="1" applyAlignment="1">
      <alignment horizontal="center" vertical="center" wrapText="1" shrinkToFit="1"/>
    </xf>
    <xf numFmtId="49" fontId="146" fillId="0" borderId="0" xfId="0" applyNumberFormat="1" applyFont="1" applyAlignment="1">
      <alignment horizontal="center" vertical="center" shrinkToFit="1"/>
    </xf>
    <xf numFmtId="1" fontId="146" fillId="0" borderId="0" xfId="0" applyNumberFormat="1" applyFont="1" applyAlignment="1">
      <alignment horizontal="center" vertical="center" wrapText="1" shrinkToFit="1"/>
    </xf>
    <xf numFmtId="170" fontId="146" fillId="0" borderId="0" xfId="0" applyFont="1" applyAlignment="1">
      <alignment horizontal="center" vertical="center" wrapText="1" shrinkToFit="1"/>
    </xf>
    <xf numFmtId="43" fontId="146" fillId="0" borderId="0" xfId="7" applyFont="1" applyAlignment="1">
      <alignment horizontal="center" vertical="center" wrapText="1" shrinkToFit="1"/>
    </xf>
    <xf numFmtId="170" fontId="39" fillId="0" borderId="0" xfId="0" applyFont="1" applyBorder="1" applyAlignment="1">
      <alignment horizontal="center" vertical="center" wrapText="1" shrinkToFit="1"/>
    </xf>
    <xf numFmtId="170" fontId="156" fillId="0" borderId="0" xfId="0" applyFont="1" applyBorder="1" applyAlignment="1">
      <alignment horizontal="center" vertical="center" wrapText="1" shrinkToFit="1"/>
    </xf>
    <xf numFmtId="49" fontId="160" fillId="0" borderId="0" xfId="0" applyNumberFormat="1" applyFont="1" applyAlignment="1">
      <alignment horizontal="center" vertical="center" shrinkToFit="1"/>
    </xf>
    <xf numFmtId="1" fontId="160" fillId="0" borderId="0" xfId="0" applyNumberFormat="1" applyFont="1" applyAlignment="1">
      <alignment horizontal="center" vertical="center" wrapText="1" shrinkToFit="1"/>
    </xf>
    <xf numFmtId="170" fontId="160" fillId="0" borderId="0" xfId="0" applyFont="1" applyAlignment="1">
      <alignment horizontal="center" vertical="center" wrapText="1" shrinkToFit="1"/>
    </xf>
    <xf numFmtId="43" fontId="160" fillId="0" borderId="0" xfId="7" applyFont="1" applyAlignment="1">
      <alignment horizontal="center" vertical="center" wrapText="1" shrinkToFit="1"/>
    </xf>
    <xf numFmtId="49" fontId="21" fillId="0" borderId="0" xfId="0" applyNumberFormat="1" applyFont="1" applyAlignment="1">
      <alignment horizontal="center" vertical="center" shrinkToFit="1"/>
    </xf>
    <xf numFmtId="1" fontId="21" fillId="0" borderId="0" xfId="0" applyNumberFormat="1" applyFont="1" applyAlignment="1">
      <alignment horizontal="center" vertical="center" wrapText="1" shrinkToFit="1"/>
    </xf>
    <xf numFmtId="170" fontId="21" fillId="0" borderId="0" xfId="0" applyFont="1" applyAlignment="1">
      <alignment horizontal="center" vertical="center" wrapText="1" shrinkToFit="1"/>
    </xf>
    <xf numFmtId="43" fontId="21" fillId="0" borderId="0" xfId="7" applyFont="1" applyAlignment="1">
      <alignment horizontal="center" vertical="center" wrapText="1" shrinkToFit="1"/>
    </xf>
    <xf numFmtId="43" fontId="21" fillId="0" borderId="24" xfId="7" applyFont="1" applyBorder="1" applyAlignment="1">
      <alignment horizontal="center" vertical="center" wrapText="1" shrinkToFit="1"/>
    </xf>
    <xf numFmtId="49" fontId="158" fillId="0" borderId="0" xfId="0" applyNumberFormat="1" applyFont="1" applyAlignment="1">
      <alignment horizontal="center" vertical="center" shrinkToFit="1"/>
    </xf>
    <xf numFmtId="1" fontId="158" fillId="0" borderId="0" xfId="0" applyNumberFormat="1" applyFont="1" applyAlignment="1">
      <alignment horizontal="center" vertical="center" wrapText="1" shrinkToFit="1"/>
    </xf>
    <xf numFmtId="170" fontId="158" fillId="0" borderId="0" xfId="0" applyFont="1" applyAlignment="1">
      <alignment horizontal="center" vertical="center" wrapText="1" shrinkToFit="1"/>
    </xf>
    <xf numFmtId="43" fontId="158" fillId="0" borderId="0" xfId="7" applyFont="1" applyAlignment="1">
      <alignment horizontal="center" vertical="center" wrapText="1" shrinkToFit="1"/>
    </xf>
    <xf numFmtId="43" fontId="37" fillId="0" borderId="0" xfId="7" applyFont="1" applyAlignment="1">
      <alignment horizontal="center" vertical="center" wrapText="1" shrinkToFit="1"/>
    </xf>
    <xf numFmtId="49" fontId="156" fillId="0" borderId="24" xfId="0" applyNumberFormat="1" applyFont="1" applyBorder="1" applyAlignment="1">
      <alignment horizontal="center" vertical="center" shrinkToFit="1"/>
    </xf>
    <xf numFmtId="170" fontId="156" fillId="6" borderId="0" xfId="0" applyFont="1" applyFill="1" applyAlignment="1">
      <alignment horizontal="center" vertical="center" shrinkToFit="1"/>
    </xf>
    <xf numFmtId="49" fontId="21" fillId="0" borderId="24" xfId="0" applyNumberFormat="1" applyFont="1" applyBorder="1" applyAlignment="1">
      <alignment horizontal="center" vertical="center" shrinkToFit="1"/>
    </xf>
    <xf numFmtId="49" fontId="4" fillId="0" borderId="0" xfId="0" applyNumberFormat="1" applyFont="1" applyAlignment="1">
      <alignment horizontal="center" vertical="center" wrapText="1" shrinkToFit="1"/>
    </xf>
    <xf numFmtId="49" fontId="39" fillId="0" borderId="24" xfId="0" applyNumberFormat="1" applyFont="1" applyBorder="1" applyAlignment="1">
      <alignment horizontal="center" vertical="center" shrinkToFit="1"/>
    </xf>
    <xf numFmtId="43" fontId="39" fillId="0" borderId="24" xfId="7" applyFont="1" applyBorder="1" applyAlignment="1">
      <alignment horizontal="center" vertical="center" shrinkToFit="1"/>
    </xf>
    <xf numFmtId="170" fontId="143" fillId="0" borderId="0" xfId="17" applyFont="1" applyBorder="1" applyAlignment="1">
      <alignment horizontal="center" vertical="center" readingOrder="2"/>
    </xf>
    <xf numFmtId="0" fontId="154" fillId="0" borderId="39" xfId="17" applyNumberFormat="1" applyFont="1" applyFill="1" applyBorder="1" applyAlignment="1">
      <alignment horizontal="center" vertical="center" readingOrder="2"/>
    </xf>
    <xf numFmtId="0" fontId="152" fillId="0" borderId="35" xfId="17" applyNumberFormat="1" applyFont="1" applyFill="1" applyBorder="1" applyAlignment="1">
      <alignment horizontal="center" vertical="center" readingOrder="2"/>
    </xf>
    <xf numFmtId="170" fontId="152" fillId="0" borderId="35" xfId="17" applyNumberFormat="1" applyFont="1" applyFill="1" applyBorder="1" applyAlignment="1">
      <alignment horizontal="center" vertical="center" readingOrder="2"/>
    </xf>
    <xf numFmtId="49" fontId="152" fillId="0" borderId="35" xfId="17" applyNumberFormat="1" applyFont="1" applyFill="1" applyBorder="1" applyAlignment="1">
      <alignment horizontal="center" vertical="center" readingOrder="2"/>
    </xf>
    <xf numFmtId="1" fontId="152" fillId="0" borderId="35" xfId="17" applyNumberFormat="1" applyFont="1" applyFill="1" applyBorder="1" applyAlignment="1">
      <alignment horizontal="center" vertical="center" readingOrder="2"/>
    </xf>
    <xf numFmtId="164" fontId="143" fillId="0" borderId="35" xfId="17" applyNumberFormat="1" applyFont="1" applyFill="1" applyBorder="1" applyAlignment="1">
      <alignment horizontal="center" vertical="center" readingOrder="2"/>
    </xf>
    <xf numFmtId="164" fontId="143" fillId="0" borderId="36" xfId="17" applyNumberFormat="1" applyFont="1" applyFill="1" applyBorder="1" applyAlignment="1">
      <alignment horizontal="center" vertical="center" readingOrder="2"/>
    </xf>
    <xf numFmtId="164" fontId="179" fillId="0" borderId="35" xfId="17" applyNumberFormat="1" applyFont="1" applyFill="1" applyBorder="1" applyAlignment="1">
      <alignment horizontal="center" vertical="center" readingOrder="2"/>
    </xf>
    <xf numFmtId="0" fontId="144" fillId="20" borderId="119" xfId="17" applyNumberFormat="1" applyFont="1" applyFill="1" applyBorder="1" applyAlignment="1">
      <alignment horizontal="center" vertical="center" readingOrder="2"/>
    </xf>
    <xf numFmtId="170" fontId="144" fillId="20" borderId="115" xfId="17" applyNumberFormat="1" applyFont="1" applyFill="1" applyBorder="1" applyAlignment="1">
      <alignment horizontal="center" vertical="center" readingOrder="2"/>
    </xf>
    <xf numFmtId="170" fontId="144" fillId="20" borderId="115" xfId="17" applyNumberFormat="1" applyFont="1" applyFill="1" applyBorder="1" applyAlignment="1">
      <alignment horizontal="center" vertical="center" shrinkToFit="1" readingOrder="2"/>
    </xf>
    <xf numFmtId="0" fontId="154" fillId="0" borderId="145" xfId="17" applyNumberFormat="1" applyFont="1" applyFill="1" applyBorder="1" applyAlignment="1">
      <alignment horizontal="center" vertical="center" readingOrder="2"/>
    </xf>
    <xf numFmtId="0" fontId="152" fillId="0" borderId="128" xfId="17" applyNumberFormat="1" applyFont="1" applyFill="1" applyBorder="1" applyAlignment="1">
      <alignment horizontal="center" vertical="center" readingOrder="2"/>
    </xf>
    <xf numFmtId="170" fontId="152" fillId="0" borderId="128" xfId="17" applyNumberFormat="1" applyFont="1" applyFill="1" applyBorder="1" applyAlignment="1">
      <alignment horizontal="center" vertical="center" readingOrder="2"/>
    </xf>
    <xf numFmtId="49" fontId="152" fillId="0" borderId="128" xfId="17" applyNumberFormat="1" applyFont="1" applyFill="1" applyBorder="1" applyAlignment="1">
      <alignment horizontal="center" vertical="center" readingOrder="2"/>
    </xf>
    <xf numFmtId="1" fontId="152" fillId="0" borderId="128" xfId="17" applyNumberFormat="1" applyFont="1" applyFill="1" applyBorder="1" applyAlignment="1">
      <alignment horizontal="center" vertical="center" readingOrder="2"/>
    </xf>
    <xf numFmtId="164" fontId="143" fillId="0" borderId="128" xfId="17" applyNumberFormat="1" applyFont="1" applyFill="1" applyBorder="1" applyAlignment="1">
      <alignment horizontal="center" vertical="center" readingOrder="2"/>
    </xf>
    <xf numFmtId="164" fontId="143" fillId="0" borderId="129" xfId="17" applyNumberFormat="1" applyFont="1" applyFill="1" applyBorder="1" applyAlignment="1">
      <alignment horizontal="center" vertical="center" readingOrder="2"/>
    </xf>
    <xf numFmtId="0" fontId="17" fillId="0" borderId="0" xfId="0" applyNumberFormat="1" applyFont="1" applyAlignment="1">
      <alignment horizontal="center" wrapText="1"/>
    </xf>
    <xf numFmtId="43" fontId="176" fillId="22" borderId="0" xfId="7" applyFont="1" applyFill="1" applyAlignment="1">
      <alignment horizontal="center" vertical="center" shrinkToFit="1"/>
    </xf>
    <xf numFmtId="43" fontId="42" fillId="0" borderId="146" xfId="7" applyFont="1" applyBorder="1" applyAlignment="1">
      <alignment vertical="center"/>
    </xf>
    <xf numFmtId="43" fontId="42" fillId="0" borderId="147" xfId="7" applyFont="1" applyBorder="1" applyAlignment="1">
      <alignment vertical="center"/>
    </xf>
    <xf numFmtId="4" fontId="4" fillId="0" borderId="148" xfId="7" applyNumberFormat="1" applyFont="1" applyBorder="1" applyAlignment="1">
      <alignment horizontal="center" vertical="center"/>
    </xf>
    <xf numFmtId="4" fontId="4" fillId="0" borderId="149" xfId="7" applyNumberFormat="1" applyFont="1" applyBorder="1" applyAlignment="1">
      <alignment horizontal="center" vertical="center"/>
    </xf>
  </cellXfs>
  <cellStyles count="18">
    <cellStyle name="Comma" xfId="7" builtinId="3"/>
    <cellStyle name="Comma 2" xfId="1" xr:uid="{00000000-0005-0000-0000-000001000000}"/>
    <cellStyle name="Comma 3" xfId="8" xr:uid="{00000000-0005-0000-0000-000002000000}"/>
    <cellStyle name="Comma 4" xfId="10" xr:uid="{00000000-0005-0000-0000-000003000000}"/>
    <cellStyle name="Comma 5" xfId="14" xr:uid="{00000000-0005-0000-0000-000004000000}"/>
    <cellStyle name="Comma 6" xfId="16" xr:uid="{00000000-0005-0000-0000-000005000000}"/>
    <cellStyle name="Normal" xfId="0" builtinId="0"/>
    <cellStyle name="Normal 2" xfId="2" xr:uid="{00000000-0005-0000-0000-000007000000}"/>
    <cellStyle name="Normal 2 2" xfId="3" xr:uid="{00000000-0005-0000-0000-000008000000}"/>
    <cellStyle name="Normal 2 3" xfId="17" xr:uid="{00000000-0005-0000-0000-000009000000}"/>
    <cellStyle name="Normal 3" xfId="4" xr:uid="{00000000-0005-0000-0000-00000A000000}"/>
    <cellStyle name="Normal 4" xfId="9" xr:uid="{00000000-0005-0000-0000-00000B000000}"/>
    <cellStyle name="Normal 5" xfId="12" xr:uid="{00000000-0005-0000-0000-00000C000000}"/>
    <cellStyle name="Normal 6" xfId="13" xr:uid="{00000000-0005-0000-0000-00000D000000}"/>
    <cellStyle name="Normal 7" xfId="15" xr:uid="{00000000-0005-0000-0000-00000E000000}"/>
    <cellStyle name="Percent 2" xfId="5" xr:uid="{00000000-0005-0000-0000-00000F000000}"/>
    <cellStyle name="Percent 3" xfId="11" xr:uid="{00000000-0005-0000-0000-000010000000}"/>
    <cellStyle name="常规_JL2001QV002" xfId="6" xr:uid="{00000000-0005-0000-0000-000011000000}"/>
  </cellStyles>
  <dxfs count="261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70" formatCode="[$-10B0000]d\ mmmm\ yyyy;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2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2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2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64" formatCode="_(* #,##0.00_);_(* \(#,##0.00\);_(* &quot;-&quot;??_);_(@_)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2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64" formatCode="_(* #,##0.00_);_(* \(#,##0.00\);_(* &quot;-&quot;??_);_(@_)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64" formatCode="_(* #,##0.00_);_(* \(#,##0.00\);_(* &quot;-&quot;??_);_(@_)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70" formatCode="[$-10B0000]d\ mmmm\ yyyy;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auto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2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18"/>
        <name val="Calibri"/>
        <family val="2"/>
        <scheme val="minor"/>
      </font>
      <alignment horizontal="center" vertical="center" textRotation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8"/>
        <color rgb="FF000000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/>
        <strike val="0"/>
        <outline val="0"/>
        <shadow val="0"/>
        <u val="none"/>
        <vertAlign val="baseline"/>
        <sz val="18"/>
        <name val="Calibri"/>
        <family val="2"/>
        <scheme val="minor"/>
      </font>
      <alignment horizontal="center" vertical="center" textRotation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8"/>
        <color rgb="FF000000"/>
        <name val="Calibri"/>
        <family val="2"/>
        <scheme val="minor"/>
      </font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" formatCode="0"/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numFmt numFmtId="30" formatCode="@"/>
      <alignment horizontal="center" vertical="center" textRotation="0" wrapText="0" indent="0" justifyLastLine="0" shrinkToFit="1" readingOrder="0"/>
    </dxf>
    <dxf>
      <font>
        <b/>
        <strike val="0"/>
        <outline val="0"/>
        <shadow val="0"/>
        <u val="none"/>
        <vertAlign val="baseline"/>
        <sz val="18"/>
        <name val="Calibri"/>
        <family val="2"/>
        <scheme val="minor"/>
      </font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8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0"/>
        <name val="Calibri"/>
        <scheme val="minor"/>
      </font>
      <alignment horizontal="center" vertical="center" textRotation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7030A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/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 style="dashed">
          <color rgb="FF0070C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 style="dashed">
          <color rgb="FF0070C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C00000"/>
        </left>
        <right style="dashed">
          <color rgb="FF0070C0"/>
        </right>
        <top style="dashed">
          <color rgb="FF0070C0"/>
        </top>
        <bottom style="medium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C00000"/>
        </left>
        <right style="medium">
          <color rgb="FFC00000"/>
        </right>
        <top style="dashed">
          <color rgb="FF0070C0"/>
        </top>
        <bottom style="medium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173" formatCode="[$-409]d\-mmm\-yy;@"/>
      <alignment horizontal="right" vertical="center" textRotation="0" wrapText="0" indent="0" justifyLastLine="0" shrinkToFit="1" readingOrder="0"/>
      <border diagonalUp="0" diagonalDown="0" outline="0">
        <left style="dashed">
          <color rgb="FF0070C0"/>
        </left>
        <right style="medium">
          <color rgb="FFC0000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C00000"/>
        </left>
        <right style="medium">
          <color rgb="FFC00000"/>
        </right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dashed">
          <color rgb="FF0070C0"/>
        </right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173" formatCode="[$-409]d\-mmm\-yy;@"/>
      <alignment horizontal="center" vertical="center" textRotation="0" wrapText="0" indent="0" justifyLastLine="0" shrinkToFit="0" readingOrder="0"/>
      <border diagonalUp="0" diagonalDown="0">
        <left/>
        <right style="dashed">
          <color rgb="FF0070C0"/>
        </right>
        <top style="dashed">
          <color rgb="FF0070C0"/>
        </top>
        <bottom/>
        <vertical/>
        <horizontal/>
      </border>
      <protection locked="1" hidden="1"/>
    </dxf>
    <dxf>
      <border diagonalUp="0" diagonalDown="0"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double">
          <color rgb="FF0070C0"/>
        </left>
        <right style="double">
          <color rgb="FF0070C0"/>
        </right>
        <top/>
        <bottom/>
      </border>
      <protection locked="1" hidden="1"/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numFmt numFmtId="3" formatCode="#,##0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ck">
          <color rgb="FFC00000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 tint="4.9989318521683403E-2"/>
        <name val="Calibri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thick">
          <color rgb="FFC0000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 tint="4.9989318521683403E-2"/>
        <name val="Calibri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ck">
          <color rgb="FFC00000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 tint="4.9989318521683403E-2"/>
        <name val="Calibri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thick">
          <color rgb="FFC0000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 tint="4.9989318521683403E-2"/>
        <name val="Calibri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ck">
          <color rgb="FFC00000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 tint="4.9989318521683403E-2"/>
        <name val="Calibri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thick">
          <color rgb="FFC0000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 tint="4.9989318521683403E-2"/>
        <name val="Calibri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ck">
          <color rgb="FFC00000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 tint="4.9989318521683403E-2"/>
        <name val="Calibri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thick">
          <color rgb="FFC0000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 tint="4.9989318521683403E-2"/>
        <name val="Calibri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ck">
          <color rgb="FFC00000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2"/>
        <color theme="7" tint="-0.499984740745262"/>
        <name val="Calibri"/>
        <scheme val="none"/>
      </font>
      <numFmt numFmtId="30" formatCode="@"/>
      <fill>
        <patternFill patternType="solid">
          <fgColor indexed="64"/>
          <bgColor theme="6" tint="0.599963377788628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C00000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8"/>
        <color rgb="FF7030A0"/>
        <name val="Calibri"/>
        <scheme val="minor"/>
      </font>
      <numFmt numFmtId="1" formatCode="0"/>
      <fill>
        <patternFill patternType="solid">
          <fgColor indexed="64"/>
          <bgColor theme="6" tint="0.599963377788628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2"/>
        <color theme="7" tint="-0.499984740745262"/>
        <name val="Calibri"/>
        <scheme val="none"/>
      </font>
      <numFmt numFmtId="30" formatCode="@"/>
      <fill>
        <patternFill patternType="solid">
          <fgColor indexed="64"/>
          <bgColor theme="6" tint="0.599963377788628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ck">
          <color rgb="FFC00000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8"/>
        <color rgb="FF7030A0"/>
        <name val="Calibri"/>
        <scheme val="minor"/>
      </font>
      <numFmt numFmtId="1" formatCode="0"/>
      <fill>
        <patternFill patternType="solid">
          <fgColor indexed="64"/>
          <bgColor theme="6" tint="0.599963377788628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2"/>
        <color theme="7" tint="-0.499984740745262"/>
        <name val="Calibri"/>
        <scheme val="none"/>
      </font>
      <numFmt numFmtId="30" formatCode="@"/>
      <fill>
        <patternFill patternType="solid">
          <fgColor indexed="64"/>
          <bgColor theme="6" tint="0.5999633777886288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C0000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rgb="FFC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8"/>
        <color rgb="FF7030A0"/>
        <name val="Calibri"/>
        <scheme val="minor"/>
      </font>
      <numFmt numFmtId="1" formatCode="0"/>
      <fill>
        <patternFill patternType="solid">
          <fgColor indexed="64"/>
          <bgColor theme="6" tint="0.599963377788628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2"/>
        <color rgb="FFC00000"/>
        <name val="Akhbar MT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24"/>
        <color rgb="FFC00000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8"/>
        <color rgb="FF7030A0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/>
        <vertAlign val="baseline"/>
        <sz val="22"/>
        <name val="Akhbar MT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22"/>
        <color auto="1"/>
        <name val="Calibri"/>
        <scheme val="minor"/>
      </font>
      <numFmt numFmtId="30" formatCode="@"/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22"/>
        <color theme="1" tint="4.9989318521683403E-2"/>
        <name val="Arial Black"/>
        <scheme val="none"/>
      </font>
      <numFmt numFmtId="165" formatCode="###\ \ ###\ ###\ ###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/>
        <vertAlign val="baseline"/>
        <sz val="24"/>
        <color rgb="FFC00000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2"/>
        <color auto="1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0"/>
        <name val="Calibri"/>
        <scheme val="minor"/>
      </font>
      <alignment horizontal="center" vertical="center" textRotation="0" indent="0" justifyLastLine="0" shrinkToFit="1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0"/>
        <name val="Calibri"/>
        <scheme val="minor"/>
      </font>
      <alignment horizontal="center" vertical="center" textRotation="0" indent="0" justifyLastLine="0" shrinkToFit="1" readingOrder="0"/>
    </dxf>
    <dxf>
      <font>
        <b/>
        <strike val="0"/>
        <outline val="0"/>
        <shadow val="0"/>
        <u/>
        <vertAlign val="baseline"/>
        <sz val="18"/>
        <color rgb="FF7030A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8"/>
        <color rgb="FFC0000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8"/>
        <color rgb="FF00660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6"/>
        <color rgb="FF002060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numFmt numFmtId="175" formatCode="[$-409]d\-mmm\-yyyy;@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doubleAccounting"/>
        <vertAlign val="baseline"/>
        <sz val="48"/>
        <color rgb="FF002060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C00000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/>
        <right style="medium">
          <color rgb="FFC00000"/>
        </right>
        <top/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medium">
          <color rgb="FFC00000"/>
        </left>
        <right/>
        <top/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70" formatCode="[$-10B0000]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70" formatCode="[$-10B0000]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000000"/>
        <name val="Microsoft Uighur"/>
        <scheme val="none"/>
      </font>
      <numFmt numFmtId="168" formatCode="_-* #,##0_-;_-* #,##0\-;_-* &quot;-&quot;??_-;_-@_-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0"/>
        <name val="PT Bold Heading"/>
        <scheme val="none"/>
      </font>
      <numFmt numFmtId="168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71" formatCode="###\ \ ###\ ###\ ###\ ###\ ###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71" formatCode="###\ \ ###\ ###\ ###\ ###\ ###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7030A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/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 style="dashed">
          <color rgb="FF0070C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 style="dashed">
          <color rgb="FF0070C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ashed">
          <color rgb="FF0070C0"/>
        </right>
        <top style="dashed">
          <color rgb="FF0070C0"/>
        </top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C00000"/>
        </left>
        <right style="dashed">
          <color rgb="FF0070C0"/>
        </right>
        <top style="dashed">
          <color rgb="FF0070C0"/>
        </top>
        <bottom style="medium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C00000"/>
        </left>
        <right style="medium">
          <color rgb="FFC00000"/>
        </right>
        <top style="dashed">
          <color rgb="FF0070C0"/>
        </top>
        <bottom style="medium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173" formatCode="[$-409]d\-mmm\-yy;@"/>
      <alignment horizontal="right" vertical="center" textRotation="0" wrapText="0" indent="0" justifyLastLine="0" shrinkToFit="1" readingOrder="0"/>
      <border diagonalUp="0" diagonalDown="0" outline="0">
        <left style="dashed">
          <color rgb="FF0070C0"/>
        </left>
        <right style="medium">
          <color rgb="FFC0000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C00000"/>
        </left>
        <right style="medium">
          <color rgb="FFC00000"/>
        </right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dashed">
          <color rgb="FF0070C0"/>
        </right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173" formatCode="[$-409]d\-mmm\-yy;@"/>
      <alignment horizontal="center" vertical="center" textRotation="0" wrapText="0" indent="0" justifyLastLine="0" shrinkToFit="0" readingOrder="0"/>
      <border diagonalUp="0" diagonalDown="0">
        <left/>
        <right style="dashed">
          <color rgb="FF0070C0"/>
        </right>
        <top style="dashed">
          <color rgb="FF0070C0"/>
        </top>
        <bottom/>
        <vertical/>
        <horizontal/>
      </border>
      <protection locked="1" hidden="1"/>
    </dxf>
    <dxf>
      <border diagonalUp="0" diagonalDown="0"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none"/>
      </font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double">
          <color rgb="FF0070C0"/>
        </left>
        <right style="double">
          <color rgb="FF0070C0"/>
        </right>
        <top/>
        <bottom/>
      </border>
      <protection locked="1" hidden="1"/>
    </dxf>
  </dxfs>
  <tableStyles count="0" defaultTableStyle="TableStyleMedium2" defaultPivotStyle="PivotStyleLight16"/>
  <colors>
    <mruColors>
      <color rgb="FF4A76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278819077000343E-2"/>
          <c:y val="1.681499716307628E-2"/>
          <c:w val="0.91390764645467915"/>
          <c:h val="0.933114752344788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'رواتب الرسين 2017'!$G$193:$AF$193</c:f>
              <c:strCache>
                <c:ptCount val="26"/>
                <c:pt idx="0">
                  <c:v>يناير</c:v>
                </c:pt>
                <c:pt idx="3">
                  <c:v>فبراير</c:v>
                </c:pt>
                <c:pt idx="5">
                  <c:v>مارس</c:v>
                </c:pt>
                <c:pt idx="8">
                  <c:v>أبريل</c:v>
                </c:pt>
                <c:pt idx="10">
                  <c:v>مايو</c:v>
                </c:pt>
                <c:pt idx="12">
                  <c:v>يونيو</c:v>
                </c:pt>
                <c:pt idx="14">
                  <c:v>يوليو</c:v>
                </c:pt>
                <c:pt idx="16">
                  <c:v>أغسطس</c:v>
                </c:pt>
                <c:pt idx="18">
                  <c:v>سبتمبر</c:v>
                </c:pt>
                <c:pt idx="20">
                  <c:v>أكتوبر</c:v>
                </c:pt>
                <c:pt idx="22">
                  <c:v>نوفمبر</c:v>
                </c:pt>
                <c:pt idx="24">
                  <c:v>ديسمبر</c:v>
                </c:pt>
              </c:strCache>
            </c:strRef>
          </c:tx>
          <c:spPr>
            <a:solidFill>
              <a:schemeClr val="tx2"/>
            </a:solidFill>
            <a:ln w="76200"/>
          </c:spPr>
          <c:invertIfNegative val="0"/>
          <c:dLbls>
            <c:spPr>
              <a:solidFill>
                <a:srgbClr val="FFFF99"/>
              </a:solidFill>
            </c:spPr>
            <c:txPr>
              <a:bodyPr/>
              <a:lstStyle/>
              <a:p>
                <a:pPr>
                  <a:defRPr sz="24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('رواتب الرسين 2017'!$G$204,'رواتب الرسين 2017'!$J$204,'رواتب الرسين 2017'!$L$204,'رواتب الرسين 2017'!$O$204,'رواتب الرسين 2017'!$Q$204,'رواتب الرسين 2017'!$S$204,'رواتب الرسين 2017'!$U$204,'رواتب الرسين 2017'!$W$204,'رواتب الرسين 2017'!$Y$204,'رواتب الرسين 2017'!$AA$204,'رواتب الرسين 2017'!$AC$204,'رواتب الرسين 2017'!$AE$204)</c:f>
              <c:numCache>
                <c:formatCode>_(* #,##0.00_);_(* \(#,##0.00\);_(* "-"??_);_(@_)</c:formatCode>
                <c:ptCount val="12"/>
                <c:pt idx="0">
                  <c:v>97235.459999999992</c:v>
                </c:pt>
                <c:pt idx="1">
                  <c:v>115951.87999999998</c:v>
                </c:pt>
                <c:pt idx="2">
                  <c:v>142177.69999999998</c:v>
                </c:pt>
                <c:pt idx="3" formatCode="_(* #,##0.00_);_(* \(#,##0.00\);_(* &quot;-&quot;??_);_(@_)">
                  <c:v>151355.01999999999</c:v>
                </c:pt>
                <c:pt idx="4">
                  <c:v>167711.94999999995</c:v>
                </c:pt>
                <c:pt idx="5">
                  <c:v>149655.06999999998</c:v>
                </c:pt>
                <c:pt idx="6" formatCode="_(* #,##0.00_);_(* \(#,##0.00\);_(* &quot;-&quot;??_);_(@_)">
                  <c:v>142436.25</c:v>
                </c:pt>
                <c:pt idx="7">
                  <c:v>149385.72</c:v>
                </c:pt>
                <c:pt idx="8">
                  <c:v>156965</c:v>
                </c:pt>
                <c:pt idx="9">
                  <c:v>157585.41999999998</c:v>
                </c:pt>
                <c:pt idx="10">
                  <c:v>173903.34</c:v>
                </c:pt>
                <c:pt idx="11" formatCode="_(* #,##0.00_);_(* \(#,##0.00\);_(* &quot;-&quot;??_);_(@_)">
                  <c:v>199954.17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D-4BEF-9207-1610E7BF7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74272"/>
        <c:axId val="108994560"/>
      </c:barChart>
      <c:catAx>
        <c:axId val="174774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n>
                  <a:solidFill>
                    <a:schemeClr val="tx1"/>
                  </a:solidFill>
                </a:ln>
              </a:defRPr>
            </a:pPr>
            <a:endParaRPr lang="en-US"/>
          </a:p>
        </c:txPr>
        <c:crossAx val="108994560"/>
        <c:crosses val="autoZero"/>
        <c:auto val="1"/>
        <c:lblAlgn val="ctr"/>
        <c:lblOffset val="100"/>
        <c:noMultiLvlLbl val="0"/>
      </c:catAx>
      <c:valAx>
        <c:axId val="10899456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2000" b="1">
                <a:ln>
                  <a:solidFill>
                    <a:schemeClr val="tx1"/>
                  </a:solidFill>
                </a:ln>
              </a:defRPr>
            </a:pPr>
            <a:endParaRPr lang="en-US"/>
          </a:p>
        </c:txPr>
        <c:crossAx val="174774272"/>
        <c:crosses val="autoZero"/>
        <c:crossBetween val="between"/>
      </c:valAx>
      <c:spPr>
        <a:gradFill flip="none" rotWithShape="1">
          <a:gsLst>
            <a:gs pos="0">
              <a:srgbClr val="5E9EFF">
                <a:alpha val="0"/>
                <a:lumMod val="0"/>
                <a:lumOff val="100000"/>
              </a:srgbClr>
            </a:gs>
            <a:gs pos="39999">
              <a:srgbClr val="85C2FF"/>
            </a:gs>
            <a:gs pos="70000">
              <a:srgbClr val="C4D6EB"/>
            </a:gs>
            <a:gs pos="100000">
              <a:srgbClr val="FFEBFA"/>
            </a:gs>
          </a:gsLst>
          <a:lin ang="0" scaled="0"/>
          <a:tileRect/>
        </a:gra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>
                <a:effectLst>
                  <a:glow rad="63500">
                    <a:schemeClr val="accent1">
                      <a:satMod val="175000"/>
                      <a:alpha val="40000"/>
                    </a:schemeClr>
                  </a:glow>
                </a:effectLst>
              </a:defRPr>
            </a:pPr>
            <a:r>
              <a:rPr lang="ar-SA" sz="2400" u="sng">
                <a:effectLst>
                  <a:glow rad="63500">
                    <a:schemeClr val="accent1">
                      <a:satMod val="175000"/>
                      <a:alpha val="40000"/>
                    </a:schemeClr>
                  </a:glow>
                </a:effectLst>
                <a:cs typeface="Andalus" pitchFamily="2" charset="-78"/>
              </a:rPr>
              <a:t>تحليل رواتب الرسين كل ثلاثة أشهر (( ربع سنوية ))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'رواتب الرسين 2017'!$G$248:$P$248</c:f>
              <c:strCache>
                <c:ptCount val="10"/>
                <c:pt idx="0">
                  <c:v>الربع الأول</c:v>
                </c:pt>
                <c:pt idx="3">
                  <c:v>الربع الثاني</c:v>
                </c:pt>
                <c:pt idx="5">
                  <c:v>الربع الثالث</c:v>
                </c:pt>
                <c:pt idx="8">
                  <c:v>الربع الرابع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6877637130801686E-2"/>
                  <c:y val="-3.2323232323232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82-4BD3-8C8A-D2B339219731}"/>
                </c:ext>
              </c:extLst>
            </c:dLbl>
            <c:dLbl>
              <c:idx val="1"/>
              <c:layout>
                <c:manualLayout>
                  <c:x val="1.2658227848101214E-2"/>
                  <c:y val="-2.8282828282828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82-4BD3-8C8A-D2B339219731}"/>
                </c:ext>
              </c:extLst>
            </c:dLbl>
            <c:dLbl>
              <c:idx val="2"/>
              <c:layout>
                <c:manualLayout>
                  <c:x val="1.406471009305655E-2"/>
                  <c:y val="-3.217800619233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82-4BD3-8C8A-D2B339219731}"/>
                </c:ext>
              </c:extLst>
            </c:dLbl>
            <c:dLbl>
              <c:idx val="3"/>
              <c:layout>
                <c:manualLayout>
                  <c:x val="1.406469760900151E-2"/>
                  <c:y val="-3.2323232323232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82-4BD3-8C8A-D2B339219731}"/>
                </c:ext>
              </c:extLst>
            </c:dLbl>
            <c:spPr>
              <a:solidFill>
                <a:schemeClr val="accent6">
                  <a:lumMod val="60000"/>
                  <a:lumOff val="40000"/>
                </a:schemeClr>
              </a:solidFill>
            </c:spPr>
            <c:txPr>
              <a:bodyPr/>
              <a:lstStyle/>
              <a:p>
                <a:pPr>
                  <a:defRPr sz="1600" b="1">
                    <a:latin typeface="Arial Black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('رواتب الرسين 2017'!$G$259,'رواتب الرسين 2017'!$J$259,'رواتب الرسين 2017'!$L$259,'رواتب الرسين 2017'!$O$259)</c:f>
              <c:numCache>
                <c:formatCode>#,##0</c:formatCode>
                <c:ptCount val="4"/>
                <c:pt idx="0">
                  <c:v>355365.04</c:v>
                </c:pt>
                <c:pt idx="1">
                  <c:v>468722.03999999992</c:v>
                </c:pt>
                <c:pt idx="2">
                  <c:v>448786.97000000003</c:v>
                </c:pt>
                <c:pt idx="3">
                  <c:v>531442.93000000005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82-4BD3-8C8A-D2B33921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6288768"/>
        <c:axId val="108996288"/>
        <c:axId val="0"/>
      </c:bar3DChart>
      <c:catAx>
        <c:axId val="176288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effectLst>
                  <a:glow rad="63500">
                    <a:schemeClr val="accent1">
                      <a:satMod val="175000"/>
                      <a:alpha val="40000"/>
                    </a:schemeClr>
                  </a:glow>
                </a:effectLst>
              </a:defRPr>
            </a:pPr>
            <a:endParaRPr lang="en-US"/>
          </a:p>
        </c:txPr>
        <c:crossAx val="108996288"/>
        <c:crosses val="autoZero"/>
        <c:auto val="1"/>
        <c:lblAlgn val="ctr"/>
        <c:lblOffset val="100"/>
        <c:noMultiLvlLbl val="0"/>
      </c:catAx>
      <c:valAx>
        <c:axId val="1089962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n>
                  <a:noFill/>
                </a:ln>
                <a:effectLst>
                  <a:glow rad="63500">
                    <a:schemeClr val="accent1">
                      <a:satMod val="175000"/>
                      <a:alpha val="40000"/>
                    </a:schemeClr>
                  </a:glow>
                </a:effectLst>
                <a:latin typeface="Arial Black" pitchFamily="34" charset="0"/>
              </a:defRPr>
            </a:pPr>
            <a:endParaRPr lang="en-US"/>
          </a:p>
        </c:txPr>
        <c:crossAx val="17628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577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81643</xdr:colOff>
      <xdr:row>0</xdr:row>
      <xdr:rowOff>63500</xdr:rowOff>
    </xdr:from>
    <xdr:to>
      <xdr:col>2</xdr:col>
      <xdr:colOff>493486</xdr:colOff>
      <xdr:row>2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2680675" y="63500"/>
          <a:ext cx="2448832" cy="16573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15</xdr:col>
      <xdr:colOff>1244600</xdr:colOff>
      <xdr:row>52</xdr:row>
      <xdr:rowOff>308426</xdr:rowOff>
    </xdr:from>
    <xdr:to>
      <xdr:col>16</xdr:col>
      <xdr:colOff>228600</xdr:colOff>
      <xdr:row>53</xdr:row>
      <xdr:rowOff>571499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023037757" y="4798783"/>
          <a:ext cx="725715" cy="57603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ar-EG" sz="2400" b="1">
              <a:solidFill>
                <a:schemeClr val="tx1"/>
              </a:solidFill>
              <a:latin typeface="+mn-lt"/>
            </a:rPr>
            <a:t>م</a:t>
          </a:r>
          <a:endParaRPr lang="en-US" sz="2400" b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13</xdr:col>
      <xdr:colOff>1574800</xdr:colOff>
      <xdr:row>0</xdr:row>
      <xdr:rowOff>0</xdr:rowOff>
    </xdr:from>
    <xdr:to>
      <xdr:col>16</xdr:col>
      <xdr:colOff>596900</xdr:colOff>
      <xdr:row>2</xdr:row>
      <xdr:rowOff>317500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981784075" y="0"/>
          <a:ext cx="4079875" cy="170815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24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الإدارة الـــــماليــــة</a:t>
          </a:r>
          <a:br>
            <a:rPr lang="ar-EG" sz="24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</a:br>
          <a:r>
            <a:rPr lang="ar-EG" sz="20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مطابقات الحسابات</a:t>
          </a:r>
          <a:br>
            <a:rPr lang="ar-EG" sz="24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</a:br>
          <a:r>
            <a:rPr lang="ar-EG" sz="1800" b="0" u="sng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2017</a:t>
          </a:r>
          <a:r>
            <a:rPr lang="ar-EG" sz="24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</a:t>
          </a:r>
          <a:endParaRPr lang="en-US" sz="2400" b="0" cap="none" spc="0">
            <a:ln w="0"/>
            <a:solidFill>
              <a:schemeClr val="tx1"/>
            </a:solidFill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133351</xdr:rowOff>
    </xdr:from>
    <xdr:to>
      <xdr:col>3</xdr:col>
      <xdr:colOff>581573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2696002" y="133351"/>
          <a:ext cx="2629448" cy="103822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 editAs="oneCell">
    <xdr:from>
      <xdr:col>7</xdr:col>
      <xdr:colOff>219623</xdr:colOff>
      <xdr:row>0</xdr:row>
      <xdr:rowOff>152401</xdr:rowOff>
    </xdr:from>
    <xdr:to>
      <xdr:col>9</xdr:col>
      <xdr:colOff>981075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790425" y="152401"/>
          <a:ext cx="2952202" cy="103822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81643</xdr:colOff>
      <xdr:row>0</xdr:row>
      <xdr:rowOff>63500</xdr:rowOff>
    </xdr:from>
    <xdr:to>
      <xdr:col>2</xdr:col>
      <xdr:colOff>711200</xdr:colOff>
      <xdr:row>2</xdr:row>
      <xdr:rowOff>330200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250872" y="63500"/>
          <a:ext cx="2452914" cy="165462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9</xdr:col>
      <xdr:colOff>977900</xdr:colOff>
      <xdr:row>19</xdr:row>
      <xdr:rowOff>254000</xdr:rowOff>
    </xdr:from>
    <xdr:to>
      <xdr:col>9</xdr:col>
      <xdr:colOff>1409700</xdr:colOff>
      <xdr:row>21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9982415900" y="8699500"/>
          <a:ext cx="431800" cy="5842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ar-EG" sz="2400" b="1">
              <a:solidFill>
                <a:schemeClr val="tx1"/>
              </a:solidFill>
              <a:latin typeface="+mn-lt"/>
            </a:rPr>
            <a:t>م</a:t>
          </a:r>
          <a:endParaRPr lang="en-US" sz="2400" b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9</xdr:col>
      <xdr:colOff>1054100</xdr:colOff>
      <xdr:row>21</xdr:row>
      <xdr:rowOff>254000</xdr:rowOff>
    </xdr:from>
    <xdr:to>
      <xdr:col>10</xdr:col>
      <xdr:colOff>38100</xdr:colOff>
      <xdr:row>22</xdr:row>
      <xdr:rowOff>508000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9982342875" y="27524075"/>
          <a:ext cx="431800" cy="5683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ar-EG" sz="2400" b="1">
              <a:solidFill>
                <a:schemeClr val="tx1"/>
              </a:solidFill>
              <a:latin typeface="+mn-lt"/>
            </a:rPr>
            <a:t>م</a:t>
          </a:r>
          <a:endParaRPr lang="en-US" sz="2400" b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7</xdr:col>
      <xdr:colOff>1574800</xdr:colOff>
      <xdr:row>0</xdr:row>
      <xdr:rowOff>0</xdr:rowOff>
    </xdr:from>
    <xdr:to>
      <xdr:col>10</xdr:col>
      <xdr:colOff>596900</xdr:colOff>
      <xdr:row>2</xdr:row>
      <xdr:rowOff>317500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9981780900" y="0"/>
          <a:ext cx="4089400" cy="17145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24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الإدارة الـــــماليــــة</a:t>
          </a:r>
          <a:br>
            <a:rPr lang="ar-EG" sz="24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</a:br>
          <a:r>
            <a:rPr lang="ar-EG" sz="20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مطابقات الحسابات</a:t>
          </a:r>
          <a:br>
            <a:rPr lang="ar-EG" sz="24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</a:br>
          <a:r>
            <a:rPr lang="ar-EG" sz="1800" b="0" u="sng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2017</a:t>
          </a:r>
          <a:r>
            <a:rPr lang="ar-EG" sz="24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</a:t>
          </a:r>
          <a:endParaRPr lang="en-US" sz="2400" b="0" cap="none" spc="0">
            <a:ln w="0"/>
            <a:solidFill>
              <a:schemeClr val="tx1"/>
            </a:solidFill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266699</xdr:colOff>
      <xdr:row>0</xdr:row>
      <xdr:rowOff>177800</xdr:rowOff>
    </xdr:from>
    <xdr:to>
      <xdr:col>2</xdr:col>
      <xdr:colOff>850900</xdr:colOff>
      <xdr:row>2</xdr:row>
      <xdr:rowOff>482600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2550500" y="177800"/>
          <a:ext cx="2413001" cy="17018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glow rad="101600">
            <a:schemeClr val="accent1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twoCellAnchor>
  <xdr:twoCellAnchor>
    <xdr:from>
      <xdr:col>9</xdr:col>
      <xdr:colOff>1054100</xdr:colOff>
      <xdr:row>12</xdr:row>
      <xdr:rowOff>774700</xdr:rowOff>
    </xdr:from>
    <xdr:to>
      <xdr:col>10</xdr:col>
      <xdr:colOff>38100</xdr:colOff>
      <xdr:row>15</xdr:row>
      <xdr:rowOff>241300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982339700" y="10350500"/>
          <a:ext cx="431800" cy="14097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ar-EG" sz="2400" b="1">
              <a:solidFill>
                <a:schemeClr val="tx1"/>
              </a:solidFill>
              <a:latin typeface="+mn-lt"/>
            </a:rPr>
            <a:t>م</a:t>
          </a:r>
          <a:endParaRPr lang="en-US" sz="2400" b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9</xdr:col>
      <xdr:colOff>1054100</xdr:colOff>
      <xdr:row>15</xdr:row>
      <xdr:rowOff>50800</xdr:rowOff>
    </xdr:from>
    <xdr:to>
      <xdr:col>10</xdr:col>
      <xdr:colOff>38100</xdr:colOff>
      <xdr:row>15</xdr:row>
      <xdr:rowOff>622300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9982339700" y="11569700"/>
          <a:ext cx="431800" cy="5715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ar-EG" sz="2400" b="1">
              <a:solidFill>
                <a:schemeClr val="tx1"/>
              </a:solidFill>
              <a:latin typeface="+mn-lt"/>
            </a:rPr>
            <a:t>م</a:t>
          </a:r>
          <a:endParaRPr lang="en-US" sz="2400" b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7</xdr:col>
      <xdr:colOff>1676400</xdr:colOff>
      <xdr:row>0</xdr:row>
      <xdr:rowOff>0</xdr:rowOff>
    </xdr:from>
    <xdr:to>
      <xdr:col>10</xdr:col>
      <xdr:colOff>596900</xdr:colOff>
      <xdr:row>2</xdr:row>
      <xdr:rowOff>622300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981780900" y="0"/>
          <a:ext cx="3987800" cy="20193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2400" b="1" cap="none" spc="0">
              <a:ln w="3175">
                <a:solidFill>
                  <a:srgbClr val="0070C0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</a:rPr>
            <a:t>الإدارة الـــــماليــــة</a:t>
          </a:r>
          <a:br>
            <a:rPr lang="ar-EG" sz="2400" b="1" cap="none" spc="0">
              <a:ln w="3175">
                <a:solidFill>
                  <a:srgbClr val="0070C0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</a:rPr>
          </a:br>
          <a:r>
            <a:rPr lang="ar-EG" sz="2000" b="1" cap="none" spc="0">
              <a:ln w="3175">
                <a:solidFill>
                  <a:srgbClr val="0070C0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</a:rPr>
            <a:t>مطابقات الحسابات</a:t>
          </a:r>
          <a:br>
            <a:rPr lang="ar-EG" sz="2400" b="1" cap="none" spc="0">
              <a:ln w="3175">
                <a:solidFill>
                  <a:srgbClr val="0070C0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</a:rPr>
          </a:br>
          <a:r>
            <a:rPr lang="ar-EG" sz="1800" b="1" u="sng" cap="none" spc="0">
              <a:ln w="3175">
                <a:solidFill>
                  <a:srgbClr val="0070C0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</a:rPr>
            <a:t>2017</a:t>
          </a:r>
          <a:r>
            <a:rPr lang="ar-EG" sz="2400" b="1" cap="none" spc="0">
              <a:ln w="3175">
                <a:solidFill>
                  <a:srgbClr val="0070C0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</a:rPr>
            <a:t> </a:t>
          </a:r>
          <a:endParaRPr lang="en-US" sz="2400" b="1">
            <a:ln w="3175">
              <a:solidFill>
                <a:srgbClr val="0070C0"/>
              </a:solidFill>
            </a:ln>
            <a:solidFill>
              <a:schemeClr val="tx1"/>
            </a:solidFill>
            <a:latin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133350</xdr:rowOff>
    </xdr:from>
    <xdr:to>
      <xdr:col>3</xdr:col>
      <xdr:colOff>28575</xdr:colOff>
      <xdr:row>3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153375" y="133350"/>
          <a:ext cx="2286000" cy="103822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16217</xdr:col>
          <xdr:colOff>9525</xdr:colOff>
          <xdr:row>0</xdr:row>
          <xdr:rowOff>0</xdr:rowOff>
        </xdr:from>
        <xdr:to>
          <xdr:col>16217</xdr:col>
          <xdr:colOff>28575</xdr:colOff>
          <xdr:row>0</xdr:row>
          <xdr:rowOff>19050</xdr:rowOff>
        </xdr:to>
        <xdr:sp macro="" textlink="">
          <xdr:nvSpPr>
            <xdr:cNvPr id="6145" name="Image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16217</xdr:col>
          <xdr:colOff>38100</xdr:colOff>
          <xdr:row>0</xdr:row>
          <xdr:rowOff>0</xdr:rowOff>
        </xdr:from>
        <xdr:to>
          <xdr:col>16217</xdr:col>
          <xdr:colOff>57150</xdr:colOff>
          <xdr:row>0</xdr:row>
          <xdr:rowOff>9525</xdr:rowOff>
        </xdr:to>
        <xdr:sp macro="" textlink="">
          <xdr:nvSpPr>
            <xdr:cNvPr id="6146" name="CommandButton1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16216</xdr:col>
          <xdr:colOff>314325</xdr:colOff>
          <xdr:row>0</xdr:row>
          <xdr:rowOff>0</xdr:rowOff>
        </xdr:from>
        <xdr:to>
          <xdr:col>16216</xdr:col>
          <xdr:colOff>333375</xdr:colOff>
          <xdr:row>0</xdr:row>
          <xdr:rowOff>19050</xdr:rowOff>
        </xdr:to>
        <xdr:sp macro="" textlink="">
          <xdr:nvSpPr>
            <xdr:cNvPr id="6147" name="Image2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5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16216</xdr:col>
          <xdr:colOff>352425</xdr:colOff>
          <xdr:row>0</xdr:row>
          <xdr:rowOff>9525</xdr:rowOff>
        </xdr:from>
        <xdr:to>
          <xdr:col>16216</xdr:col>
          <xdr:colOff>361950</xdr:colOff>
          <xdr:row>0</xdr:row>
          <xdr:rowOff>19050</xdr:rowOff>
        </xdr:to>
        <xdr:sp macro="" textlink="">
          <xdr:nvSpPr>
            <xdr:cNvPr id="6148" name="CommandButton2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16216</xdr:col>
          <xdr:colOff>333375</xdr:colOff>
          <xdr:row>0</xdr:row>
          <xdr:rowOff>0</xdr:rowOff>
        </xdr:from>
        <xdr:to>
          <xdr:col>16216</xdr:col>
          <xdr:colOff>361950</xdr:colOff>
          <xdr:row>0</xdr:row>
          <xdr:rowOff>19050</xdr:rowOff>
        </xdr:to>
        <xdr:sp macro="" textlink="">
          <xdr:nvSpPr>
            <xdr:cNvPr id="6149" name="Image3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241679</xdr:rowOff>
    </xdr:from>
    <xdr:to>
      <xdr:col>2</xdr:col>
      <xdr:colOff>1123098</xdr:colOff>
      <xdr:row>2</xdr:row>
      <xdr:rowOff>355410</xdr:rowOff>
    </xdr:to>
    <xdr:sp macro="" textlink="">
      <xdr:nvSpPr>
        <xdr:cNvPr id="7" name="Oval 6">
          <a:hlinkClick xmlns:r="http://schemas.openxmlformats.org/officeDocument/2006/relationships" r:id="rId1" tooltip="الرئيسية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10002784377" y="241679"/>
          <a:ext cx="3294798" cy="1342456"/>
        </a:xfrm>
        <a:prstGeom prst="ellipse">
          <a:avLst/>
        </a:prstGeom>
        <a:solidFill>
          <a:schemeClr val="accent2"/>
        </a:solidFill>
        <a:ln w="76200"/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4400" b="1" u="sng">
              <a:cs typeface="PT Bold Heading" pitchFamily="2" charset="-78"/>
            </a:rPr>
            <a:t>الرئيسية</a:t>
          </a:r>
          <a:endParaRPr lang="en-US" sz="4400" b="1" u="sng">
            <a:cs typeface="PT Bold Heading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15847</xdr:col>
          <xdr:colOff>390525</xdr:colOff>
          <xdr:row>0</xdr:row>
          <xdr:rowOff>0</xdr:rowOff>
        </xdr:from>
        <xdr:to>
          <xdr:col>15847</xdr:col>
          <xdr:colOff>447675</xdr:colOff>
          <xdr:row>0</xdr:row>
          <xdr:rowOff>47625</xdr:rowOff>
        </xdr:to>
        <xdr:sp macro="" textlink="">
          <xdr:nvSpPr>
            <xdr:cNvPr id="6150" name="Image4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15847</xdr:col>
          <xdr:colOff>571500</xdr:colOff>
          <xdr:row>0</xdr:row>
          <xdr:rowOff>9525</xdr:rowOff>
        </xdr:from>
        <xdr:to>
          <xdr:col>15848</xdr:col>
          <xdr:colOff>0</xdr:colOff>
          <xdr:row>0</xdr:row>
          <xdr:rowOff>28575</xdr:rowOff>
        </xdr:to>
        <xdr:sp macro="" textlink="">
          <xdr:nvSpPr>
            <xdr:cNvPr id="6151" name="CommandButton3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5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207</xdr:row>
      <xdr:rowOff>219084</xdr:rowOff>
    </xdr:from>
    <xdr:to>
      <xdr:col>27</xdr:col>
      <xdr:colOff>419100</xdr:colOff>
      <xdr:row>242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866215</xdr:colOff>
      <xdr:row>210</xdr:row>
      <xdr:rowOff>320494</xdr:rowOff>
    </xdr:from>
    <xdr:to>
      <xdr:col>26</xdr:col>
      <xdr:colOff>233053</xdr:colOff>
      <xdr:row>214</xdr:row>
      <xdr:rowOff>282394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 rot="20087872">
          <a:off x="9991463372" y="90274594"/>
          <a:ext cx="5405688" cy="1447800"/>
        </a:xfrm>
        <a:prstGeom prst="roundRect">
          <a:avLst/>
        </a:prstGeom>
        <a:solidFill>
          <a:schemeClr val="tx2"/>
        </a:solidFill>
        <a:ln w="57150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  <a:scene3d>
          <a:camera prst="obliqueBottomLef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6000" b="1" u="sng"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  <a:latin typeface="+mn-lt"/>
              <a:cs typeface="B Jadid" pitchFamily="2" charset="-78"/>
            </a:rPr>
            <a:t>تحليل رواتب الرسين شهرياً</a:t>
          </a:r>
          <a:endParaRPr lang="en-US" sz="6000" b="1" u="sng"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  <a:latin typeface="+mn-lt"/>
            <a:cs typeface="B Jadid" pitchFamily="2" charset="-78"/>
          </a:endParaRPr>
        </a:p>
      </xdr:txBody>
    </xdr:sp>
    <xdr:clientData/>
  </xdr:twoCellAnchor>
  <xdr:twoCellAnchor>
    <xdr:from>
      <xdr:col>19</xdr:col>
      <xdr:colOff>419100</xdr:colOff>
      <xdr:row>246</xdr:row>
      <xdr:rowOff>247650</xdr:rowOff>
    </xdr:from>
    <xdr:to>
      <xdr:col>30</xdr:col>
      <xdr:colOff>57150</xdr:colOff>
      <xdr:row>260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133351</xdr:rowOff>
    </xdr:from>
    <xdr:to>
      <xdr:col>3</xdr:col>
      <xdr:colOff>638723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2238802" y="133351"/>
          <a:ext cx="2629448" cy="103822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7</xdr:col>
      <xdr:colOff>219623</xdr:colOff>
      <xdr:row>0</xdr:row>
      <xdr:rowOff>152401</xdr:rowOff>
    </xdr:from>
    <xdr:to>
      <xdr:col>9</xdr:col>
      <xdr:colOff>658321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113179" y="152401"/>
          <a:ext cx="2629448" cy="103822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15875</xdr:rowOff>
    </xdr:from>
    <xdr:to>
      <xdr:col>2</xdr:col>
      <xdr:colOff>587376</xdr:colOff>
      <xdr:row>1</xdr:row>
      <xdr:rowOff>587375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8328999" y="15875"/>
          <a:ext cx="2959100" cy="143827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 editAs="oneCell">
    <xdr:from>
      <xdr:col>7</xdr:col>
      <xdr:colOff>1158876</xdr:colOff>
      <xdr:row>0</xdr:row>
      <xdr:rowOff>47626</xdr:rowOff>
    </xdr:from>
    <xdr:to>
      <xdr:col>9</xdr:col>
      <xdr:colOff>1198563</xdr:colOff>
      <xdr:row>1</xdr:row>
      <xdr:rowOff>730251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863449" y="47626"/>
          <a:ext cx="2968625" cy="15494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%20Raseen%202017%20(Autosaved)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575;&#1604;&#1605;&#1575;&#1604;&#1610;&#1577;\&#1581;&#1587;&#1575;&#1576;&#1575;&#1578;%202011\&#1593;&#1575;&#1605;%202017\&#1575;&#1604;&#1581;&#1587;&#1575;&#1576;&#1575;&#1578;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أصول2016 (2)"/>
      <sheetName val="الرئيسية"/>
      <sheetName val="دليل"/>
      <sheetName val="اليوميه"/>
      <sheetName val="الصندوق"/>
      <sheetName val="جرد الصندوق"/>
      <sheetName val="حساب العملاء"/>
      <sheetName val="بيان العملاء"/>
      <sheetName val="جرد"/>
      <sheetName val="أصول 2016"/>
      <sheetName val="أصول2017"/>
      <sheetName val="معلومات"/>
      <sheetName val="جمجوم"/>
      <sheetName val="الحبتور"/>
      <sheetName val="Sheet1"/>
      <sheetName val="Al Raseen 2017 (Autosaved)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 t="str">
            <v>أثاث و مفروشات</v>
          </cell>
          <cell r="C5" t="str">
            <v>الرياض</v>
          </cell>
          <cell r="E5" t="str">
            <v xml:space="preserve">الحسابات </v>
          </cell>
          <cell r="F5" t="str">
            <v>محمد مهدي</v>
          </cell>
        </row>
        <row r="6">
          <cell r="B6" t="str">
            <v>سيارات التشغيل</v>
          </cell>
          <cell r="C6" t="str">
            <v>ينبع</v>
          </cell>
          <cell r="E6" t="str">
            <v>الإدارية</v>
          </cell>
          <cell r="F6" t="str">
            <v>أحمد الشاعر</v>
          </cell>
        </row>
        <row r="7">
          <cell r="B7" t="str">
            <v>حاويات نفايات</v>
          </cell>
          <cell r="C7" t="str">
            <v>المدينة</v>
          </cell>
          <cell r="E7" t="str">
            <v>التشغيل</v>
          </cell>
          <cell r="F7" t="str">
            <v>محمد خليل محمد خليل</v>
          </cell>
        </row>
        <row r="8">
          <cell r="B8" t="str">
            <v>حاويات أنقاض</v>
          </cell>
          <cell r="C8" t="str">
            <v>حائل</v>
          </cell>
          <cell r="E8" t="str">
            <v>المبيعات</v>
          </cell>
          <cell r="F8" t="str">
            <v>محمد السعيد</v>
          </cell>
        </row>
        <row r="9">
          <cell r="B9" t="str">
            <v>سيارات سيدان</v>
          </cell>
          <cell r="C9" t="str">
            <v>الأحساء</v>
          </cell>
          <cell r="E9" t="str">
            <v>التحصيل</v>
          </cell>
          <cell r="F9" t="str">
            <v>محمد خميس</v>
          </cell>
        </row>
        <row r="10">
          <cell r="B10" t="str">
            <v>مكابس أرضية</v>
          </cell>
          <cell r="C10" t="str">
            <v>عنيزة</v>
          </cell>
          <cell r="F10" t="str">
            <v>محمد الكاتب</v>
          </cell>
        </row>
        <row r="11">
          <cell r="B11" t="str">
            <v>محولات مكابس أرضية</v>
          </cell>
          <cell r="C11" t="str">
            <v>الدرب</v>
          </cell>
          <cell r="F11" t="str">
            <v>إبراهيم عبد الله الباحوث</v>
          </cell>
        </row>
        <row r="12">
          <cell r="B12" t="str">
            <v>إلكترونيات</v>
          </cell>
          <cell r="C12" t="str">
            <v>جده</v>
          </cell>
          <cell r="F12" t="str">
            <v>مشروع المطار الرياض</v>
          </cell>
        </row>
        <row r="13">
          <cell r="B13" t="str">
            <v>بيوت جاهزة</v>
          </cell>
          <cell r="C13" t="str">
            <v>الشقيق</v>
          </cell>
        </row>
        <row r="14">
          <cell r="B14" t="str">
            <v>مكابس نفايات</v>
          </cell>
          <cell r="C14" t="str">
            <v>ارامكو</v>
          </cell>
        </row>
        <row r="15">
          <cell r="B15" t="str">
            <v>تجهيزات أصول</v>
          </cell>
        </row>
        <row r="16">
          <cell r="B16" t="str">
            <v>عدد و أدوات ميكانيكية</v>
          </cell>
        </row>
        <row r="17">
          <cell r="B17" t="str">
            <v>عدد و أدوات أخرى</v>
          </cell>
        </row>
      </sheetData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ليل الحسابات"/>
      <sheetName val="مصاريف البيع"/>
      <sheetName val="تفاصيل الحسابات "/>
      <sheetName val="قيود اليومية"/>
      <sheetName val="ميزان المراجعة"/>
      <sheetName val="المبيعات(قطع غيار)"/>
      <sheetName val="مبيعات الكفرات"/>
      <sheetName val="مبيعات الزيوت"/>
      <sheetName val="مبيعات البطاريات"/>
      <sheetName val="تتبع المركبات VTM"/>
      <sheetName val="مبيعات المكانس"/>
      <sheetName val="إيجار المعدات"/>
      <sheetName val="مبيعات قطع غيار المكانس"/>
      <sheetName val="الصندوق"/>
      <sheetName val="مبيعات الفلاتر"/>
      <sheetName val="شركة الأواني التجارية"/>
      <sheetName val="دار الكساب"/>
      <sheetName val="مؤسسة عبدالله الزهير"/>
      <sheetName val="العقيل للفلاتر"/>
      <sheetName val="المطلق للفلاتر"/>
      <sheetName val="أبوزياب خميس مشيط"/>
      <sheetName val="محلات محمد الشاعر"/>
      <sheetName val="مؤسسة الصغير التجارية المدينة ا"/>
      <sheetName val="النور للتجارة"/>
      <sheetName val="مؤسسة الصغير للتجارة فرع ينبع"/>
      <sheetName val="مؤسسة الصغير للتجارة فرع الرياض"/>
      <sheetName val="الساهلي للفلاتر"/>
      <sheetName val="مؤسسة بيت بلقيس"/>
      <sheetName val="مؤسسة الهيفاني التجارية"/>
      <sheetName val="مؤسسة تركي بن مقرن"/>
      <sheetName val="الاهتمام بالتقنية للتجارة"/>
      <sheetName val="الوطن للهيدروليك"/>
      <sheetName val="مركز حائل للهيدروليك"/>
      <sheetName val="مؤسسة السعادة الحقيقية"/>
      <sheetName val="أبو رامز ببريدة"/>
      <sheetName val="مؤسسة أحمد سعد العتيبي للتجارة"/>
      <sheetName val="مؤسسة محمد مفرح العتيبي"/>
      <sheetName val="مؤسسة مكانة للتجارة"/>
      <sheetName val="شركة جاسورا العربية للتجارة"/>
      <sheetName val="مؤسسة صالح البغشان للتجارة"/>
      <sheetName val="شركة الروسان"/>
      <sheetName val="مؤسسة تطوير المروان للتجارة"/>
      <sheetName val="مؤسسة العجلات للتجارة"/>
      <sheetName val="مؤسسة الرشيد"/>
      <sheetName val="مركز عبدالله للهيدروليك"/>
      <sheetName val="عالم الفلاتر للتجارة "/>
      <sheetName val="مؤسسة أحمد للتجارة "/>
      <sheetName val="القربان للهيدروليك"/>
      <sheetName val="الصغير فرع الدمام"/>
      <sheetName val="المشيلي"/>
      <sheetName val="الوهابي للتجارة "/>
      <sheetName val="مؤسسة أعمال الارياف للتجارة "/>
      <sheetName val="شكيل"/>
      <sheetName val="عماد الشاير"/>
      <sheetName val="مؤسسة الأنصاري"/>
      <sheetName val="مؤسسة بن هاشم "/>
      <sheetName val="مؤسسة يحيي أحمد رقواني"/>
      <sheetName val="قباء للمعدات الثقيلة "/>
      <sheetName val="الصغير للتجارة فرع الجبيل "/>
      <sheetName val="فيصل للهيدروليك"/>
      <sheetName val="conseco"/>
      <sheetName val="مؤسسة الوسام"/>
      <sheetName val="مؤسسة طيف الله العجمي"/>
      <sheetName val="I.F.C"/>
      <sheetName val="TWC ARABIA"/>
      <sheetName val="ماجد للهيدروليك"/>
      <sheetName val="SUPPORT"/>
      <sheetName val="LAMSATH"/>
      <sheetName val="الرسام"/>
      <sheetName val="خالد المنيف"/>
      <sheetName val="معرض الخليج"/>
      <sheetName val="ALI TALEB"/>
      <sheetName val="أبيار القصيم"/>
      <sheetName val="الصبياني"/>
      <sheetName val="SHAMS BLOCK"/>
      <sheetName val="تركي للمقاولات"/>
      <sheetName val="مؤسسة الأكتساب"/>
      <sheetName val="مؤسسة الرائد"/>
      <sheetName val="مغربان للفلاتر"/>
      <sheetName val="فهد دهيم "/>
      <sheetName val="الترسيب"/>
      <sheetName val="المثالية العالمية "/>
      <sheetName val="شامل لقطع الغيار"/>
      <sheetName val="العيد للمعدات الثقيلة "/>
      <sheetName val="k.e al johani est"/>
      <sheetName val="الرياض لقطع الغيار"/>
      <sheetName val="السلطة الكبيرة"/>
      <sheetName val="فهيد الصقور"/>
      <sheetName val="باكارموم"/>
      <sheetName val="الخليج للتصدير"/>
      <sheetName val="الجهيني"/>
      <sheetName val="عالم قطع غيار الديزل"/>
      <sheetName val="العرب للديزل"/>
      <sheetName val="عبدالله ناصر"/>
      <sheetName val="السوهال للتجارة"/>
      <sheetName val="سلمان إشفاق"/>
      <sheetName val="مؤسسة الثقة الكاملة"/>
      <sheetName val="المولاوي"/>
      <sheetName val="I.P.C"/>
      <sheetName val="مركز جدة لقطع الغيار"/>
      <sheetName val="شركة أمداد"/>
      <sheetName val="التويجري للهيدرولبك"/>
      <sheetName val="التويجري "/>
      <sheetName val="عبدالله المغربي"/>
      <sheetName val="الفلاح"/>
      <sheetName val="الزروي"/>
      <sheetName val="ASIAN TAJ"/>
      <sheetName val="محمد عبدالرحمن الطريف"/>
      <sheetName val="الإنصاف للهيدروليك"/>
      <sheetName val="جلموج"/>
      <sheetName val="زوالفقار للتجارة "/>
      <sheetName val="عبدالله ناصر للتجارة "/>
      <sheetName val="سعد الحارثي للتجارة "/>
      <sheetName val="HASAN EBRAHIM AL MAKHAWY "/>
      <sheetName val="ALTAHNOON TRD "/>
      <sheetName val="حمود"/>
      <sheetName val="مؤسسة صالح حسين"/>
      <sheetName val="سعودي للهيدروليك"/>
      <sheetName val="أبوزياب"/>
      <sheetName val="yellow partes "/>
      <sheetName val="HYDROGEN TRADING "/>
      <sheetName val="الشزلي"/>
      <sheetName val="الفاني لقطع الغيار "/>
      <sheetName val="قرية الطاقة"/>
      <sheetName val="دنيا الرمان"/>
      <sheetName val="مؤسسة الجليفي"/>
      <sheetName val="سعيد بازاهير"/>
      <sheetName val="الفهاد سنتر"/>
      <sheetName val="ورشة البراق"/>
      <sheetName val="مؤسسة النهضة"/>
      <sheetName val="al soghoo"/>
      <sheetName val="مؤسسة ركن الجنوب"/>
      <sheetName val="مؤسسة أبراهيم للتجارة "/>
      <sheetName val="التهامي"/>
      <sheetName val="أحمد النجيب"/>
      <sheetName val="ALMESFER ATORE "/>
      <sheetName val="ابراهيم عبدالله "/>
      <sheetName val="صقور الوادي"/>
      <sheetName val="الحواس"/>
      <sheetName val="سعيد محمد مرزوق "/>
      <sheetName val="مرسيدس سنتر"/>
      <sheetName val="مؤسسة طارق فهد المعجل"/>
      <sheetName val="MAJDAL EST"/>
      <sheetName val="شبة الجزيرة"/>
      <sheetName val="بن جلبان"/>
      <sheetName val="EASTERN MOUNTAIN TRD.EST"/>
      <sheetName val="globe marine"/>
      <sheetName val="AL SAMED"/>
      <sheetName val="صقور الروابي"/>
      <sheetName val="نبعت الريحان للتجارة"/>
      <sheetName val="ورشة طريق"/>
      <sheetName val="EAGLE TOWER"/>
      <sheetName val="مركز الخدمات"/>
      <sheetName val="abu hani"/>
      <sheetName val="العيسا"/>
      <sheetName val="JEEDAH PARTS"/>
      <sheetName val="ITLAL AL SHARQ "/>
      <sheetName val="GLOBAL HEAVY "/>
      <sheetName val="مؤسسة نجيب"/>
      <sheetName val="عبيد الشمري"/>
      <sheetName val="شركة العويضة"/>
      <sheetName val="AL SIYAL "/>
      <sheetName val="AL SALMIA EST "/>
      <sheetName val="الهيدرس"/>
      <sheetName val="بن همام"/>
      <sheetName val="al julaify"/>
      <sheetName val="ground sound "/>
      <sheetName val="FILTER EXPERT EST"/>
      <sheetName val="المزيد للقطع الثقيلة "/>
      <sheetName val="FILA CENTER"/>
      <sheetName val="AL SARWAT"/>
      <sheetName val="AL WASEEL TRD"/>
      <sheetName val="دار الغايا"/>
      <sheetName val="AL JIDANY"/>
      <sheetName val="فلاح الشمري"/>
      <sheetName val="خالد الزهراني"/>
      <sheetName val="AL DKHINI TRD"/>
      <sheetName val="GULF TRD"/>
      <sheetName val="العجمي لقطع الغيار "/>
      <sheetName val="مؤسسة المحميد للتجارة"/>
      <sheetName val="أمانات لقطع الغيار"/>
      <sheetName val="الأنفال"/>
      <sheetName val="خالد إبراهيم"/>
      <sheetName val="مؤسسة التامر"/>
      <sheetName val="SAHILE FILTER"/>
      <sheetName val="خبراء الفلاتر"/>
      <sheetName val="AL SAIRI"/>
      <sheetName val="AL GOOD UNITED"/>
      <sheetName val="أحمد للهيدروليك"/>
      <sheetName val="القفاري للهيدروليك"/>
      <sheetName val="AL NAZAL BEARINDA"/>
      <sheetName val="الشمري للتجارة"/>
      <sheetName val="AL DAGHRERY"/>
      <sheetName val="الرفيع"/>
      <sheetName val="AL ZAWI"/>
      <sheetName val="AL AWLAQI"/>
      <sheetName val="أسيا للتجارة"/>
      <sheetName val="الحماد"/>
      <sheetName val="AL DARWI HYD"/>
      <sheetName val="صقور الشرورا"/>
      <sheetName val="SPORT PARTS"/>
      <sheetName val="SALAH MAKKAH"/>
      <sheetName val="عالم عزان للتجارة"/>
      <sheetName val="AL MENHALI"/>
      <sheetName val="افهاد صقور"/>
      <sheetName val="مركز عصام"/>
      <sheetName val="واحة الوادي"/>
      <sheetName val="محمد الراجح"/>
      <sheetName val="يعقوب الميمني"/>
      <sheetName val="SONDOS"/>
      <sheetName val="القصير"/>
      <sheetName val="مركز المعدات الصناعية"/>
      <sheetName val="UMER AL AHMADI EST"/>
      <sheetName val="دونجو الكورية"/>
      <sheetName val="ALAM AZAN"/>
      <sheetName val="JAMEEL ENTERPRISES"/>
      <sheetName val="الشجيران"/>
      <sheetName val="سرايا الجزيرة"/>
      <sheetName val="C.P.C"/>
      <sheetName val="ياسر عبدالعال"/>
      <sheetName val="خبراء الديزل"/>
      <sheetName val="WAFAQ"/>
      <sheetName val="السوكير"/>
      <sheetName val="قحطاني"/>
      <sheetName val="TRUSTED SOURCE"/>
      <sheetName val="سعود فلتر"/>
      <sheetName val="مؤسسة السلطان"/>
      <sheetName val="القواه الخضراء "/>
      <sheetName val="al jalwi"/>
      <sheetName val="رواد الفلاتر"/>
      <sheetName val="al saqoor"/>
      <sheetName val="المسار"/>
      <sheetName val="بوازير"/>
      <sheetName val="عجيل الصبر"/>
      <sheetName val="فيراس"/>
      <sheetName val="شاكر"/>
      <sheetName val="رواد القطع"/>
      <sheetName val="خبراء المعدات"/>
      <sheetName val="الهوشان"/>
      <sheetName val="المقهوي التجارية"/>
      <sheetName val="المزعل"/>
      <sheetName val="البيان"/>
      <sheetName val="دريل تك لقطع الغيار"/>
      <sheetName val="القسي"/>
      <sheetName val="عبدالله خالد"/>
      <sheetName val="الثقه التامة"/>
      <sheetName val="الراقي"/>
      <sheetName val="مؤسسة الرفاد"/>
      <sheetName val="مؤسسة مشاتل العاصمة"/>
      <sheetName val="RADEEF AL HAMOOD"/>
      <sheetName val="شركة بيشة"/>
      <sheetName val="نور المدينة"/>
      <sheetName val="التكنولوجيا الخليجية"/>
      <sheetName val="AL SAHAL "/>
      <sheetName val="FAC"/>
      <sheetName val="الخراشي"/>
      <sheetName val="أمين"/>
      <sheetName val="عامر "/>
      <sheetName val="شركة جمجوم"/>
      <sheetName val="مؤسسة محمد الظافر"/>
      <sheetName val="شركة ماثيو الفرنسية"/>
      <sheetName val="شركة نتلوج للشحن"/>
      <sheetName val="شركة إسكارب"/>
      <sheetName val="ماسكات التركية أوراتشي"/>
      <sheetName val="بروسري لكلر الفرنسية "/>
      <sheetName val="شافي القحطاني للتخليص الجمركي"/>
      <sheetName val="شركة الخضري دائن"/>
      <sheetName val="دائنون متنوعون"/>
      <sheetName val="سرايا الجزيرةمعدات"/>
      <sheetName val="المجال العربي"/>
      <sheetName val="مدينون متنوعون"/>
      <sheetName val="شركة مشاتل العاصمة"/>
      <sheetName val="شركة زهران"/>
      <sheetName val="مصنع أسكارب"/>
      <sheetName val="شركة آيلكا"/>
      <sheetName val="سالم بغشان"/>
      <sheetName val="شركة فاست"/>
      <sheetName val="ARAIL CONSTRUCTION"/>
      <sheetName val="شركة سفاري"/>
      <sheetName val="الأسطول الآلي"/>
      <sheetName val="شركة طويق"/>
      <sheetName val="مؤسسة ألوان الشموس"/>
      <sheetName val="مقدم بيع سيارات "/>
      <sheetName val="ذمم الموظفين"/>
      <sheetName val="تمويلات البنك العربي"/>
      <sheetName val="الإعتمادات المفتوجة"/>
      <sheetName val="أصول الإدارة"/>
      <sheetName val="مشروعات تحت التنفيذ"/>
      <sheetName val="تحليل مصاريف الفلاتر"/>
      <sheetName val="متنوع"/>
      <sheetName val="البيانات الجمركية"/>
      <sheetName val="شركة الحدادة"/>
      <sheetName val="المشتريات الخارجية"/>
      <sheetName val="الحسابات2017"/>
    </sheetNames>
    <sheetDataSet>
      <sheetData sheetId="0"/>
      <sheetData sheetId="1"/>
      <sheetData sheetId="2"/>
      <sheetData sheetId="3"/>
      <sheetData sheetId="4">
        <row r="45">
          <cell r="B45">
            <v>38395565.479999997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78AE988-6C95-4F09-AD50-2E2D90E6CC54}" name="Table12" displayName="Table12" ref="A4:P52" totalsRowShown="0" headerRowDxfId="4" dataDxfId="21" headerRowBorderDxfId="19" tableBorderDxfId="20" totalsRowBorderDxfId="18">
  <autoFilter ref="A4:P52" xr:uid="{5FAF7566-472D-4FF1-B060-E7851C521E1A}"/>
  <sortState ref="A5:P52">
    <sortCondition ref="B4:B52"/>
  </sortState>
  <tableColumns count="16">
    <tableColumn id="1" xr3:uid="{57EAC857-81C3-4361-AD42-4E1BE49E7520}" name="م" dataDxfId="17" dataCellStyle="Normal 2 3"/>
    <tableColumn id="2" xr3:uid="{0B83E458-685F-4DB6-90D1-260E706473E1}" name="رقم المستند" dataDxfId="16" dataCellStyle="Normal 2 3"/>
    <tableColumn id="3" xr3:uid="{606FF526-F3DB-4E0B-8956-5034C6344A62}" name="التاريخ" dataDxfId="15" dataCellStyle="Normal 2 3"/>
    <tableColumn id="4" xr3:uid="{D37A1402-88B4-4C6D-A650-0FE6FB0F9CEB}" name="قيد الأسكون" dataDxfId="3" dataCellStyle="Normal 2 3"/>
    <tableColumn id="5" xr3:uid="{8EDDCE9D-5360-43E1-B666-4C4810A55343}" name="الوحدة" dataDxfId="1" dataCellStyle="Normal 2 3"/>
    <tableColumn id="6" xr3:uid="{DE40076C-1A0A-4715-B81D-145790E7FE9C}" name="العدد" dataDxfId="2" dataCellStyle="Normal 2 3"/>
    <tableColumn id="7" xr3:uid="{840781D4-21D8-4EE3-9FDD-75256933FD7A}" name="النوع" dataDxfId="14" dataCellStyle="Normal 2 3"/>
    <tableColumn id="8" xr3:uid="{1E4A6961-0D7B-4A00-8B00-DFD774B778E5}" name="غطاء/بدون" dataDxfId="13" dataCellStyle="Normal 2 3"/>
    <tableColumn id="9" xr3:uid="{4FFE2AD1-ABF5-4DEC-BBB8-4BDB6A30A041}" name="سعر_x000a_الحبة" dataDxfId="12" dataCellStyle="Normal 2 3"/>
    <tableColumn id="10" xr3:uid="{B17C0C7F-B622-4AA3-A3F8-736EC18A1D63}" name="من رقم" dataDxfId="11" dataCellStyle="Normal 2 3"/>
    <tableColumn id="11" xr3:uid="{D896DAEE-2352-4EE4-A740-50A9C3D405ED}" name="إلى رقم" dataDxfId="10" dataCellStyle="Normal 2 3"/>
    <tableColumn id="12" xr3:uid="{0EB2228D-92D7-41F8-9DF0-7EA704EEEA54}" name="الوصف" dataDxfId="9" dataCellStyle="Normal 2 3"/>
    <tableColumn id="13" xr3:uid="{38C6E5AB-8166-4F1A-9190-EBD686743C8D}" name="المشروع" dataDxfId="8" dataCellStyle="Normal 2 3"/>
    <tableColumn id="14" xr3:uid="{842D42EC-9D7F-441A-BC8F-0114BE787DCE}" name="مدين  (العهده)" dataDxfId="7" dataCellStyle="Normal 2 3"/>
    <tableColumn id="15" xr3:uid="{C8B37612-A0F0-4F4F-88FA-35046000794E}" name="دائن  (المصروفات)" dataDxfId="6" dataCellStyle="Normal 2 3"/>
    <tableColumn id="16" xr3:uid="{2C01B72F-A21D-451C-8BBE-BB5A95E04A49}" name="الرصيد" dataDxfId="5" dataCellStyle="Normal 2 3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13" displayName="Table13" ref="A3:K484" totalsRowShown="0" headerRowDxfId="34" dataDxfId="22">
  <autoFilter ref="A3:K484" xr:uid="{00000000-0009-0000-0100-000002000000}"/>
  <tableColumns count="11">
    <tableColumn id="1" xr3:uid="{00000000-0010-0000-0700-000001000000}" name="التاريخ" dataDxfId="33"/>
    <tableColumn id="2" xr3:uid="{00000000-0010-0000-0700-000002000000}" name="الإيصال" dataDxfId="32"/>
    <tableColumn id="7" xr3:uid="{00000000-0010-0000-0700-000007000000}" name="قيد الأسكون" dataDxfId="31"/>
    <tableColumn id="3" xr3:uid="{00000000-0010-0000-0700-000003000000}" name="نص الحركة" dataDxfId="30"/>
    <tableColumn id="9" xr3:uid="{00000000-0010-0000-0700-000009000000}" name="الرئيسي" dataDxfId="29"/>
    <tableColumn id="10" xr3:uid="{00000000-0010-0000-0700-00000A000000}" name="الفرعي" dataDxfId="28"/>
    <tableColumn id="8" xr3:uid="{00000000-0010-0000-0700-000008000000}" name="ملاحظات" dataDxfId="27"/>
    <tableColumn id="11" xr3:uid="{23827188-DFF2-4B25-B391-40EEBF996A3D}" name="تم" dataDxfId="26"/>
    <tableColumn id="4" xr3:uid="{00000000-0010-0000-0700-000004000000}" name="مدين" dataDxfId="25" dataCellStyle="Comma"/>
    <tableColumn id="5" xr3:uid="{00000000-0010-0000-0700-000005000000}" name="دائن" dataDxfId="24" dataCellStyle="Comma"/>
    <tableColumn id="6" xr3:uid="{00000000-0010-0000-0700-000006000000}" name="الرصيد" dataDxfId="2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8000000}" name="Table2" displayName="Table2" ref="G486:J490" totalsRowShown="0" headerRowDxfId="115" dataDxfId="114">
  <autoFilter ref="G486:J490" xr:uid="{00000000-0009-0000-0100-000003000000}"/>
  <tableColumns count="4">
    <tableColumn id="1" xr3:uid="{00000000-0010-0000-0800-000001000000}" name="البــــــــــــــــــــــــــــــــــــــــــــيان" dataDxfId="113"/>
    <tableColumn id="4" xr3:uid="{00000000-0010-0000-0800-000004000000}" name="مدين" dataDxfId="112"/>
    <tableColumn id="5" xr3:uid="{00000000-0010-0000-0800-000005000000}" name="دائن" dataDxfId="111"/>
    <tableColumn id="6" xr3:uid="{00000000-0010-0000-0800-000006000000}" name="الرصيد" dataDxfId="1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A495:AJ514" totalsRowShown="0" headerRowDxfId="109" dataDxfId="108">
  <autoFilter ref="A495:AJ514" xr:uid="{00000000-0009-0000-0100-000008000000}"/>
  <tableColumns count="36">
    <tableColumn id="1" xr3:uid="{00000000-0010-0000-0900-000001000000}" name="المشروع" dataDxfId="107"/>
    <tableColumn id="2" xr3:uid="{00000000-0010-0000-0900-000002000000}" name="الإجمالي" dataDxfId="106" dataCellStyle="Comma">
      <calculatedColumnFormula>SUM(Table8[[#This Row],[الرواتب المسيرات]:[اطراف ذات علاقة]])</calculatedColumnFormula>
    </tableColumn>
    <tableColumn id="3" xr3:uid="{00000000-0010-0000-0900-000003000000}" name="الرواتب المسيرات" dataDxfId="105" dataCellStyle="Comma"/>
    <tableColumn id="4" xr3:uid="{00000000-0010-0000-0900-000004000000}" name="دائنون متنوعون" dataDxfId="104" dataCellStyle="Comma"/>
    <tableColumn id="5" xr3:uid="{00000000-0010-0000-0900-000005000000}" name="مخالفات مرورية" dataDxfId="103" dataCellStyle="Comma"/>
    <tableColumn id="6" xr3:uid="{00000000-0010-0000-0900-000006000000}" name="عمولات بنكية" dataDxfId="102" dataCellStyle="Comma"/>
    <tableColumn id="7" xr3:uid="{00000000-0010-0000-0900-000007000000}" name="قطع غيار" dataDxfId="101" dataCellStyle="Comma"/>
    <tableColumn id="8" xr3:uid="{00000000-0010-0000-0900-000008000000}" name="تأمينات إجتماعية" dataDxfId="100" dataCellStyle="Comma"/>
    <tableColumn id="9" xr3:uid="{00000000-0010-0000-0900-000009000000}" name="تأمينات طبية" dataDxfId="99" dataCellStyle="Comma"/>
    <tableColumn id="10" xr3:uid="{00000000-0010-0000-0900-00000A000000}" name="إقامات" dataDxfId="98" dataCellStyle="Comma"/>
    <tableColumn id="11" xr3:uid="{05C34456-CE5B-4112-BAE3-809A5746CAA6}" name="أصول" dataDxfId="97" dataCellStyle="Comma"/>
    <tableColumn id="12" xr3:uid="{27E59C80-6F17-4F0B-9CF9-8E6277E090C6}" name="المدينون" dataDxfId="96" dataCellStyle="Comma"/>
    <tableColumn id="13" xr3:uid="{274610AF-9DEE-4333-845E-BF810DACD85E}" name="تأمين معدات" dataDxfId="95" dataCellStyle="Comma">
      <calculatedColumnFormula>Table8[[#This Row],[الرواتب المسيرات]]/$C$514*43384.1</calculatedColumnFormula>
    </tableColumn>
    <tableColumn id="14" xr3:uid="{4E660A2E-BA0D-4D12-B4CE-6BBC3C84FE62}" name="تأجير سيارات" dataDxfId="94" dataCellStyle="Comma">
      <calculatedColumnFormula>Table8[[#This Row],[الرواتب المسيرات]]/$C$514*43384.1</calculatedColumnFormula>
    </tableColumn>
    <tableColumn id="15" xr3:uid="{A66C0AAD-B1D5-4ED6-BE6E-BE97252C9D17}" name="بدل سكن" dataDxfId="93" dataCellStyle="Comma"/>
    <tableColumn id="16" xr3:uid="{ECFC9A79-0181-4850-978E-022B997D6496}" name="تصديقات" dataDxfId="92" dataCellStyle="Comma"/>
    <tableColumn id="17" xr3:uid="{8BCCF117-223B-4A71-8797-80F45C30B834}" name="اجازات" dataDxfId="91" dataCellStyle="Comma"/>
    <tableColumn id="18" xr3:uid="{45B42B7A-4CD8-4487-BC82-40B271E45E3B}" name="حوداث" dataDxfId="90" dataCellStyle="Comma"/>
    <tableColumn id="19" xr3:uid="{775E6FF8-0CEA-4A5C-A59E-D726F1FFC208}" name="ص.سيارات" dataDxfId="89" dataCellStyle="Comma"/>
    <tableColumn id="20" xr3:uid="{65C48129-AEF5-49D1-9ED1-1FAE17268905}" name="دي اتش" dataDxfId="88" dataCellStyle="Comma"/>
    <tableColumn id="21" xr3:uid="{73A57F8A-C13E-4DF0-A341-0DC0421A5188}" name="رخص سيارات" dataDxfId="87" dataCellStyle="Comma"/>
    <tableColumn id="22" xr3:uid="{3146D3A6-EFCE-4AFD-AA51-D00E818D8F1E}" name="عمولات ضمان" dataDxfId="86" dataCellStyle="Comma"/>
    <tableColumn id="23" xr3:uid="{10CE42BE-8040-4339-9E46-322EB911A346}" name="كراسات شروط" dataDxfId="85" dataCellStyle="Comma"/>
    <tableColumn id="24" xr3:uid="{18657B1D-BA0E-40EB-A894-CC34C03E6B6E}" name="رواتب" dataDxfId="84" dataCellStyle="Comma"/>
    <tableColumn id="25" xr3:uid="{E43DAB1C-A950-4DD9-818F-4FB4D2673D9B}" name="كفرات" dataDxfId="83" dataCellStyle="Comma"/>
    <tableColumn id="26" xr3:uid="{EB639932-687A-4698-A738-B3CF9E6EAA58}" name="إكراميات" dataDxfId="82" dataCellStyle="Comma"/>
    <tableColumn id="27" xr3:uid="{B64EA0A4-BDD6-4C90-8B26-83D4FA9FFA5C}" name="متنوعة" dataDxfId="81" dataCellStyle="Comma"/>
    <tableColumn id="28" xr3:uid="{9430587B-08FA-47CE-A4E6-941E540CC715}" name="الذكاة والدخل" dataDxfId="80" dataCellStyle="Comma"/>
    <tableColumn id="29" xr3:uid="{785A8C5B-C913-4306-8009-DA0C0022A396}" name="تصنيف و بريد" dataDxfId="79" dataCellStyle="Comma"/>
    <tableColumn id="30" xr3:uid="{510AE062-D108-46D1-B4CA-2B8FD2172592}" name="هواتف" dataDxfId="78" dataCellStyle="Comma"/>
    <tableColumn id="31" xr3:uid="{637E38D8-C0AC-4F4C-9127-5DE655C46255}" name="دعاية" dataDxfId="77" dataCellStyle="Comma"/>
    <tableColumn id="32" xr3:uid="{0FEF29E6-BAD1-44D2-B781-1E063EE836AC}" name="رسوم إصدار سجلات" dataDxfId="76" dataCellStyle="Comma"/>
    <tableColumn id="33" xr3:uid="{5A33C4D7-5952-4942-BE32-04FA9E590001}" name="تذاكر" dataDxfId="75" dataCellStyle="Comma"/>
    <tableColumn id="34" xr3:uid="{CE64ECAB-723A-40ED-BA86-6EBAD5BD18D4}" name="رسوم اخرى" dataDxfId="74" dataCellStyle="Comma"/>
    <tableColumn id="35" xr3:uid="{1B417FD9-0A5C-409A-8532-F77326A516C9}" name="ضيافة" dataDxfId="73" dataCellStyle="Comma">
      <calculatedColumnFormula>1528+676</calculatedColumnFormula>
    </tableColumn>
    <tableColumn id="36" xr3:uid="{C07DB062-425F-4108-A0CC-4F568EF21D65}" name="اطراف ذات علاقة" dataDxfId="72" dataCellStyle="Comma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9FE9B9B-E98F-4ACC-B9B5-E87EAD8687BD}" name="Table14" displayName="Table14" ref="A9:AJ27" totalsRowShown="0" headerRowDxfId="71">
  <autoFilter ref="A9:AJ27" xr:uid="{D111D1EE-B065-4B68-BD51-DF24B5BEC8D9}"/>
  <tableColumns count="36">
    <tableColumn id="36" xr3:uid="{1C005271-0B0B-474B-9014-06B02B9B2FEC}" name="المشروع" dataDxfId="70"/>
    <tableColumn id="1" xr3:uid="{0C0357FA-234B-4993-AFBB-D28C897DF73B}" name="الإجمالي" dataDxfId="69">
      <calculatedColumnFormula>SUM(C10:AJ10)</calculatedColumnFormula>
    </tableColumn>
    <tableColumn id="2" xr3:uid="{784CE905-2FA0-4DFD-B063-ACD9159946A5}" name="الرواتب المسيرات" dataDxfId="68"/>
    <tableColumn id="3" xr3:uid="{BCAEDD65-57E2-4FD5-91D9-9A9B06D906CB}" name="دائنون متنوعون" dataDxfId="67"/>
    <tableColumn id="4" xr3:uid="{39603E51-21F4-4965-80AF-F96A3D61F9A8}" name="مخالفات مرورية" dataDxfId="66"/>
    <tableColumn id="5" xr3:uid="{35AE0C02-5A09-41A9-B29B-A538DD9C2B97}" name="عمولات بنكية" dataDxfId="65"/>
    <tableColumn id="6" xr3:uid="{C2CF0983-B2C7-4FD0-B0B5-F665568DB1B2}" name="قطع غيار" dataDxfId="64"/>
    <tableColumn id="7" xr3:uid="{5A9EFE2B-8BD1-44FA-894A-026453C23C85}" name="تأمينات إجتماعية" dataDxfId="63"/>
    <tableColumn id="8" xr3:uid="{163EE3C7-3540-43BA-A6F3-75CD917AEF10}" name="تأمينات طبية" dataDxfId="62"/>
    <tableColumn id="9" xr3:uid="{A4B02089-9AC9-4232-90D1-8EC405881F9F}" name="إقامات" dataDxfId="61"/>
    <tableColumn id="10" xr3:uid="{3505767A-E7CB-4B06-84F1-9199B9201316}" name="أصول" dataDxfId="60"/>
    <tableColumn id="11" xr3:uid="{9AB7B2BC-B25E-4B71-8070-E9AE968FE25A}" name="المدينون" dataDxfId="59"/>
    <tableColumn id="12" xr3:uid="{2B12C182-9366-4DCF-98A0-4F95E08A08EB}" name="تأمين معدات" dataDxfId="58"/>
    <tableColumn id="13" xr3:uid="{46B8618F-59DC-4981-A690-E74F2468EA70}" name="تأجير سيارات" dataDxfId="57"/>
    <tableColumn id="14" xr3:uid="{EF28D6E0-B6F1-46ED-BE40-802B27A572A4}" name="بدل سكن" dataDxfId="56"/>
    <tableColumn id="15" xr3:uid="{8411B923-60D3-47BC-BCA3-0AD6D3E8D6C4}" name="تصديقات" dataDxfId="55"/>
    <tableColumn id="16" xr3:uid="{CD403C10-E813-4BBF-B51C-C9B7D49858DA}" name="اجازات" dataDxfId="54"/>
    <tableColumn id="17" xr3:uid="{01B825E8-1AD3-4E8A-8996-27FE28CB51C5}" name="حوداث" dataDxfId="53"/>
    <tableColumn id="18" xr3:uid="{D9ED69F5-3F98-436B-9508-B8413F3DEC49}" name="ص.سيارات" dataDxfId="52"/>
    <tableColumn id="19" xr3:uid="{EFDA2495-3493-49CF-9C13-69085652ED0F}" name="دي اتش" dataDxfId="51"/>
    <tableColumn id="20" xr3:uid="{922C26ED-B41A-409A-A452-6F1FA54BB2B1}" name="رخص سيارات" dataDxfId="50"/>
    <tableColumn id="21" xr3:uid="{CE53A8D9-F800-4983-BE83-F8A13B475A5C}" name="عمولات ضمان" dataDxfId="49"/>
    <tableColumn id="22" xr3:uid="{7BA77FA7-AA2D-4DCA-96EE-2B81026664C0}" name="كراسات شروط" dataDxfId="48"/>
    <tableColumn id="23" xr3:uid="{EBFC8399-E7F9-461A-B994-42A0325E91A5}" name="رواتب" dataDxfId="47"/>
    <tableColumn id="24" xr3:uid="{BAD13F08-EF62-4BF3-9859-8BEDF91474E9}" name="كفرات" dataDxfId="46"/>
    <tableColumn id="25" xr3:uid="{CDE4F153-8705-45DE-A6FE-A379AC68AB68}" name="إكراميات" dataDxfId="45"/>
    <tableColumn id="26" xr3:uid="{BCB551BD-908D-4E09-8555-6F86208CE32E}" name="متنوعة" dataDxfId="44"/>
    <tableColumn id="27" xr3:uid="{6D285633-86F8-4B15-B3CD-E2D9DDCB7B59}" name="الذكاة والدخل" dataDxfId="43"/>
    <tableColumn id="28" xr3:uid="{2E229B41-02D6-402D-8C72-762CDF13917C}" name="تصنيف و بريد" dataDxfId="42"/>
    <tableColumn id="29" xr3:uid="{70F61ADD-0B6C-45B0-A02E-2F67C84B8E7A}" name="هواتف" dataDxfId="41"/>
    <tableColumn id="30" xr3:uid="{701F9AE2-1FFD-45AC-B8D9-4EF78F05605E}" name="دعاية" dataDxfId="40"/>
    <tableColumn id="31" xr3:uid="{24E346DE-93CB-45CF-8A72-A34800D836CD}" name="رسوم إصدار سجلات" dataDxfId="39"/>
    <tableColumn id="32" xr3:uid="{9FBE80D5-D7BE-4739-B1F1-85813DB8DF09}" name="تذاكر" dataDxfId="38"/>
    <tableColumn id="33" xr3:uid="{4F96671C-0101-4833-8712-6F3D40253050}" name="رسوم اخرى" dataDxfId="37"/>
    <tableColumn id="34" xr3:uid="{8D133289-2914-4EB5-967C-D8CD5BEA198C}" name="ضيافة" dataDxfId="36"/>
    <tableColumn id="35" xr3:uid="{0EA2AB45-4D94-4E93-9B2C-13C664ABB0F4}" name="اطراف ذات علاقة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F12990-0BE0-4F80-8BB3-5542E659FF87}" name="Table112" displayName="Table112" ref="A5:J68" totalsRowShown="0" headerRowDxfId="260" dataDxfId="259" tableBorderDxfId="258">
  <autoFilter ref="A5:J68" xr:uid="{00000000-0009-0000-0100-000001000000}"/>
  <tableColumns count="10">
    <tableColumn id="1" xr3:uid="{A866B9C4-2301-438F-9BF3-497186E6CB0D}" name="التاريخ_x000a_Date" dataDxfId="257"/>
    <tableColumn id="2" xr3:uid="{B381822D-6CA8-425C-A1D7-9A55EA7EBE1F}" name="الشهر_x000a_Month" dataDxfId="256"/>
    <tableColumn id="3" xr3:uid="{85F7019E-6A2B-4768-8B9F-A95847AA78F8}" name="رقم _x000a_القيد_x000a_ASCON" dataDxfId="255"/>
    <tableColumn id="4" xr3:uid="{6EE58978-A81D-4BAB-8461-1DE6376A78B0}" name="البيان _x000a_Description" dataDxfId="254"/>
    <tableColumn id="5" xr3:uid="{D585937B-4249-4374-97E0-8A2FAA972711}" name="رقم _x000a_المستند" dataDxfId="253"/>
    <tableColumn id="6" xr3:uid="{545F94BB-9271-4FD3-8811-B1EC48C0A242}" name="ملاحظات_x000a_Notes" dataDxfId="252"/>
    <tableColumn id="10" xr3:uid="{1EFD2510-0D03-45A0-9D1E-5C7F8B847934}" name="المشروع_x000a_Project" dataDxfId="251"/>
    <tableColumn id="7" xr3:uid="{831FD7F9-2FEF-4287-9113-7DE96955FB30}" name="المدين_x000a_Debit" dataDxfId="250"/>
    <tableColumn id="8" xr3:uid="{6CF6294E-231C-4CE0-B8E2-3846F3FC42A1}" name="الدائن_x000a_Credit" dataDxfId="249"/>
    <tableColumn id="9" xr3:uid="{36F1D675-9ABA-461A-A071-94A18EE626F6}" name="الرصيد _x000a_Balance" dataDxfId="248">
      <calculatedColumnFormula>J5+H6-I6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138" displayName="Table138" ref="A7:G13" totalsRowShown="0" headerRowDxfId="247" tableBorderDxfId="246">
  <autoFilter ref="A7:G13" xr:uid="{00000000-0009-0000-0100-000007000000}"/>
  <sortState ref="A8:G13">
    <sortCondition descending="1" ref="F7:F13"/>
  </sortState>
  <tableColumns count="7">
    <tableColumn id="1" xr3:uid="{00000000-0010-0000-0000-000001000000}" name="م" dataDxfId="245"/>
    <tableColumn id="2" xr3:uid="{00000000-0010-0000-0000-000002000000}" name="أسم الحســــــــــــــــــــاب" dataDxfId="244"/>
    <tableColumn id="3" xr3:uid="{00000000-0010-0000-0000-000003000000}" name="البنك" dataDxfId="243"/>
    <tableColumn id="4" xr3:uid="{00000000-0010-0000-0000-000004000000}" name="رقم الحســــــــــــــــــــــــــــاب " dataDxfId="242"/>
    <tableColumn id="5" xr3:uid="{00000000-0010-0000-0000-000005000000}" name="الإيــــــــــــــــــــــــــــــــبــــــــــــــــــــــــان" dataDxfId="241"/>
    <tableColumn id="6" xr3:uid="{00000000-0010-0000-0000-000006000000}" name="حالة الحساب" dataDxfId="240"/>
    <tableColumn id="7" xr3:uid="{00000000-0010-0000-0000-000007000000}" name="أخر تحديث" dataDxfId="2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51013454" displayName="Table51013454" ref="A5:AF157" totalsRowShown="0" headerRowDxfId="238" dataDxfId="237" headerRowCellStyle="Comma" dataCellStyle="Comma">
  <autoFilter ref="A5:AF157" xr:uid="{00000000-0009-0000-0100-000006000000}">
    <filterColumn colId="2">
      <filters>
        <filter val="شركة الفهاد"/>
        <filter val="شركة الفهاد - الرسين"/>
      </filters>
    </filterColumn>
  </autoFilter>
  <tableColumns count="32">
    <tableColumn id="1" xr3:uid="{00000000-0010-0000-0100-000001000000}" name="م" dataDxfId="236">
      <calculatedColumnFormula>IF(B6="","",SUBTOTAL(3,$B$6:B6))</calculatedColumnFormula>
    </tableColumn>
    <tableColumn id="2" xr3:uid="{00000000-0010-0000-0100-000002000000}" name="الأصل" dataDxfId="235"/>
    <tableColumn id="27" xr3:uid="{00000000-0010-0000-0100-00001B000000}" name="المالك" dataDxfId="234"/>
    <tableColumn id="3" xr3:uid="{00000000-0010-0000-0100-000003000000}" name="مجموعة الاصول" dataDxfId="233"/>
    <tableColumn id="4" xr3:uid="{00000000-0010-0000-0100-000004000000}" name="المشروع" dataDxfId="232"/>
    <tableColumn id="21" xr3:uid="{00000000-0010-0000-0100-000015000000}" name="القطاع" dataDxfId="231"/>
    <tableColumn id="5" xr3:uid="{00000000-0010-0000-0100-000005000000}" name="الإدارة" dataDxfId="230"/>
    <tableColumn id="6" xr3:uid="{00000000-0010-0000-0100-000006000000}" name="المستخدم" dataDxfId="229"/>
    <tableColumn id="7" xr3:uid="{00000000-0010-0000-0100-000007000000}" name="plate" dataDxfId="228"/>
    <tableColumn id="8" xr3:uid="{00000000-0010-0000-0100-000008000000}" name="تاريخ الشراء-الاستلام" dataDxfId="227"/>
    <tableColumn id="9" xr3:uid="{00000000-0010-0000-0100-000009000000}" name="المورد" dataDxfId="226"/>
    <tableColumn id="10" xr3:uid="{00000000-0010-0000-0100-00000A000000}" name="الكمية" dataDxfId="225"/>
    <tableColumn id="26" xr3:uid="{00000000-0010-0000-0100-00001A000000}" name="رقم الفاتورة" dataDxfId="224"/>
    <tableColumn id="11" xr3:uid="{00000000-0010-0000-0100-00000B000000}" name="سعر/الحبة" dataDxfId="223" dataCellStyle="Comma"/>
    <tableColumn id="12" xr3:uid="{00000000-0010-0000-0100-00000C000000}" name="الإجمالي" dataDxfId="222" dataCellStyle="Comma">
      <calculatedColumnFormula>N6*L6</calculatedColumnFormula>
    </tableColumn>
    <tableColumn id="32" xr3:uid="{00000000-0010-0000-0100-000020000000}" name="رقم القيد" dataDxfId="221" dataCellStyle="Comma"/>
    <tableColumn id="33" xr3:uid="{00000000-0010-0000-0100-000021000000}" name="التاريخ" dataDxfId="220" dataCellStyle="Comma"/>
    <tableColumn id="13" xr3:uid="{00000000-0010-0000-0100-00000D000000}" name="العدد" dataDxfId="219" dataCellStyle="Comma"/>
    <tableColumn id="22" xr3:uid="{00000000-0010-0000-0100-000016000000}" name="عن طريق" dataDxfId="218" dataCellStyle="Comma"/>
    <tableColumn id="23" xr3:uid="{00000000-0010-0000-0100-000017000000}" name="السعر الافرادي" dataDxfId="217" dataCellStyle="Comma"/>
    <tableColumn id="28" xr3:uid="{00000000-0010-0000-0100-00001C000000}" name="إجمالي المستبعد" dataDxfId="216" dataCellStyle="Comma">
      <calculatedColumnFormula>Table51013454[[#This Row],[العدد]]*Table51013454[[#This Row],[السعر الافرادي]]</calculatedColumnFormula>
    </tableColumn>
    <tableColumn id="29" xr3:uid="{00000000-0010-0000-0100-00001D000000}" name="العدد2" dataDxfId="215" dataCellStyle="Comma">
      <calculatedColumnFormula>Table51013454[[#This Row],[الكمية]]-Table51013454[[#This Row],[العدد]]</calculatedColumnFormula>
    </tableColumn>
    <tableColumn id="30" xr3:uid="{00000000-0010-0000-0100-00001E000000}" name="الحبة" dataDxfId="214" dataCellStyle="Comma">
      <calculatedColumnFormula>Table51013454[[#This Row],[سعر/الحبة]]</calculatedColumnFormula>
    </tableColumn>
    <tableColumn id="31" xr3:uid="{00000000-0010-0000-0100-00001F000000}" name="الإجمالي الصافي" dataDxfId="213" dataCellStyle="Comma">
      <calculatedColumnFormula>Table51013454[[#This Row],[الإجمالي]]-Table51013454[[#This Row],[إجمالي المستبعد]]</calculatedColumnFormula>
    </tableColumn>
    <tableColumn id="14" xr3:uid="{00000000-0010-0000-0100-00000E000000}" name="العمر الافتراضي" dataDxfId="212"/>
    <tableColumn id="15" xr3:uid="{00000000-0010-0000-0100-00000F000000}" name="كود الاصل" dataDxfId="211"/>
    <tableColumn id="16" xr3:uid="{00000000-0010-0000-0100-000010000000}" name="حالة الاصل" dataDxfId="210"/>
    <tableColumn id="17" xr3:uid="{00000000-0010-0000-0100-000011000000}" name="مجمع الاهلاك _x000a_في 01-01-2017" dataDxfId="209" dataCellStyle="Comma"/>
    <tableColumn id="18" xr3:uid="{00000000-0010-0000-0100-000012000000}" name="القيمة الدفترية _x000a_في 01-01-2017" dataDxfId="208" dataCellStyle="Comma">
      <calculatedColumnFormula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الشراء-الاستلام]]&lt;DATE(2017,1,1),O6-AB6,0))</calculatedColumnFormula>
    </tableColumn>
    <tableColumn id="19" xr3:uid="{00000000-0010-0000-0100-000013000000}" name="مصروف الاهلاك 2017" dataDxfId="207" dataCellStyle="Comma">
      <calculatedColumnFormula>IF(OR(Table51013454[[#This Row],[تاريخ الشراء-الاستلام]]="",Table51013454[[#This Row],[الإجمالي]]="",Table51013454[[#This Row],[العمر الافتراضي]]=""),"",IF(AND(AB6&lt;X6,AC6&gt;(X6*Y6),DATE(2016,12,31)&gt;J6),X6*Y6,IF(AND(AB6&lt;X6,DATE(2017,12,31)&gt;J6,AC6&gt;(X6*Y6)),(DATE(2017,12,31)-J6)/((100%/Y6)*365)*X6,IF(AND(AB6&lt;X6,DATE(2017,12,31)&gt;J6,AC6=0),(DATE(2017,12,31)-J6)/((100%/Y6)*365)*X6,IF(AND(AB6&lt;X6,DATE(2017,12,31)&gt;J6,AC6&lt;(X6*Y6)),AC6,0)))))</calculatedColumnFormula>
    </tableColumn>
    <tableColumn id="24" xr3:uid="{00000000-0010-0000-0100-000018000000}" name="مجمع الاهلاك_x000a_في 31-12-2017" dataDxfId="206" dataCellStyle="Comma">
      <calculatedColumnFormula>IF(OR(Table51013454[[#This Row],[تاريخ الشراء-الاستلام]]="",Table51013454[[#This Row],[الإجمالي]]="",Table51013454[[#This Row],[العمر الافتراضي]]=""),"",AB6+AD6)</calculatedColumnFormula>
    </tableColumn>
    <tableColumn id="25" xr3:uid="{00000000-0010-0000-0100-000019000000}" name="القيمة الدفترية _x000a_في 31-12-2017" dataDxfId="205" dataCellStyle="Comma">
      <calculatedColumnFormula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الشراء-الاستلام]]&gt;DATE(2017,12,31),0,X6-AE6))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6" displayName="Table16" ref="A7:L588" totalsRowShown="0" headerRowDxfId="204" dataDxfId="203">
  <autoFilter ref="A7:L588" xr:uid="{00000000-0009-0000-0100-000005000000}">
    <filterColumn colId="3">
      <filters blank="1"/>
    </filterColumn>
  </autoFilter>
  <tableColumns count="12">
    <tableColumn id="1" xr3:uid="{00000000-0010-0000-0200-000001000000}" name="م" dataDxfId="202">
      <calculatedColumnFormula>SUBTOTAL(3,$E$8:E8)</calculatedColumnFormula>
    </tableColumn>
    <tableColumn id="2" xr3:uid="{00000000-0010-0000-0200-000002000000}" name="التاريخ" dataDxfId="201"/>
    <tableColumn id="3" xr3:uid="{00000000-0010-0000-0200-000003000000}" name="المطابقة" dataDxfId="200"/>
    <tableColumn id="4" xr3:uid="{00000000-0010-0000-0200-000004000000}" name="قيد الأسكون" dataDxfId="199"/>
    <tableColumn id="5" xr3:uid="{00000000-0010-0000-0200-000005000000}" name="البيــــــــــــــــــــــــــــــــــــــــــــــــــــــــــــــــــــــــــــــــــــــــــــــــــــــــان" dataDxfId="198"/>
    <tableColumn id="6" xr3:uid="{00000000-0010-0000-0200-000006000000}" name="نوع الحركة" dataDxfId="197"/>
    <tableColumn id="7" xr3:uid="{00000000-0010-0000-0200-000007000000}" name="الرقم" dataDxfId="196"/>
    <tableColumn id="11" xr3:uid="{00000000-0010-0000-0200-00000B000000}" name="الجهه" dataDxfId="195"/>
    <tableColumn id="12" xr3:uid="{00000000-0010-0000-0200-00000C000000}" name="ملاحظات" dataDxfId="194"/>
    <tableColumn id="8" xr3:uid="{00000000-0010-0000-0200-000008000000}" name="المدين (إيداع)" dataDxfId="193"/>
    <tableColumn id="9" xr3:uid="{00000000-0010-0000-0200-000009000000}" name="الدائن (السحب)" dataDxfId="192"/>
    <tableColumn id="10" xr3:uid="{00000000-0010-0000-0200-00000A000000}" name="الرصيد" dataDxfId="191">
      <calculatedColumnFormula>L7+Table16[[#This Row],[المدين (إيداع)]]-Table16[[#This Row],[الدائن (السحب)]]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210" displayName="Table210" ref="H1:K5" totalsRowShown="0" headerRowDxfId="190" dataDxfId="189">
  <autoFilter ref="H1:K5" xr:uid="{00000000-0009-0000-0100-000009000000}"/>
  <tableColumns count="4">
    <tableColumn id="1" xr3:uid="{00000000-0010-0000-0300-000001000000}" name="البــــــــــــــــــــــــــــــــــــــــــــيان" dataDxfId="188"/>
    <tableColumn id="4" xr3:uid="{00000000-0010-0000-0300-000004000000}" name="مدين" dataDxfId="187"/>
    <tableColumn id="5" xr3:uid="{00000000-0010-0000-0300-000005000000}" name="دائن" dataDxfId="186"/>
    <tableColumn id="6" xr3:uid="{00000000-0010-0000-0300-000006000000}" name="الرصيد" dataDxfId="18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21011" displayName="Table21011" ref="B1:E5" totalsRowShown="0" headerRowDxfId="184" dataDxfId="183">
  <autoFilter ref="B1:E5" xr:uid="{00000000-0009-0000-0100-00000A000000}"/>
  <tableColumns count="4">
    <tableColumn id="1" xr3:uid="{00000000-0010-0000-0400-000001000000}" name="البــــــــــــــــــــــــــــــــــــــــــــيان" dataDxfId="182"/>
    <tableColumn id="4" xr3:uid="{00000000-0010-0000-0400-000004000000}" name="مدين" dataDxfId="181"/>
    <tableColumn id="5" xr3:uid="{00000000-0010-0000-0400-000005000000}" name="دائن" dataDxfId="180"/>
    <tableColumn id="6" xr3:uid="{00000000-0010-0000-0400-000006000000}" name="الرصيد" dataDxfId="17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MyGrid3" displayName="MyGrid3" ref="A2:AV185" totalsRowShown="0" headerRowDxfId="178" dataDxfId="177">
  <autoFilter ref="A2:AV185" xr:uid="{00000000-0009-0000-0100-000004000000}">
    <filterColumn colId="1">
      <filters>
        <filter val="690 273"/>
        <filter val="792 273"/>
      </filters>
    </filterColumn>
  </autoFilter>
  <sortState ref="A3:AV150">
    <sortCondition ref="B2:B150"/>
  </sortState>
  <tableColumns count="48">
    <tableColumn id="20" xr3:uid="{00000000-0010-0000-0500-000014000000}" name="م" dataDxfId="176">
      <calculatedColumnFormula>SUBTOTAL(3,$B$3:B3)</calculatedColumnFormula>
    </tableColumn>
    <tableColumn id="1" xr3:uid="{00000000-0010-0000-0500-000001000000}" name="ID" dataDxfId="175"/>
    <tableColumn id="2" xr3:uid="{00000000-0010-0000-0500-000002000000}" name="Employee name" dataDxfId="174"/>
    <tableColumn id="3" xr3:uid="{00000000-0010-0000-0500-000003000000}" name="Title" dataDxfId="173"/>
    <tableColumn id="4" xr3:uid="{00000000-0010-0000-0500-000004000000}" name="المشروع" dataDxfId="172"/>
    <tableColumn id="21" xr3:uid="{00000000-0010-0000-0500-000015000000}" name="rank" dataDxfId="171">
      <calculatedColumnFormula>RANK(G3,MyGrid3[الاساسي])</calculatedColumnFormula>
    </tableColumn>
    <tableColumn id="7" xr3:uid="{00000000-0010-0000-0500-000007000000}" name="الاساسي" dataDxfId="170"/>
    <tableColumn id="23" xr3:uid="{00000000-0010-0000-0500-000017000000}" name="المشروع2" dataDxfId="169"/>
    <tableColumn id="49" xr3:uid="{00000000-0010-0000-0500-000031000000}" name="ترتيب المشروع يناير" dataDxfId="168">
      <calculatedColumnFormula>RANK(J3,MyGrid3[يناير])</calculatedColumnFormula>
    </tableColumn>
    <tableColumn id="8" xr3:uid="{00000000-0010-0000-0500-000008000000}" name="يناير" dataDxfId="167" dataCellStyle="Comma"/>
    <tableColumn id="5" xr3:uid="{00000000-0010-0000-0500-000005000000}" name="نسب يناير" dataDxfId="166">
      <calculatedColumnFormula>MyGrid3[[#This Row],[يناير]]/$J$186</calculatedColumnFormula>
    </tableColumn>
    <tableColumn id="35" xr3:uid="{00000000-0010-0000-0500-000023000000}" name="المشروع22" dataDxfId="165"/>
    <tableColumn id="46" xr3:uid="{00000000-0010-0000-0500-00002E000000}" name="ترتيب الراتب فبراير" dataDxfId="164">
      <calculatedColumnFormula>RANK(N3,MyGrid3[فبراير])</calculatedColumnFormula>
    </tableColumn>
    <tableColumn id="9" xr3:uid="{00000000-0010-0000-0500-000009000000}" name="فبراير" dataDxfId="163" dataCellStyle="Comma"/>
    <tableColumn id="22" xr3:uid="{00000000-0010-0000-0500-000016000000}" name="نسب فبراير" dataDxfId="162">
      <calculatedColumnFormula>MyGrid3[[#This Row],[فبراير]]/$N$186</calculatedColumnFormula>
    </tableColumn>
    <tableColumn id="36" xr3:uid="{00000000-0010-0000-0500-000024000000}" name="المشروع222" dataDxfId="161"/>
    <tableColumn id="48" xr3:uid="{00000000-0010-0000-0500-000030000000}" name="ترتيب مارس" dataDxfId="160">
      <calculatedColumnFormula>RANK(R3,MyGrid3[مارس])</calculatedColumnFormula>
    </tableColumn>
    <tableColumn id="10" xr3:uid="{00000000-0010-0000-0500-00000A000000}" name="مارس" dataDxfId="159" dataCellStyle="Comma"/>
    <tableColumn id="24" xr3:uid="{00000000-0010-0000-0500-000018000000}" name="نسب مارس" dataDxfId="158">
      <calculatedColumnFormula>MyGrid3[[#This Row],[مارس]]/$R$186</calculatedColumnFormula>
    </tableColumn>
    <tableColumn id="37" xr3:uid="{00000000-0010-0000-0500-000025000000}" name="المشروع223" dataDxfId="157"/>
    <tableColumn id="11" xr3:uid="{00000000-0010-0000-0500-00000B000000}" name="أبريل" dataDxfId="156" dataCellStyle="Comma"/>
    <tableColumn id="25" xr3:uid="{00000000-0010-0000-0500-000019000000}" name="نسب إبريل" dataDxfId="155">
      <calculatedColumnFormula>MyGrid3[[#This Row],[أبريل]]/$U$186</calculatedColumnFormula>
    </tableColumn>
    <tableColumn id="38" xr3:uid="{00000000-0010-0000-0500-000026000000}" name="المشروع224" dataDxfId="154"/>
    <tableColumn id="12" xr3:uid="{00000000-0010-0000-0500-00000C000000}" name="مايو" dataDxfId="153" dataCellStyle="Comma"/>
    <tableColumn id="26" xr3:uid="{00000000-0010-0000-0500-00001A000000}" name="نسب مايو" dataDxfId="152">
      <calculatedColumnFormula>MyGrid3[[#This Row],[مايو]]/$X$186</calculatedColumnFormula>
    </tableColumn>
    <tableColumn id="39" xr3:uid="{00000000-0010-0000-0500-000027000000}" name="المشروع225" dataDxfId="151"/>
    <tableColumn id="13" xr3:uid="{00000000-0010-0000-0500-00000D000000}" name="يونيو" dataDxfId="150" dataCellStyle="Comma"/>
    <tableColumn id="27" xr3:uid="{00000000-0010-0000-0500-00001B000000}" name="نسب يونيو" dataDxfId="149">
      <calculatedColumnFormula>MyGrid3[[#This Row],[يونيو]]/$AA$186</calculatedColumnFormula>
    </tableColumn>
    <tableColumn id="40" xr3:uid="{00000000-0010-0000-0500-000028000000}" name="المشروع226" dataDxfId="148"/>
    <tableColumn id="6" xr3:uid="{00000000-0010-0000-0500-000006000000}" name="يوليو" dataDxfId="147" dataCellStyle="Comma"/>
    <tableColumn id="28" xr3:uid="{00000000-0010-0000-0500-00001C000000}" name="نسب يوليو" dataDxfId="146">
      <calculatedColumnFormula>MyGrid3[[#This Row],[يوليو]]/$AD$186</calculatedColumnFormula>
    </tableColumn>
    <tableColumn id="41" xr3:uid="{00000000-0010-0000-0500-000029000000}" name="المشروع227" dataDxfId="145"/>
    <tableColumn id="14" xr3:uid="{00000000-0010-0000-0500-00000E000000}" name="أغسطس" dataDxfId="144" dataCellStyle="Comma"/>
    <tableColumn id="29" xr3:uid="{00000000-0010-0000-0500-00001D000000}" name="نسب أغسطس" dataDxfId="143">
      <calculatedColumnFormula>MyGrid3[[#This Row],[أغسطس]]/$AG$186</calculatedColumnFormula>
    </tableColumn>
    <tableColumn id="42" xr3:uid="{00000000-0010-0000-0500-00002A000000}" name="المشروع228" dataDxfId="142"/>
    <tableColumn id="15" xr3:uid="{00000000-0010-0000-0500-00000F000000}" name="سبتمبر" dataDxfId="141" dataCellStyle="Comma"/>
    <tableColumn id="30" xr3:uid="{00000000-0010-0000-0500-00001E000000}" name="نسب سبتمبر" dataDxfId="140">
      <calculatedColumnFormula>MyGrid3[[#This Row],[سبتمبر]]/$AJ$186</calculatedColumnFormula>
    </tableColumn>
    <tableColumn id="43" xr3:uid="{00000000-0010-0000-0500-00002B000000}" name="المشروع229" dataDxfId="139"/>
    <tableColumn id="16" xr3:uid="{00000000-0010-0000-0500-000010000000}" name="أكتوبر" dataDxfId="138" dataCellStyle="Comma"/>
    <tableColumn id="31" xr3:uid="{00000000-0010-0000-0500-00001F000000}" name="نسب أكتوبر" dataDxfId="137">
      <calculatedColumnFormula>MyGrid3[[#This Row],[أكتوبر]]/$AM$186</calculatedColumnFormula>
    </tableColumn>
    <tableColumn id="44" xr3:uid="{00000000-0010-0000-0500-00002C000000}" name="المشروع2210" dataDxfId="136"/>
    <tableColumn id="17" xr3:uid="{00000000-0010-0000-0500-000011000000}" name="نوفمبر" dataDxfId="135" dataCellStyle="Comma"/>
    <tableColumn id="32" xr3:uid="{00000000-0010-0000-0500-000020000000}" name="نسب نوفمبر" dataDxfId="134">
      <calculatedColumnFormula>MyGrid3[[#This Row],[نوفمبر]]/$AP$186</calculatedColumnFormula>
    </tableColumn>
    <tableColumn id="45" xr3:uid="{00000000-0010-0000-0500-00002D000000}" name="المشروع22102" dataDxfId="133"/>
    <tableColumn id="18" xr3:uid="{00000000-0010-0000-0500-000012000000}" name="ديسمبر" dataDxfId="132" dataCellStyle="Comma"/>
    <tableColumn id="33" xr3:uid="{00000000-0010-0000-0500-000021000000}" name="نسب ديسمبر" dataDxfId="131">
      <calculatedColumnFormula>MyGrid3[[#This Row],[ديسمبر]]/$AS$186</calculatedColumnFormula>
    </tableColumn>
    <tableColumn id="19" xr3:uid="{00000000-0010-0000-0500-000013000000}" name="الإجمالي" dataDxfId="130">
      <calculatedColumnFormula>J3+N3+R3+U3+X3+AA3+AD3+AG3+AJ3+AM3+AP3+AS3</calculatedColumnFormula>
    </tableColumn>
    <tableColumn id="34" xr3:uid="{00000000-0010-0000-0500-000022000000}" name="نسب الإجمالي" dataDxfId="129">
      <calculatedColumnFormula>MyGrid3[[#This Row],[الإجمالي]]/$AU$186</calculatedColumnFormula>
    </tableColumn>
  </tableColumns>
  <tableStyleInfo name="TableStyleLight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5:J42" totalsRowShown="0" headerRowDxfId="128" dataDxfId="127" tableBorderDxfId="126">
  <autoFilter ref="A5:J42" xr:uid="{00000000-0009-0000-0100-000001000000}"/>
  <tableColumns count="10">
    <tableColumn id="1" xr3:uid="{00000000-0010-0000-0600-000001000000}" name="التاريخ_x000a_Date" dataDxfId="125"/>
    <tableColumn id="2" xr3:uid="{00000000-0010-0000-0600-000002000000}" name="الشهر_x000a_Month" dataDxfId="124"/>
    <tableColumn id="3" xr3:uid="{00000000-0010-0000-0600-000003000000}" name="رقم _x000a_القيد_x000a_ASCON" dataDxfId="123"/>
    <tableColumn id="4" xr3:uid="{00000000-0010-0000-0600-000004000000}" name="البيان _x000a_Description" dataDxfId="122"/>
    <tableColumn id="5" xr3:uid="{00000000-0010-0000-0600-000005000000}" name="رقم _x000a_المستند" dataDxfId="121"/>
    <tableColumn id="6" xr3:uid="{00000000-0010-0000-0600-000006000000}" name="ملاحظات_x000a_Notes" dataDxfId="120"/>
    <tableColumn id="10" xr3:uid="{00000000-0010-0000-0600-00000A000000}" name="المشروع_x000a_Project" dataDxfId="119"/>
    <tableColumn id="7" xr3:uid="{00000000-0010-0000-0600-000007000000}" name="المدين_x000a_Debit" dataDxfId="118"/>
    <tableColumn id="8" xr3:uid="{00000000-0010-0000-0600-000008000000}" name="الدائن_x000a_Credit" dataDxfId="117"/>
    <tableColumn id="9" xr3:uid="{00000000-0010-0000-0600-000009000000}" name="الرصيد _x000a_Balance" dataDxfId="116">
      <calculatedColumnFormula>J5+H6-I6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7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4.emf"/><Relationship Id="rId12" Type="http://schemas.openxmlformats.org/officeDocument/2006/relationships/control" Target="../activeX/activeX5.xml"/><Relationship Id="rId17" Type="http://schemas.openxmlformats.org/officeDocument/2006/relationships/table" Target="../tables/table4.xml"/><Relationship Id="rId2" Type="http://schemas.openxmlformats.org/officeDocument/2006/relationships/drawing" Target="../drawings/drawing6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.xml"/><Relationship Id="rId11" Type="http://schemas.openxmlformats.org/officeDocument/2006/relationships/image" Target="../media/image6.emf"/><Relationship Id="rId5" Type="http://schemas.openxmlformats.org/officeDocument/2006/relationships/image" Target="../media/image3.emf"/><Relationship Id="rId15" Type="http://schemas.openxmlformats.org/officeDocument/2006/relationships/image" Target="../media/image8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5.emf"/><Relationship Id="rId1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92EC-DB76-430D-932B-AD458B0548A8}">
  <dimension ref="A1:P1534"/>
  <sheetViews>
    <sheetView showGridLines="0" rightToLeft="1" view="pageBreakPreview" topLeftCell="A25" zoomScale="70" zoomScaleNormal="85" zoomScaleSheetLayoutView="70" workbookViewId="0">
      <selection activeCell="G44" sqref="G44"/>
    </sheetView>
  </sheetViews>
  <sheetFormatPr defaultRowHeight="12.75"/>
  <cols>
    <col min="1" max="1" width="7" style="722" customWidth="1"/>
    <col min="2" max="2" width="23.7109375" style="581" customWidth="1"/>
    <col min="3" max="3" width="23.140625" style="581" customWidth="1"/>
    <col min="4" max="4" width="20.5703125" style="581" bestFit="1" customWidth="1"/>
    <col min="5" max="5" width="35.140625" style="581" customWidth="1"/>
    <col min="6" max="7" width="17.5703125" style="581" customWidth="1"/>
    <col min="8" max="8" width="18.42578125" style="581" customWidth="1"/>
    <col min="9" max="13" width="17.5703125" style="581" customWidth="1"/>
    <col min="14" max="14" width="31.7109375" style="581" customWidth="1"/>
    <col min="15" max="15" width="34" style="581" bestFit="1" customWidth="1"/>
    <col min="16" max="16" width="30.85546875" style="581" customWidth="1"/>
    <col min="17" max="17" width="9.140625" style="581"/>
    <col min="18" max="18" width="21" style="581" customWidth="1"/>
    <col min="19" max="16384" width="9.140625" style="581"/>
  </cols>
  <sheetData>
    <row r="1" spans="1:16" s="582" customFormat="1" ht="54.75" customHeight="1">
      <c r="A1" s="729" t="s">
        <v>2110</v>
      </c>
      <c r="B1" s="730"/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0"/>
      <c r="O1" s="730"/>
      <c r="P1" s="730"/>
    </row>
    <row r="2" spans="1:16" s="582" customFormat="1" ht="54.75" customHeight="1">
      <c r="A2" s="730"/>
      <c r="B2" s="730"/>
      <c r="C2" s="730"/>
      <c r="D2" s="730"/>
      <c r="E2" s="730"/>
      <c r="F2" s="730"/>
      <c r="G2" s="730"/>
      <c r="H2" s="730"/>
      <c r="I2" s="730"/>
      <c r="J2" s="730"/>
      <c r="K2" s="730"/>
      <c r="L2" s="730"/>
      <c r="M2" s="730"/>
      <c r="N2" s="730"/>
      <c r="O2" s="730"/>
      <c r="P2" s="730"/>
    </row>
    <row r="3" spans="1:16" s="582" customFormat="1" ht="54.75" customHeight="1">
      <c r="A3" s="838"/>
      <c r="B3" s="838"/>
      <c r="C3" s="838"/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</row>
    <row r="4" spans="1:16" s="582" customFormat="1" ht="34.5" customHeight="1" thickBot="1">
      <c r="A4" s="847" t="s">
        <v>72</v>
      </c>
      <c r="B4" s="848" t="s">
        <v>1578</v>
      </c>
      <c r="C4" s="848" t="s">
        <v>151</v>
      </c>
      <c r="D4" s="848" t="s">
        <v>153</v>
      </c>
      <c r="E4" s="849" t="s">
        <v>2111</v>
      </c>
      <c r="F4" s="849" t="s">
        <v>1346</v>
      </c>
      <c r="G4" s="849" t="s">
        <v>73</v>
      </c>
      <c r="H4" s="849" t="s">
        <v>2116</v>
      </c>
      <c r="I4" s="849" t="s">
        <v>2115</v>
      </c>
      <c r="J4" s="849" t="s">
        <v>2112</v>
      </c>
      <c r="K4" s="849" t="s">
        <v>2113</v>
      </c>
      <c r="L4" s="849" t="s">
        <v>2123</v>
      </c>
      <c r="M4" s="849" t="s">
        <v>86</v>
      </c>
      <c r="N4" s="848" t="s">
        <v>1580</v>
      </c>
      <c r="O4" s="848" t="s">
        <v>1581</v>
      </c>
      <c r="P4" s="723" t="s">
        <v>160</v>
      </c>
    </row>
    <row r="5" spans="1:16" s="582" customFormat="1" ht="30.75" customHeight="1" thickTop="1">
      <c r="A5" s="850">
        <v>1</v>
      </c>
      <c r="B5" s="851">
        <v>540</v>
      </c>
      <c r="C5" s="852">
        <v>42737</v>
      </c>
      <c r="D5" s="853"/>
      <c r="E5" s="852" t="s">
        <v>2114</v>
      </c>
      <c r="F5" s="854">
        <v>1</v>
      </c>
      <c r="G5" s="854">
        <v>6</v>
      </c>
      <c r="H5" s="854" t="s">
        <v>2118</v>
      </c>
      <c r="I5" s="854">
        <v>2300</v>
      </c>
      <c r="J5" s="854">
        <v>2335</v>
      </c>
      <c r="K5" s="854" t="s">
        <v>2119</v>
      </c>
      <c r="L5" s="854" t="s">
        <v>67</v>
      </c>
      <c r="M5" s="854" t="s">
        <v>64</v>
      </c>
      <c r="N5" s="855">
        <v>2300</v>
      </c>
      <c r="O5" s="855"/>
      <c r="P5" s="856">
        <f>Table12[[#This Row],[مدين  (العهده)]]</f>
        <v>2300</v>
      </c>
    </row>
    <row r="6" spans="1:16" s="582" customFormat="1" ht="30.75" customHeight="1">
      <c r="A6" s="839">
        <v>2</v>
      </c>
      <c r="B6" s="840" t="s">
        <v>2198</v>
      </c>
      <c r="C6" s="841">
        <v>42737</v>
      </c>
      <c r="D6" s="842" t="s">
        <v>2132</v>
      </c>
      <c r="E6" s="841" t="s">
        <v>2114</v>
      </c>
      <c r="F6" s="843">
        <v>1</v>
      </c>
      <c r="G6" s="843">
        <v>6</v>
      </c>
      <c r="H6" s="843" t="s">
        <v>2118</v>
      </c>
      <c r="I6" s="843">
        <v>2300</v>
      </c>
      <c r="J6" s="843">
        <v>2335</v>
      </c>
      <c r="K6" s="843"/>
      <c r="L6" s="843" t="s">
        <v>2131</v>
      </c>
      <c r="M6" s="843" t="s">
        <v>64</v>
      </c>
      <c r="N6" s="844"/>
      <c r="O6" s="844">
        <v>2300</v>
      </c>
      <c r="P6" s="845">
        <f>P5+Table12[[#This Row],[مدين  (العهده)]]-Table12[[#This Row],[دائن  (المصروفات)]]</f>
        <v>0</v>
      </c>
    </row>
    <row r="7" spans="1:16" s="582" customFormat="1" ht="30.75" customHeight="1" thickBot="1">
      <c r="A7" s="839">
        <v>3</v>
      </c>
      <c r="B7" s="840">
        <v>546</v>
      </c>
      <c r="C7" s="841">
        <v>42750</v>
      </c>
      <c r="D7" s="842"/>
      <c r="E7" s="841" t="s">
        <v>2114</v>
      </c>
      <c r="F7" s="843">
        <v>5</v>
      </c>
      <c r="G7" s="843" t="s">
        <v>2129</v>
      </c>
      <c r="H7" s="843"/>
      <c r="I7" s="843"/>
      <c r="J7" s="843"/>
      <c r="K7" s="843"/>
      <c r="L7" s="843" t="s">
        <v>2124</v>
      </c>
      <c r="M7" s="843" t="s">
        <v>64</v>
      </c>
      <c r="N7" s="844">
        <v>5000</v>
      </c>
      <c r="O7" s="844"/>
      <c r="P7" s="845">
        <f>P6+Table12[[#This Row],[مدين  (العهده)]]-Table12[[#This Row],[دائن  (المصروفات)]]</f>
        <v>5000</v>
      </c>
    </row>
    <row r="8" spans="1:16" s="582" customFormat="1" ht="30.75" customHeight="1" thickTop="1">
      <c r="A8" s="850">
        <v>4</v>
      </c>
      <c r="B8" s="840" t="s">
        <v>2186</v>
      </c>
      <c r="C8" s="841">
        <v>42750</v>
      </c>
      <c r="D8" s="842" t="s">
        <v>2132</v>
      </c>
      <c r="E8" s="841" t="s">
        <v>2114</v>
      </c>
      <c r="F8" s="843">
        <v>5</v>
      </c>
      <c r="G8" s="843" t="s">
        <v>2129</v>
      </c>
      <c r="H8" s="843"/>
      <c r="I8" s="843"/>
      <c r="J8" s="843"/>
      <c r="K8" s="843"/>
      <c r="L8" s="843" t="s">
        <v>2131</v>
      </c>
      <c r="M8" s="843" t="s">
        <v>64</v>
      </c>
      <c r="N8" s="844"/>
      <c r="O8" s="844">
        <v>5000</v>
      </c>
      <c r="P8" s="845">
        <f>P7+Table12[[#This Row],[مدين  (العهده)]]-Table12[[#This Row],[دائن  (المصروفات)]]</f>
        <v>0</v>
      </c>
    </row>
    <row r="9" spans="1:16" s="582" customFormat="1" ht="30.75" customHeight="1">
      <c r="A9" s="839">
        <v>5</v>
      </c>
      <c r="B9" s="840">
        <v>551</v>
      </c>
      <c r="C9" s="841">
        <v>42759</v>
      </c>
      <c r="D9" s="842"/>
      <c r="E9" s="841" t="s">
        <v>2114</v>
      </c>
      <c r="F9" s="843">
        <v>4</v>
      </c>
      <c r="G9" s="843">
        <v>10</v>
      </c>
      <c r="H9" s="843"/>
      <c r="I9" s="843"/>
      <c r="J9" s="843"/>
      <c r="K9" s="843"/>
      <c r="L9" s="843" t="s">
        <v>2124</v>
      </c>
      <c r="M9" s="843" t="s">
        <v>64</v>
      </c>
      <c r="N9" s="844">
        <v>2000</v>
      </c>
      <c r="O9" s="844"/>
      <c r="P9" s="845">
        <f>P8+Table12[[#This Row],[مدين  (العهده)]]-Table12[[#This Row],[دائن  (المصروفات)]]</f>
        <v>2000</v>
      </c>
    </row>
    <row r="10" spans="1:16" s="582" customFormat="1" ht="30.75" customHeight="1" thickBot="1">
      <c r="A10" s="839">
        <v>6</v>
      </c>
      <c r="B10" s="840">
        <v>552</v>
      </c>
      <c r="C10" s="841">
        <v>42759</v>
      </c>
      <c r="D10" s="842"/>
      <c r="E10" s="841" t="s">
        <v>2114</v>
      </c>
      <c r="F10" s="843">
        <v>6</v>
      </c>
      <c r="G10" s="843">
        <v>20</v>
      </c>
      <c r="H10" s="843"/>
      <c r="I10" s="843"/>
      <c r="J10" s="843"/>
      <c r="K10" s="843"/>
      <c r="L10" s="843" t="s">
        <v>2124</v>
      </c>
      <c r="M10" s="843" t="s">
        <v>64</v>
      </c>
      <c r="N10" s="844">
        <v>10000</v>
      </c>
      <c r="O10" s="844"/>
      <c r="P10" s="845">
        <f>P9+Table12[[#This Row],[مدين  (العهده)]]-Table12[[#This Row],[دائن  (المصروفات)]]</f>
        <v>12000</v>
      </c>
    </row>
    <row r="11" spans="1:16" s="582" customFormat="1" ht="30.75" customHeight="1" thickTop="1">
      <c r="A11" s="850">
        <v>7</v>
      </c>
      <c r="B11" s="840" t="s">
        <v>2187</v>
      </c>
      <c r="C11" s="841">
        <v>42760</v>
      </c>
      <c r="D11" s="842" t="s">
        <v>2132</v>
      </c>
      <c r="E11" s="841" t="s">
        <v>2114</v>
      </c>
      <c r="F11" s="843">
        <v>10</v>
      </c>
      <c r="G11" s="843" t="s">
        <v>2138</v>
      </c>
      <c r="H11" s="843"/>
      <c r="I11" s="843"/>
      <c r="J11" s="843"/>
      <c r="K11" s="843"/>
      <c r="L11" s="843" t="s">
        <v>2131</v>
      </c>
      <c r="M11" s="843" t="s">
        <v>64</v>
      </c>
      <c r="N11" s="844"/>
      <c r="O11" s="844">
        <v>12000</v>
      </c>
      <c r="P11" s="845">
        <f>P10+Table12[[#This Row],[مدين  (العهده)]]-Table12[[#This Row],[دائن  (المصروفات)]]</f>
        <v>0</v>
      </c>
    </row>
    <row r="12" spans="1:16" s="582" customFormat="1" ht="30.75" customHeight="1">
      <c r="A12" s="839">
        <v>8</v>
      </c>
      <c r="B12" s="840">
        <v>566</v>
      </c>
      <c r="C12" s="841">
        <v>42794</v>
      </c>
      <c r="D12" s="842"/>
      <c r="E12" s="841" t="s">
        <v>2114</v>
      </c>
      <c r="F12" s="843"/>
      <c r="G12" s="843"/>
      <c r="H12" s="843"/>
      <c r="I12" s="843"/>
      <c r="J12" s="843"/>
      <c r="K12" s="843"/>
      <c r="L12" s="843" t="s">
        <v>2124</v>
      </c>
      <c r="M12" s="843" t="s">
        <v>64</v>
      </c>
      <c r="N12" s="844">
        <v>8500</v>
      </c>
      <c r="O12" s="844"/>
      <c r="P12" s="845">
        <f>P11+Table12[[#This Row],[مدين  (العهده)]]-Table12[[#This Row],[دائن  (المصروفات)]]</f>
        <v>8500</v>
      </c>
    </row>
    <row r="13" spans="1:16" s="582" customFormat="1" ht="30.75" customHeight="1" thickBot="1">
      <c r="A13" s="839">
        <v>9</v>
      </c>
      <c r="B13" s="840" t="s">
        <v>2185</v>
      </c>
      <c r="C13" s="841">
        <v>42794</v>
      </c>
      <c r="D13" s="842" t="s">
        <v>2141</v>
      </c>
      <c r="E13" s="841" t="s">
        <v>2114</v>
      </c>
      <c r="F13" s="843"/>
      <c r="G13" s="843"/>
      <c r="H13" s="843"/>
      <c r="I13" s="843"/>
      <c r="J13" s="843"/>
      <c r="K13" s="843"/>
      <c r="L13" s="843" t="s">
        <v>2131</v>
      </c>
      <c r="M13" s="843" t="s">
        <v>64</v>
      </c>
      <c r="N13" s="844"/>
      <c r="O13" s="844">
        <v>8500</v>
      </c>
      <c r="P13" s="845">
        <f>P12+Table12[[#This Row],[مدين  (العهده)]]-Table12[[#This Row],[دائن  (المصروفات)]]</f>
        <v>0</v>
      </c>
    </row>
    <row r="14" spans="1:16" s="582" customFormat="1" ht="30.75" customHeight="1" thickTop="1">
      <c r="A14" s="850">
        <v>10</v>
      </c>
      <c r="B14" s="840">
        <v>601</v>
      </c>
      <c r="C14" s="841">
        <v>42858</v>
      </c>
      <c r="D14" s="842"/>
      <c r="E14" s="841" t="s">
        <v>2114</v>
      </c>
      <c r="F14" s="843">
        <v>20</v>
      </c>
      <c r="G14" s="843">
        <v>2</v>
      </c>
      <c r="H14" s="843" t="s">
        <v>2117</v>
      </c>
      <c r="I14" s="843">
        <v>580</v>
      </c>
      <c r="J14" s="843"/>
      <c r="K14" s="843"/>
      <c r="L14" s="843" t="s">
        <v>67</v>
      </c>
      <c r="M14" s="843" t="s">
        <v>63</v>
      </c>
      <c r="N14" s="844">
        <f>20*580</f>
        <v>11600</v>
      </c>
      <c r="O14" s="844"/>
      <c r="P14" s="845">
        <f>P13+Table12[[#This Row],[مدين  (العهده)]]-Table12[[#This Row],[دائن  (المصروفات)]]</f>
        <v>11600</v>
      </c>
    </row>
    <row r="15" spans="1:16" s="582" customFormat="1" ht="30.75" customHeight="1">
      <c r="A15" s="839">
        <v>11</v>
      </c>
      <c r="B15" s="840">
        <v>601</v>
      </c>
      <c r="C15" s="841">
        <v>42858</v>
      </c>
      <c r="D15" s="842"/>
      <c r="E15" s="841" t="s">
        <v>2114</v>
      </c>
      <c r="F15" s="843">
        <v>20</v>
      </c>
      <c r="G15" s="843">
        <v>4</v>
      </c>
      <c r="H15" s="843" t="s">
        <v>2117</v>
      </c>
      <c r="I15" s="843">
        <v>1000</v>
      </c>
      <c r="J15" s="843"/>
      <c r="K15" s="843"/>
      <c r="L15" s="843" t="s">
        <v>67</v>
      </c>
      <c r="M15" s="843" t="s">
        <v>63</v>
      </c>
      <c r="N15" s="844">
        <v>20000</v>
      </c>
      <c r="O15" s="844"/>
      <c r="P15" s="845">
        <f>P14+Table12[[#This Row],[مدين  (العهده)]]-Table12[[#This Row],[دائن  (المصروفات)]]</f>
        <v>31600</v>
      </c>
    </row>
    <row r="16" spans="1:16" s="582" customFormat="1" ht="30.75" customHeight="1" thickBot="1">
      <c r="A16" s="839">
        <v>12</v>
      </c>
      <c r="B16" s="840">
        <v>601</v>
      </c>
      <c r="C16" s="841">
        <v>42858</v>
      </c>
      <c r="D16" s="842"/>
      <c r="E16" s="841" t="s">
        <v>2114</v>
      </c>
      <c r="F16" s="843">
        <v>15</v>
      </c>
      <c r="G16" s="843">
        <v>6</v>
      </c>
      <c r="H16" s="843" t="s">
        <v>2117</v>
      </c>
      <c r="I16" s="843">
        <v>1200</v>
      </c>
      <c r="J16" s="843"/>
      <c r="K16" s="843"/>
      <c r="L16" s="843" t="s">
        <v>67</v>
      </c>
      <c r="M16" s="843" t="s">
        <v>63</v>
      </c>
      <c r="N16" s="844">
        <f>15*1200</f>
        <v>18000</v>
      </c>
      <c r="O16" s="844"/>
      <c r="P16" s="845">
        <f>P15+Table12[[#This Row],[مدين  (العهده)]]-Table12[[#This Row],[دائن  (المصروفات)]]</f>
        <v>49600</v>
      </c>
    </row>
    <row r="17" spans="1:16" s="582" customFormat="1" ht="30.75" customHeight="1" thickTop="1">
      <c r="A17" s="850">
        <v>13</v>
      </c>
      <c r="B17" s="840">
        <v>601</v>
      </c>
      <c r="C17" s="841">
        <v>42858</v>
      </c>
      <c r="D17" s="842"/>
      <c r="E17" s="841" t="s">
        <v>2114</v>
      </c>
      <c r="F17" s="843">
        <v>2</v>
      </c>
      <c r="G17" s="843">
        <v>6</v>
      </c>
      <c r="H17" s="843" t="s">
        <v>2118</v>
      </c>
      <c r="I17" s="843">
        <v>2200</v>
      </c>
      <c r="J17" s="843"/>
      <c r="K17" s="843"/>
      <c r="L17" s="843" t="s">
        <v>67</v>
      </c>
      <c r="M17" s="843" t="s">
        <v>63</v>
      </c>
      <c r="N17" s="844">
        <v>4400</v>
      </c>
      <c r="O17" s="844"/>
      <c r="P17" s="845">
        <f>P16+Table12[[#This Row],[مدين  (العهده)]]-Table12[[#This Row],[دائن  (المصروفات)]]</f>
        <v>54000</v>
      </c>
    </row>
    <row r="18" spans="1:16" s="582" customFormat="1" ht="30.75" customHeight="1">
      <c r="A18" s="839">
        <v>14</v>
      </c>
      <c r="B18" s="840" t="s">
        <v>2184</v>
      </c>
      <c r="C18" s="841">
        <v>42896</v>
      </c>
      <c r="D18" s="842" t="s">
        <v>55</v>
      </c>
      <c r="E18" s="841"/>
      <c r="F18" s="843">
        <v>57</v>
      </c>
      <c r="G18" s="843" t="s">
        <v>2129</v>
      </c>
      <c r="H18" s="843"/>
      <c r="I18" s="843"/>
      <c r="J18" s="843"/>
      <c r="K18" s="843"/>
      <c r="L18" s="843" t="s">
        <v>2131</v>
      </c>
      <c r="M18" s="843" t="s">
        <v>63</v>
      </c>
      <c r="N18" s="844"/>
      <c r="O18" s="844">
        <v>54000</v>
      </c>
      <c r="P18" s="845">
        <f>P17+Table12[[#This Row],[مدين  (العهده)]]-Table12[[#This Row],[دائن  (المصروفات)]]</f>
        <v>0</v>
      </c>
    </row>
    <row r="19" spans="1:16" s="582" customFormat="1" ht="30.75" customHeight="1" thickBot="1">
      <c r="A19" s="839">
        <v>15</v>
      </c>
      <c r="B19" s="840">
        <v>619</v>
      </c>
      <c r="C19" s="841">
        <v>42890</v>
      </c>
      <c r="D19" s="842"/>
      <c r="E19" s="841" t="s">
        <v>2114</v>
      </c>
      <c r="F19" s="843">
        <v>4</v>
      </c>
      <c r="G19" s="843">
        <v>6</v>
      </c>
      <c r="H19" s="843" t="s">
        <v>2117</v>
      </c>
      <c r="I19" s="843">
        <v>1200</v>
      </c>
      <c r="J19" s="843">
        <v>2700</v>
      </c>
      <c r="K19" s="843">
        <v>2703</v>
      </c>
      <c r="L19" s="843" t="s">
        <v>67</v>
      </c>
      <c r="M19" s="843" t="s">
        <v>64</v>
      </c>
      <c r="N19" s="844">
        <f>4*1200</f>
        <v>4800</v>
      </c>
      <c r="O19" s="844"/>
      <c r="P19" s="845">
        <f>P18+Table12[[#This Row],[مدين  (العهده)]]-Table12[[#This Row],[دائن  (المصروفات)]]</f>
        <v>4800</v>
      </c>
    </row>
    <row r="20" spans="1:16" s="582" customFormat="1" ht="30.75" customHeight="1" thickTop="1">
      <c r="A20" s="850">
        <v>16</v>
      </c>
      <c r="B20" s="840">
        <v>619</v>
      </c>
      <c r="C20" s="841">
        <v>42890</v>
      </c>
      <c r="D20" s="842"/>
      <c r="E20" s="841" t="s">
        <v>2114</v>
      </c>
      <c r="F20" s="843">
        <v>21</v>
      </c>
      <c r="G20" s="843">
        <v>6</v>
      </c>
      <c r="H20" s="843" t="s">
        <v>2117</v>
      </c>
      <c r="I20" s="843">
        <v>1200</v>
      </c>
      <c r="J20" s="843">
        <v>2706</v>
      </c>
      <c r="K20" s="843">
        <v>2726</v>
      </c>
      <c r="L20" s="843" t="s">
        <v>67</v>
      </c>
      <c r="M20" s="843" t="s">
        <v>64</v>
      </c>
      <c r="N20" s="844">
        <f>21*1200</f>
        <v>25200</v>
      </c>
      <c r="O20" s="844"/>
      <c r="P20" s="845">
        <f>P19+Table12[[#This Row],[مدين  (العهده)]]-Table12[[#This Row],[دائن  (المصروفات)]]</f>
        <v>30000</v>
      </c>
    </row>
    <row r="21" spans="1:16" s="582" customFormat="1" ht="30.75" customHeight="1">
      <c r="A21" s="839">
        <v>17</v>
      </c>
      <c r="B21" s="840" t="s">
        <v>2188</v>
      </c>
      <c r="C21" s="841">
        <v>42916</v>
      </c>
      <c r="D21" s="842" t="s">
        <v>55</v>
      </c>
      <c r="E21" s="841"/>
      <c r="F21" s="843">
        <v>25</v>
      </c>
      <c r="G21" s="843">
        <v>6</v>
      </c>
      <c r="H21" s="843" t="s">
        <v>2117</v>
      </c>
      <c r="I21" s="843">
        <v>1200</v>
      </c>
      <c r="J21" s="843" t="s">
        <v>2133</v>
      </c>
      <c r="K21" s="843" t="s">
        <v>2134</v>
      </c>
      <c r="L21" s="843" t="s">
        <v>2131</v>
      </c>
      <c r="M21" s="843" t="s">
        <v>64</v>
      </c>
      <c r="N21" s="844"/>
      <c r="O21" s="844">
        <v>30000</v>
      </c>
      <c r="P21" s="845">
        <f>P20+Table12[[#This Row],[مدين  (العهده)]]-Table12[[#This Row],[دائن  (المصروفات)]]</f>
        <v>0</v>
      </c>
    </row>
    <row r="22" spans="1:16" s="582" customFormat="1" ht="30.75" customHeight="1" thickBot="1">
      <c r="A22" s="839">
        <v>18</v>
      </c>
      <c r="B22" s="840">
        <v>622</v>
      </c>
      <c r="C22" s="841">
        <v>42894</v>
      </c>
      <c r="D22" s="842"/>
      <c r="E22" s="841" t="s">
        <v>2114</v>
      </c>
      <c r="F22" s="843">
        <v>25</v>
      </c>
      <c r="G22" s="843">
        <v>6</v>
      </c>
      <c r="H22" s="843" t="s">
        <v>2117</v>
      </c>
      <c r="I22" s="843">
        <v>1200</v>
      </c>
      <c r="J22" s="843">
        <v>2727</v>
      </c>
      <c r="K22" s="843">
        <v>2751</v>
      </c>
      <c r="L22" s="843" t="s">
        <v>67</v>
      </c>
      <c r="M22" s="843" t="s">
        <v>64</v>
      </c>
      <c r="N22" s="844">
        <f>25*1200</f>
        <v>30000</v>
      </c>
      <c r="O22" s="844"/>
      <c r="P22" s="845">
        <f>P21+Table12[[#This Row],[مدين  (العهده)]]-Table12[[#This Row],[دائن  (المصروفات)]]</f>
        <v>30000</v>
      </c>
    </row>
    <row r="23" spans="1:16" s="582" customFormat="1" ht="30.75" customHeight="1" thickTop="1">
      <c r="A23" s="850">
        <v>19</v>
      </c>
      <c r="B23" s="840">
        <v>629</v>
      </c>
      <c r="C23" s="841">
        <v>42903</v>
      </c>
      <c r="D23" s="842"/>
      <c r="E23" s="841" t="s">
        <v>2114</v>
      </c>
      <c r="F23" s="843">
        <v>50</v>
      </c>
      <c r="G23" s="843">
        <v>6</v>
      </c>
      <c r="H23" s="843" t="s">
        <v>2117</v>
      </c>
      <c r="I23" s="843">
        <v>1200</v>
      </c>
      <c r="J23" s="843">
        <v>2752</v>
      </c>
      <c r="K23" s="843">
        <v>2801</v>
      </c>
      <c r="L23" s="843" t="s">
        <v>67</v>
      </c>
      <c r="M23" s="843" t="s">
        <v>64</v>
      </c>
      <c r="N23" s="844">
        <f>50*1200</f>
        <v>60000</v>
      </c>
      <c r="O23" s="844"/>
      <c r="P23" s="845">
        <f>P22+Table12[[#This Row],[مدين  (العهده)]]-Table12[[#This Row],[دائن  (المصروفات)]]</f>
        <v>90000</v>
      </c>
    </row>
    <row r="24" spans="1:16" s="582" customFormat="1" ht="30.75" customHeight="1">
      <c r="A24" s="839">
        <v>20</v>
      </c>
      <c r="B24" s="840" t="s">
        <v>2189</v>
      </c>
      <c r="C24" s="841">
        <v>42945</v>
      </c>
      <c r="D24" s="842" t="s">
        <v>55</v>
      </c>
      <c r="E24" s="841"/>
      <c r="F24" s="843">
        <v>75</v>
      </c>
      <c r="G24" s="843">
        <v>6</v>
      </c>
      <c r="H24" s="843" t="s">
        <v>2117</v>
      </c>
      <c r="I24" s="843">
        <v>1200</v>
      </c>
      <c r="J24" s="843" t="s">
        <v>2135</v>
      </c>
      <c r="K24" s="843" t="s">
        <v>2136</v>
      </c>
      <c r="L24" s="843" t="s">
        <v>2131</v>
      </c>
      <c r="M24" s="843" t="s">
        <v>64</v>
      </c>
      <c r="N24" s="844"/>
      <c r="O24" s="844">
        <v>90000</v>
      </c>
      <c r="P24" s="845">
        <f>P23+Table12[[#This Row],[مدين  (العهده)]]-Table12[[#This Row],[دائن  (المصروفات)]]</f>
        <v>0</v>
      </c>
    </row>
    <row r="25" spans="1:16" s="582" customFormat="1" ht="30.75" customHeight="1" thickBot="1">
      <c r="A25" s="839">
        <v>21</v>
      </c>
      <c r="B25" s="840">
        <v>663</v>
      </c>
      <c r="C25" s="841">
        <v>42954</v>
      </c>
      <c r="D25" s="842"/>
      <c r="E25" s="841" t="s">
        <v>2114</v>
      </c>
      <c r="F25" s="843">
        <v>28</v>
      </c>
      <c r="G25" s="843">
        <v>6</v>
      </c>
      <c r="H25" s="843" t="s">
        <v>2117</v>
      </c>
      <c r="I25" s="843">
        <v>1250</v>
      </c>
      <c r="J25" s="843" t="s">
        <v>2120</v>
      </c>
      <c r="K25" s="843" t="s">
        <v>2121</v>
      </c>
      <c r="L25" s="843" t="s">
        <v>67</v>
      </c>
      <c r="M25" s="843" t="s">
        <v>2122</v>
      </c>
      <c r="N25" s="846">
        <f>28*1250</f>
        <v>35000</v>
      </c>
      <c r="O25" s="844"/>
      <c r="P25" s="845">
        <f>P24+Table12[[#This Row],[مدين  (العهده)]]-Table12[[#This Row],[دائن  (المصروفات)]]</f>
        <v>35000</v>
      </c>
    </row>
    <row r="26" spans="1:16" s="582" customFormat="1" ht="30.75" customHeight="1" thickTop="1">
      <c r="A26" s="850">
        <v>22</v>
      </c>
      <c r="B26" s="840">
        <v>670</v>
      </c>
      <c r="C26" s="841">
        <v>42960</v>
      </c>
      <c r="D26" s="842"/>
      <c r="E26" s="841" t="s">
        <v>2114</v>
      </c>
      <c r="F26" s="843">
        <v>50</v>
      </c>
      <c r="G26" s="843">
        <v>6</v>
      </c>
      <c r="H26" s="843" t="s">
        <v>2117</v>
      </c>
      <c r="I26" s="843">
        <v>1250</v>
      </c>
      <c r="J26" s="843">
        <v>2802</v>
      </c>
      <c r="K26" s="843">
        <v>2851</v>
      </c>
      <c r="L26" s="843" t="s">
        <v>67</v>
      </c>
      <c r="M26" s="843" t="s">
        <v>64</v>
      </c>
      <c r="N26" s="844">
        <v>60000</v>
      </c>
      <c r="O26" s="844"/>
      <c r="P26" s="845">
        <f>P25+Table12[[#This Row],[مدين  (العهده)]]-Table12[[#This Row],[دائن  (المصروفات)]]</f>
        <v>95000</v>
      </c>
    </row>
    <row r="27" spans="1:16" s="582" customFormat="1" ht="30.75" customHeight="1">
      <c r="A27" s="839">
        <v>23</v>
      </c>
      <c r="B27" s="840">
        <v>673</v>
      </c>
      <c r="C27" s="841">
        <v>42963</v>
      </c>
      <c r="D27" s="842"/>
      <c r="E27" s="841" t="s">
        <v>2114</v>
      </c>
      <c r="F27" s="843">
        <v>30</v>
      </c>
      <c r="G27" s="843">
        <v>2</v>
      </c>
      <c r="H27" s="843" t="s">
        <v>2117</v>
      </c>
      <c r="I27" s="843">
        <v>750</v>
      </c>
      <c r="J27" s="843">
        <v>280</v>
      </c>
      <c r="K27" s="843">
        <v>309</v>
      </c>
      <c r="L27" s="843" t="s">
        <v>67</v>
      </c>
      <c r="M27" s="843" t="s">
        <v>994</v>
      </c>
      <c r="N27" s="844">
        <f>30*750</f>
        <v>22500</v>
      </c>
      <c r="O27" s="844"/>
      <c r="P27" s="845">
        <f>P26+Table12[[#This Row],[مدين  (العهده)]]-Table12[[#This Row],[دائن  (المصروفات)]]</f>
        <v>117500</v>
      </c>
    </row>
    <row r="28" spans="1:16" s="582" customFormat="1" ht="30.75" customHeight="1" thickBot="1">
      <c r="A28" s="839">
        <v>24</v>
      </c>
      <c r="B28" s="840">
        <v>673</v>
      </c>
      <c r="C28" s="841">
        <v>42963</v>
      </c>
      <c r="D28" s="842"/>
      <c r="E28" s="841" t="s">
        <v>2114</v>
      </c>
      <c r="F28" s="843">
        <v>70</v>
      </c>
      <c r="G28" s="843">
        <v>4</v>
      </c>
      <c r="H28" s="843" t="s">
        <v>2117</v>
      </c>
      <c r="I28" s="843">
        <v>1000</v>
      </c>
      <c r="J28" s="843">
        <v>234</v>
      </c>
      <c r="K28" s="843">
        <v>279</v>
      </c>
      <c r="L28" s="843" t="s">
        <v>67</v>
      </c>
      <c r="M28" s="843" t="s">
        <v>994</v>
      </c>
      <c r="N28" s="844">
        <f>70*1000</f>
        <v>70000</v>
      </c>
      <c r="O28" s="844"/>
      <c r="P28" s="845">
        <f>P27+Table12[[#This Row],[مدين  (العهده)]]-Table12[[#This Row],[دائن  (المصروفات)]]</f>
        <v>187500</v>
      </c>
    </row>
    <row r="29" spans="1:16" s="582" customFormat="1" ht="30.75" customHeight="1" thickTop="1">
      <c r="A29" s="850">
        <v>25</v>
      </c>
      <c r="B29" s="840">
        <v>673</v>
      </c>
      <c r="C29" s="841">
        <v>42963</v>
      </c>
      <c r="D29" s="842"/>
      <c r="E29" s="841" t="s">
        <v>2114</v>
      </c>
      <c r="F29" s="843">
        <v>10</v>
      </c>
      <c r="G29" s="843">
        <v>10</v>
      </c>
      <c r="H29" s="843" t="s">
        <v>2117</v>
      </c>
      <c r="I29" s="843">
        <v>1250</v>
      </c>
      <c r="J29" s="843">
        <v>224</v>
      </c>
      <c r="K29" s="843">
        <v>233</v>
      </c>
      <c r="L29" s="843" t="s">
        <v>67</v>
      </c>
      <c r="M29" s="843" t="s">
        <v>994</v>
      </c>
      <c r="N29" s="844">
        <f>10*1250</f>
        <v>12500</v>
      </c>
      <c r="O29" s="844"/>
      <c r="P29" s="845">
        <f>P28+Table12[[#This Row],[مدين  (العهده)]]-Table12[[#This Row],[دائن  (المصروفات)]]</f>
        <v>200000</v>
      </c>
    </row>
    <row r="30" spans="1:16" s="582" customFormat="1" ht="30.75" customHeight="1">
      <c r="A30" s="839">
        <v>26</v>
      </c>
      <c r="B30" s="840" t="s">
        <v>2190</v>
      </c>
      <c r="C30" s="841">
        <v>42975</v>
      </c>
      <c r="D30" s="842" t="s">
        <v>1813</v>
      </c>
      <c r="E30" s="841"/>
      <c r="F30" s="843">
        <v>50</v>
      </c>
      <c r="G30" s="843">
        <v>6</v>
      </c>
      <c r="H30" s="843" t="s">
        <v>2117</v>
      </c>
      <c r="I30" s="843"/>
      <c r="J30" s="843"/>
      <c r="K30" s="843"/>
      <c r="L30" s="843" t="s">
        <v>2131</v>
      </c>
      <c r="M30" s="843" t="s">
        <v>64</v>
      </c>
      <c r="N30" s="844"/>
      <c r="O30" s="844">
        <f>50*1200</f>
        <v>60000</v>
      </c>
      <c r="P30" s="845">
        <f>P29+Table12[[#This Row],[مدين  (العهده)]]-Table12[[#This Row],[دائن  (المصروفات)]]</f>
        <v>140000</v>
      </c>
    </row>
    <row r="31" spans="1:16" s="582" customFormat="1" ht="30.75" customHeight="1" thickBot="1">
      <c r="A31" s="839">
        <v>27</v>
      </c>
      <c r="B31" s="840" t="s">
        <v>2183</v>
      </c>
      <c r="C31" s="841"/>
      <c r="D31" s="842"/>
      <c r="E31" s="841"/>
      <c r="F31" s="843"/>
      <c r="G31" s="843"/>
      <c r="H31" s="843"/>
      <c r="I31" s="843"/>
      <c r="J31" s="843"/>
      <c r="K31" s="843"/>
      <c r="L31" s="843" t="s">
        <v>2131</v>
      </c>
      <c r="M31" s="843" t="s">
        <v>2122</v>
      </c>
      <c r="N31" s="844"/>
      <c r="O31" s="846">
        <v>35000</v>
      </c>
      <c r="P31" s="845">
        <f>P30+Table12[[#This Row],[مدين  (العهده)]]-Table12[[#This Row],[دائن  (المصروفات)]]</f>
        <v>105000</v>
      </c>
    </row>
    <row r="32" spans="1:16" s="582" customFormat="1" ht="30.75" customHeight="1" thickTop="1">
      <c r="A32" s="850">
        <v>28</v>
      </c>
      <c r="B32" s="840" t="s">
        <v>2191</v>
      </c>
      <c r="C32" s="841">
        <v>42963</v>
      </c>
      <c r="D32" s="842" t="s">
        <v>1874</v>
      </c>
      <c r="E32" s="841"/>
      <c r="F32" s="843">
        <v>110</v>
      </c>
      <c r="G32" s="843">
        <v>2</v>
      </c>
      <c r="H32" s="843" t="s">
        <v>2117</v>
      </c>
      <c r="I32" s="843">
        <v>750</v>
      </c>
      <c r="J32" s="843"/>
      <c r="K32" s="843"/>
      <c r="L32" s="843" t="s">
        <v>2131</v>
      </c>
      <c r="M32" s="843" t="s">
        <v>994</v>
      </c>
      <c r="N32" s="844"/>
      <c r="O32" s="844">
        <v>105000</v>
      </c>
      <c r="P32" s="845">
        <f>P31+Table12[[#This Row],[مدين  (العهده)]]-Table12[[#This Row],[دائن  (المصروفات)]]</f>
        <v>0</v>
      </c>
    </row>
    <row r="33" spans="1:16" s="582" customFormat="1" ht="30.75" customHeight="1">
      <c r="A33" s="839">
        <v>29</v>
      </c>
      <c r="B33" s="840">
        <v>705</v>
      </c>
      <c r="C33" s="841">
        <v>43031</v>
      </c>
      <c r="D33" s="842"/>
      <c r="E33" s="841" t="s">
        <v>2114</v>
      </c>
      <c r="F33" s="843">
        <v>1</v>
      </c>
      <c r="G33" s="843">
        <v>20</v>
      </c>
      <c r="H33" s="843" t="s">
        <v>2117</v>
      </c>
      <c r="I33" s="843">
        <v>900</v>
      </c>
      <c r="J33" s="843">
        <v>112</v>
      </c>
      <c r="K33" s="843" t="s">
        <v>2119</v>
      </c>
      <c r="L33" s="843" t="s">
        <v>2124</v>
      </c>
      <c r="M33" s="843" t="s">
        <v>64</v>
      </c>
      <c r="N33" s="844">
        <v>900</v>
      </c>
      <c r="O33" s="844"/>
      <c r="P33" s="845">
        <f>P32+Table12[[#This Row],[مدين  (العهده)]]-Table12[[#This Row],[دائن  (المصروفات)]]</f>
        <v>900</v>
      </c>
    </row>
    <row r="34" spans="1:16" s="582" customFormat="1" ht="30.75" customHeight="1" thickBot="1">
      <c r="A34" s="839">
        <v>30</v>
      </c>
      <c r="B34" s="840">
        <v>705</v>
      </c>
      <c r="C34" s="841">
        <v>43031</v>
      </c>
      <c r="D34" s="842"/>
      <c r="E34" s="841" t="s">
        <v>2114</v>
      </c>
      <c r="F34" s="843">
        <v>3</v>
      </c>
      <c r="G34" s="843">
        <v>20</v>
      </c>
      <c r="H34" s="843" t="s">
        <v>2117</v>
      </c>
      <c r="I34" s="843">
        <v>300</v>
      </c>
      <c r="J34" s="843" t="s">
        <v>2125</v>
      </c>
      <c r="K34" s="843" t="s">
        <v>2119</v>
      </c>
      <c r="L34" s="843" t="s">
        <v>2124</v>
      </c>
      <c r="M34" s="843" t="s">
        <v>64</v>
      </c>
      <c r="N34" s="844">
        <f>3*300</f>
        <v>900</v>
      </c>
      <c r="O34" s="844"/>
      <c r="P34" s="845">
        <f>P33+Table12[[#This Row],[مدين  (العهده)]]-Table12[[#This Row],[دائن  (المصروفات)]]</f>
        <v>1800</v>
      </c>
    </row>
    <row r="35" spans="1:16" s="582" customFormat="1" ht="30.75" customHeight="1" thickTop="1">
      <c r="A35" s="850">
        <v>31</v>
      </c>
      <c r="B35" s="840">
        <v>705</v>
      </c>
      <c r="C35" s="841">
        <v>43031</v>
      </c>
      <c r="D35" s="842"/>
      <c r="E35" s="841" t="s">
        <v>2114</v>
      </c>
      <c r="F35" s="843">
        <v>3</v>
      </c>
      <c r="G35" s="843">
        <v>20</v>
      </c>
      <c r="H35" s="843" t="s">
        <v>2117</v>
      </c>
      <c r="I35" s="843">
        <v>300</v>
      </c>
      <c r="J35" s="843" t="s">
        <v>2126</v>
      </c>
      <c r="K35" s="843" t="s">
        <v>2119</v>
      </c>
      <c r="L35" s="843" t="s">
        <v>2124</v>
      </c>
      <c r="M35" s="843" t="s">
        <v>64</v>
      </c>
      <c r="N35" s="844">
        <f>3*300</f>
        <v>900</v>
      </c>
      <c r="O35" s="844"/>
      <c r="P35" s="845">
        <f>P34+Table12[[#This Row],[مدين  (العهده)]]-Table12[[#This Row],[دائن  (المصروفات)]]</f>
        <v>2700</v>
      </c>
    </row>
    <row r="36" spans="1:16" s="582" customFormat="1" ht="30.75" customHeight="1">
      <c r="A36" s="839">
        <v>32</v>
      </c>
      <c r="B36" s="840">
        <v>705</v>
      </c>
      <c r="C36" s="841">
        <v>43031</v>
      </c>
      <c r="D36" s="842"/>
      <c r="E36" s="841" t="s">
        <v>2114</v>
      </c>
      <c r="F36" s="843">
        <v>3</v>
      </c>
      <c r="G36" s="843">
        <v>20</v>
      </c>
      <c r="H36" s="843" t="s">
        <v>2117</v>
      </c>
      <c r="I36" s="843">
        <v>800</v>
      </c>
      <c r="J36" s="843" t="s">
        <v>2127</v>
      </c>
      <c r="K36" s="843" t="s">
        <v>2119</v>
      </c>
      <c r="L36" s="843" t="s">
        <v>2124</v>
      </c>
      <c r="M36" s="843" t="s">
        <v>64</v>
      </c>
      <c r="N36" s="844">
        <f>800*3</f>
        <v>2400</v>
      </c>
      <c r="O36" s="844"/>
      <c r="P36" s="845">
        <f>P35+Table12[[#This Row],[مدين  (العهده)]]-Table12[[#This Row],[دائن  (المصروفات)]]</f>
        <v>5100</v>
      </c>
    </row>
    <row r="37" spans="1:16" s="582" customFormat="1" ht="30.75" customHeight="1" thickBot="1">
      <c r="A37" s="839">
        <v>33</v>
      </c>
      <c r="B37" s="840">
        <v>712</v>
      </c>
      <c r="C37" s="841">
        <v>43044</v>
      </c>
      <c r="D37" s="842"/>
      <c r="E37" s="841" t="s">
        <v>2114</v>
      </c>
      <c r="F37" s="843">
        <v>2</v>
      </c>
      <c r="G37" s="843">
        <v>6</v>
      </c>
      <c r="H37" s="843" t="s">
        <v>2118</v>
      </c>
      <c r="I37" s="843">
        <v>450</v>
      </c>
      <c r="J37" s="843" t="s">
        <v>2130</v>
      </c>
      <c r="K37" s="843"/>
      <c r="L37" s="843" t="s">
        <v>2124</v>
      </c>
      <c r="M37" s="843" t="s">
        <v>64</v>
      </c>
      <c r="N37" s="844">
        <v>900</v>
      </c>
      <c r="O37" s="844"/>
      <c r="P37" s="845">
        <f>P36+Table12[[#This Row],[مدين  (العهده)]]-Table12[[#This Row],[دائن  (المصروفات)]]</f>
        <v>6000</v>
      </c>
    </row>
    <row r="38" spans="1:16" s="582" customFormat="1" ht="30.75" customHeight="1" thickTop="1">
      <c r="A38" s="850">
        <v>34</v>
      </c>
      <c r="B38" s="840">
        <v>713</v>
      </c>
      <c r="C38" s="841">
        <v>43044</v>
      </c>
      <c r="D38" s="842"/>
      <c r="E38" s="841" t="s">
        <v>2114</v>
      </c>
      <c r="F38" s="843">
        <v>1</v>
      </c>
      <c r="G38" s="843">
        <v>20</v>
      </c>
      <c r="H38" s="843" t="s">
        <v>2117</v>
      </c>
      <c r="I38" s="843">
        <v>400</v>
      </c>
      <c r="J38" s="843">
        <v>13</v>
      </c>
      <c r="K38" s="843" t="s">
        <v>2119</v>
      </c>
      <c r="L38" s="843" t="s">
        <v>2124</v>
      </c>
      <c r="M38" s="843" t="s">
        <v>64</v>
      </c>
      <c r="N38" s="844">
        <v>400</v>
      </c>
      <c r="O38" s="844"/>
      <c r="P38" s="845">
        <f>P37+Table12[[#This Row],[مدين  (العهده)]]-Table12[[#This Row],[دائن  (المصروفات)]]</f>
        <v>6400</v>
      </c>
    </row>
    <row r="39" spans="1:16" s="582" customFormat="1" ht="30.75" customHeight="1">
      <c r="A39" s="839">
        <v>35</v>
      </c>
      <c r="B39" s="840">
        <v>713</v>
      </c>
      <c r="C39" s="841">
        <v>43044</v>
      </c>
      <c r="D39" s="842"/>
      <c r="E39" s="841" t="s">
        <v>2114</v>
      </c>
      <c r="F39" s="843">
        <v>1</v>
      </c>
      <c r="G39" s="843">
        <v>20</v>
      </c>
      <c r="H39" s="843" t="s">
        <v>2117</v>
      </c>
      <c r="I39" s="843">
        <v>300</v>
      </c>
      <c r="J39" s="843">
        <v>14</v>
      </c>
      <c r="K39" s="843" t="s">
        <v>2119</v>
      </c>
      <c r="L39" s="843" t="s">
        <v>2124</v>
      </c>
      <c r="M39" s="843" t="s">
        <v>64</v>
      </c>
      <c r="N39" s="844">
        <v>300</v>
      </c>
      <c r="O39" s="844"/>
      <c r="P39" s="845">
        <f>P38+Table12[[#This Row],[مدين  (العهده)]]-Table12[[#This Row],[دائن  (المصروفات)]]</f>
        <v>6700</v>
      </c>
    </row>
    <row r="40" spans="1:16" s="582" customFormat="1" ht="30.75" customHeight="1" thickBot="1">
      <c r="A40" s="839">
        <v>36</v>
      </c>
      <c r="B40" s="840">
        <v>713</v>
      </c>
      <c r="C40" s="841">
        <v>43044</v>
      </c>
      <c r="D40" s="842"/>
      <c r="E40" s="841" t="s">
        <v>2114</v>
      </c>
      <c r="F40" s="843">
        <v>1</v>
      </c>
      <c r="G40" s="843">
        <v>20</v>
      </c>
      <c r="H40" s="843" t="s">
        <v>2117</v>
      </c>
      <c r="I40" s="843">
        <v>900</v>
      </c>
      <c r="J40" s="843">
        <v>97</v>
      </c>
      <c r="K40" s="843" t="s">
        <v>2119</v>
      </c>
      <c r="L40" s="843" t="s">
        <v>2124</v>
      </c>
      <c r="M40" s="843" t="s">
        <v>64</v>
      </c>
      <c r="N40" s="844">
        <v>900</v>
      </c>
      <c r="O40" s="844"/>
      <c r="P40" s="845">
        <f>P39+Table12[[#This Row],[مدين  (العهده)]]-Table12[[#This Row],[دائن  (المصروفات)]]</f>
        <v>7600</v>
      </c>
    </row>
    <row r="41" spans="1:16" s="582" customFormat="1" ht="30.75" customHeight="1" thickTop="1">
      <c r="A41" s="850">
        <v>37</v>
      </c>
      <c r="B41" s="840">
        <v>713</v>
      </c>
      <c r="C41" s="841">
        <v>43044</v>
      </c>
      <c r="D41" s="842"/>
      <c r="E41" s="841" t="s">
        <v>2114</v>
      </c>
      <c r="F41" s="843">
        <v>3</v>
      </c>
      <c r="G41" s="843">
        <v>20</v>
      </c>
      <c r="H41" s="843" t="s">
        <v>2117</v>
      </c>
      <c r="I41" s="843">
        <v>800</v>
      </c>
      <c r="J41" s="843" t="s">
        <v>2128</v>
      </c>
      <c r="K41" s="843" t="s">
        <v>2119</v>
      </c>
      <c r="L41" s="843" t="s">
        <v>2124</v>
      </c>
      <c r="M41" s="843" t="s">
        <v>64</v>
      </c>
      <c r="N41" s="844">
        <f>800*3</f>
        <v>2400</v>
      </c>
      <c r="O41" s="844"/>
      <c r="P41" s="845">
        <f>P40+Table12[[#This Row],[مدين  (العهده)]]-Table12[[#This Row],[دائن  (المصروفات)]]</f>
        <v>10000</v>
      </c>
    </row>
    <row r="42" spans="1:16" s="582" customFormat="1" ht="30.75" customHeight="1">
      <c r="A42" s="839">
        <v>38</v>
      </c>
      <c r="B42" s="840">
        <v>713</v>
      </c>
      <c r="C42" s="841">
        <v>43044</v>
      </c>
      <c r="D42" s="842"/>
      <c r="E42" s="841" t="s">
        <v>2114</v>
      </c>
      <c r="F42" s="843">
        <v>1</v>
      </c>
      <c r="G42" s="843">
        <v>20</v>
      </c>
      <c r="H42" s="843" t="s">
        <v>2117</v>
      </c>
      <c r="I42" s="843">
        <v>850</v>
      </c>
      <c r="J42" s="843">
        <v>84</v>
      </c>
      <c r="K42" s="843" t="s">
        <v>2119</v>
      </c>
      <c r="L42" s="843" t="s">
        <v>2124</v>
      </c>
      <c r="M42" s="843" t="s">
        <v>64</v>
      </c>
      <c r="N42" s="844">
        <v>850</v>
      </c>
      <c r="O42" s="844"/>
      <c r="P42" s="845">
        <f>P41+Table12[[#This Row],[مدين  (العهده)]]-Table12[[#This Row],[دائن  (المصروفات)]]</f>
        <v>10850</v>
      </c>
    </row>
    <row r="43" spans="1:16" s="582" customFormat="1" ht="30.75" customHeight="1" thickBot="1">
      <c r="A43" s="839">
        <v>39</v>
      </c>
      <c r="B43" s="840" t="s">
        <v>2192</v>
      </c>
      <c r="C43" s="841">
        <v>43031</v>
      </c>
      <c r="D43" s="842" t="s">
        <v>2137</v>
      </c>
      <c r="E43" s="841"/>
      <c r="F43" s="843">
        <v>10</v>
      </c>
      <c r="G43" s="843">
        <v>20</v>
      </c>
      <c r="H43" s="843"/>
      <c r="I43" s="843"/>
      <c r="J43" s="843"/>
      <c r="K43" s="843"/>
      <c r="L43" s="843" t="s">
        <v>2131</v>
      </c>
      <c r="M43" s="843" t="s">
        <v>64</v>
      </c>
      <c r="N43" s="844"/>
      <c r="O43" s="844">
        <v>5100</v>
      </c>
      <c r="P43" s="845">
        <f>P42+Table12[[#This Row],[مدين  (العهده)]]-Table12[[#This Row],[دائن  (المصروفات)]]</f>
        <v>5750</v>
      </c>
    </row>
    <row r="44" spans="1:16" s="582" customFormat="1" ht="30.75" customHeight="1" thickTop="1">
      <c r="A44" s="850">
        <v>40</v>
      </c>
      <c r="B44" s="840" t="s">
        <v>2193</v>
      </c>
      <c r="C44" s="841">
        <v>43051</v>
      </c>
      <c r="D44" s="842" t="s">
        <v>1591</v>
      </c>
      <c r="E44" s="841"/>
      <c r="F44" s="843">
        <v>9</v>
      </c>
      <c r="G44" s="843"/>
      <c r="H44" s="843"/>
      <c r="I44" s="843"/>
      <c r="J44" s="843"/>
      <c r="K44" s="843"/>
      <c r="L44" s="843" t="s">
        <v>2131</v>
      </c>
      <c r="M44" s="843" t="s">
        <v>64</v>
      </c>
      <c r="N44" s="844"/>
      <c r="O44" s="844">
        <v>5750</v>
      </c>
      <c r="P44" s="845">
        <f>P43+Table12[[#This Row],[مدين  (العهده)]]-Table12[[#This Row],[دائن  (المصروفات)]]</f>
        <v>0</v>
      </c>
    </row>
    <row r="45" spans="1:16" s="582" customFormat="1" ht="30.75" customHeight="1">
      <c r="A45" s="839">
        <v>41</v>
      </c>
      <c r="B45" s="840">
        <v>728</v>
      </c>
      <c r="C45" s="841">
        <v>43068</v>
      </c>
      <c r="D45" s="842"/>
      <c r="E45" s="841" t="s">
        <v>2114</v>
      </c>
      <c r="F45" s="843">
        <v>10</v>
      </c>
      <c r="G45" s="843">
        <v>20</v>
      </c>
      <c r="H45" s="843" t="s">
        <v>2117</v>
      </c>
      <c r="I45" s="843" t="s">
        <v>2129</v>
      </c>
      <c r="J45" s="843" t="s">
        <v>2119</v>
      </c>
      <c r="K45" s="843" t="s">
        <v>2119</v>
      </c>
      <c r="L45" s="843" t="s">
        <v>2124</v>
      </c>
      <c r="M45" s="843" t="s">
        <v>64</v>
      </c>
      <c r="N45" s="844">
        <v>6150</v>
      </c>
      <c r="O45" s="844"/>
      <c r="P45" s="845">
        <f>P44+Table12[[#This Row],[مدين  (العهده)]]-Table12[[#This Row],[دائن  (المصروفات)]]</f>
        <v>6150</v>
      </c>
    </row>
    <row r="46" spans="1:16" s="582" customFormat="1" ht="30.75" customHeight="1" thickBot="1">
      <c r="A46" s="839">
        <v>42</v>
      </c>
      <c r="B46" s="840">
        <v>729</v>
      </c>
      <c r="C46" s="841">
        <v>43068</v>
      </c>
      <c r="D46" s="842"/>
      <c r="E46" s="841" t="s">
        <v>2114</v>
      </c>
      <c r="F46" s="843">
        <v>4</v>
      </c>
      <c r="G46" s="843"/>
      <c r="H46" s="843"/>
      <c r="I46" s="843"/>
      <c r="J46" s="843"/>
      <c r="K46" s="843"/>
      <c r="L46" s="843" t="s">
        <v>2124</v>
      </c>
      <c r="M46" s="843" t="s">
        <v>64</v>
      </c>
      <c r="N46" s="844">
        <v>1750</v>
      </c>
      <c r="O46" s="844"/>
      <c r="P46" s="845">
        <f>P45+Table12[[#This Row],[مدين  (العهده)]]-Table12[[#This Row],[دائن  (المصروفات)]]</f>
        <v>7900</v>
      </c>
    </row>
    <row r="47" spans="1:16" s="582" customFormat="1" ht="30.75" customHeight="1" thickTop="1">
      <c r="A47" s="850">
        <v>43</v>
      </c>
      <c r="B47" s="840" t="s">
        <v>2194</v>
      </c>
      <c r="C47" s="841">
        <v>43074</v>
      </c>
      <c r="D47" s="842" t="s">
        <v>2139</v>
      </c>
      <c r="E47" s="841" t="s">
        <v>2140</v>
      </c>
      <c r="F47" s="843">
        <v>5</v>
      </c>
      <c r="G47" s="843"/>
      <c r="H47" s="843"/>
      <c r="I47" s="843"/>
      <c r="J47" s="843"/>
      <c r="K47" s="843"/>
      <c r="L47" s="843" t="s">
        <v>2131</v>
      </c>
      <c r="M47" s="843" t="s">
        <v>64</v>
      </c>
      <c r="N47" s="844"/>
      <c r="O47" s="844">
        <v>5000</v>
      </c>
      <c r="P47" s="845">
        <f>P46+Table12[[#This Row],[مدين  (العهده)]]-Table12[[#This Row],[دائن  (المصروفات)]]</f>
        <v>2900</v>
      </c>
    </row>
    <row r="48" spans="1:16" s="582" customFormat="1" ht="30.75" customHeight="1">
      <c r="A48" s="839">
        <v>44</v>
      </c>
      <c r="B48" s="840">
        <v>742</v>
      </c>
      <c r="C48" s="841">
        <v>43083</v>
      </c>
      <c r="D48" s="842" t="s">
        <v>2182</v>
      </c>
      <c r="E48" s="841"/>
      <c r="F48" s="843"/>
      <c r="G48" s="843"/>
      <c r="H48" s="843"/>
      <c r="I48" s="843"/>
      <c r="J48" s="843"/>
      <c r="K48" s="843"/>
      <c r="L48" s="843" t="s">
        <v>2124</v>
      </c>
      <c r="M48" s="843" t="s">
        <v>64</v>
      </c>
      <c r="N48" s="844">
        <v>1277</v>
      </c>
      <c r="O48" s="844"/>
      <c r="P48" s="845">
        <f>P47+Table12[[#This Row],[مدين  (العهده)]]-Table12[[#This Row],[دائن  (المصروفات)]]</f>
        <v>4177</v>
      </c>
    </row>
    <row r="49" spans="1:16" s="582" customFormat="1" ht="30.75" customHeight="1" thickBot="1">
      <c r="A49" s="839">
        <v>45</v>
      </c>
      <c r="B49" s="840">
        <v>743</v>
      </c>
      <c r="C49" s="841">
        <v>43085</v>
      </c>
      <c r="D49" s="842"/>
      <c r="E49" s="841"/>
      <c r="F49" s="843">
        <v>47</v>
      </c>
      <c r="G49" s="843">
        <v>2</v>
      </c>
      <c r="H49" s="843" t="s">
        <v>2117</v>
      </c>
      <c r="I49" s="843">
        <v>750</v>
      </c>
      <c r="J49" s="843">
        <v>2873</v>
      </c>
      <c r="K49" s="843">
        <v>2919</v>
      </c>
      <c r="L49" s="843" t="s">
        <v>67</v>
      </c>
      <c r="M49" s="843" t="s">
        <v>64</v>
      </c>
      <c r="N49" s="844">
        <v>35250</v>
      </c>
      <c r="O49" s="844"/>
      <c r="P49" s="845">
        <f>P48+Table12[[#This Row],[مدين  (العهده)]]-Table12[[#This Row],[دائن  (المصروفات)]]</f>
        <v>39427</v>
      </c>
    </row>
    <row r="50" spans="1:16" s="582" customFormat="1" ht="30.75" customHeight="1" thickTop="1">
      <c r="A50" s="850">
        <v>46</v>
      </c>
      <c r="B50" s="840" t="s">
        <v>2195</v>
      </c>
      <c r="C50" s="841">
        <v>43094</v>
      </c>
      <c r="D50" s="842" t="s">
        <v>2182</v>
      </c>
      <c r="E50" s="841"/>
      <c r="F50" s="843"/>
      <c r="G50" s="843"/>
      <c r="H50" s="843"/>
      <c r="I50" s="843"/>
      <c r="J50" s="843"/>
      <c r="K50" s="843"/>
      <c r="L50" s="843" t="s">
        <v>2131</v>
      </c>
      <c r="M50" s="843" t="s">
        <v>64</v>
      </c>
      <c r="N50" s="844"/>
      <c r="O50" s="844">
        <v>20000</v>
      </c>
      <c r="P50" s="845">
        <f>P49+Table12[[#This Row],[مدين  (العهده)]]-Table12[[#This Row],[دائن  (المصروفات)]]</f>
        <v>19427</v>
      </c>
    </row>
    <row r="51" spans="1:16" s="582" customFormat="1" ht="30.75" customHeight="1">
      <c r="A51" s="839">
        <v>47</v>
      </c>
      <c r="B51" s="840">
        <v>770</v>
      </c>
      <c r="C51" s="841"/>
      <c r="D51" s="842"/>
      <c r="E51" s="841"/>
      <c r="F51" s="843">
        <v>50</v>
      </c>
      <c r="G51" s="843">
        <v>6</v>
      </c>
      <c r="H51" s="843" t="s">
        <v>2117</v>
      </c>
      <c r="I51" s="843">
        <v>1200</v>
      </c>
      <c r="J51" s="843">
        <v>2920</v>
      </c>
      <c r="K51" s="843">
        <v>2944</v>
      </c>
      <c r="L51" s="843" t="s">
        <v>67</v>
      </c>
      <c r="M51" s="843" t="s">
        <v>64</v>
      </c>
      <c r="N51" s="844">
        <v>60000</v>
      </c>
      <c r="O51" s="844"/>
      <c r="P51" s="845">
        <f>P50+Table12[[#This Row],[مدين  (العهده)]]-Table12[[#This Row],[دائن  (المصروفات)]]</f>
        <v>79427</v>
      </c>
    </row>
    <row r="52" spans="1:16" s="582" customFormat="1" ht="30.75" customHeight="1">
      <c r="A52" s="839">
        <v>48</v>
      </c>
      <c r="B52" s="840" t="s">
        <v>2196</v>
      </c>
      <c r="C52" s="841">
        <v>43100</v>
      </c>
      <c r="D52" s="842" t="s">
        <v>2197</v>
      </c>
      <c r="E52" s="841"/>
      <c r="F52" s="843"/>
      <c r="G52" s="843"/>
      <c r="H52" s="843"/>
      <c r="I52" s="843"/>
      <c r="J52" s="843"/>
      <c r="K52" s="843"/>
      <c r="L52" s="843" t="s">
        <v>2131</v>
      </c>
      <c r="M52" s="843" t="s">
        <v>64</v>
      </c>
      <c r="N52" s="844"/>
      <c r="O52" s="844">
        <v>19427</v>
      </c>
      <c r="P52" s="845">
        <f>P51+Table12[[#This Row],[مدين  (العهده)]]-Table12[[#This Row],[دائن  (المصروفات)]]</f>
        <v>60000</v>
      </c>
    </row>
    <row r="53" spans="1:16" s="582" customFormat="1" ht="24.95" customHeight="1" thickBot="1">
      <c r="A53" s="720"/>
      <c r="D53" s="604"/>
    </row>
    <row r="54" spans="1:16" s="582" customFormat="1" ht="47.25" customHeight="1" thickTop="1" thickBot="1">
      <c r="A54" s="725" t="s">
        <v>1608</v>
      </c>
      <c r="B54" s="726"/>
      <c r="C54" s="726"/>
      <c r="D54" s="726"/>
      <c r="E54" s="726"/>
      <c r="F54" s="726"/>
      <c r="G54" s="726"/>
      <c r="H54" s="726"/>
      <c r="I54" s="726"/>
      <c r="J54" s="726"/>
      <c r="K54" s="726"/>
      <c r="L54" s="717"/>
      <c r="M54" s="717"/>
      <c r="N54" s="605">
        <f>SUBTOTAL(9,Table12[مدين  (العهده)])</f>
        <v>517077</v>
      </c>
      <c r="O54" s="605">
        <f>SUBTOTAL(9,Table12[دائن  (المصروفات)])</f>
        <v>457077</v>
      </c>
      <c r="P54" s="606">
        <f>N54-O54</f>
        <v>60000</v>
      </c>
    </row>
    <row r="55" spans="1:16" s="582" customFormat="1" ht="76.5" customHeight="1" thickTop="1">
      <c r="A55" s="720"/>
      <c r="D55" s="604"/>
    </row>
    <row r="56" spans="1:16" s="582" customFormat="1" ht="24.95" customHeight="1">
      <c r="A56" s="720"/>
      <c r="D56" s="604"/>
      <c r="N56" s="727" t="s">
        <v>1609</v>
      </c>
      <c r="O56" s="728"/>
      <c r="P56" s="728"/>
    </row>
    <row r="57" spans="1:16" s="582" customFormat="1" ht="24.95" customHeight="1">
      <c r="A57" s="720"/>
      <c r="D57" s="604"/>
      <c r="N57" s="728"/>
      <c r="O57" s="728"/>
      <c r="P57" s="728"/>
    </row>
    <row r="58" spans="1:16" s="582" customFormat="1" ht="24.95" customHeight="1">
      <c r="A58" s="720"/>
      <c r="D58" s="604"/>
    </row>
    <row r="59" spans="1:16" s="582" customFormat="1" ht="24.95" customHeight="1">
      <c r="A59" s="720"/>
      <c r="D59" s="604"/>
    </row>
    <row r="60" spans="1:16" s="582" customFormat="1" ht="24.95" customHeight="1">
      <c r="A60" s="720"/>
      <c r="D60" s="604"/>
    </row>
    <row r="61" spans="1:16" s="582" customFormat="1" ht="24.95" customHeight="1">
      <c r="A61" s="720"/>
      <c r="D61" s="604"/>
    </row>
    <row r="62" spans="1:16" s="582" customFormat="1" ht="24.95" customHeight="1">
      <c r="A62" s="720"/>
    </row>
    <row r="63" spans="1:16" s="582" customFormat="1" ht="24.95" customHeight="1">
      <c r="A63" s="720"/>
    </row>
    <row r="64" spans="1:16" s="582" customFormat="1" ht="24.95" customHeight="1">
      <c r="A64" s="720"/>
    </row>
    <row r="65" spans="1:1" s="582" customFormat="1" ht="24.95" customHeight="1">
      <c r="A65" s="720"/>
    </row>
    <row r="66" spans="1:1" s="582" customFormat="1" ht="24.95" customHeight="1">
      <c r="A66" s="720"/>
    </row>
    <row r="67" spans="1:1" s="582" customFormat="1" ht="24.95" customHeight="1">
      <c r="A67" s="720"/>
    </row>
    <row r="68" spans="1:1" s="582" customFormat="1" ht="24.95" customHeight="1">
      <c r="A68" s="720"/>
    </row>
    <row r="69" spans="1:1" s="582" customFormat="1" ht="24.95" customHeight="1">
      <c r="A69" s="720"/>
    </row>
    <row r="70" spans="1:1" s="582" customFormat="1" ht="24.95" customHeight="1">
      <c r="A70" s="720"/>
    </row>
    <row r="71" spans="1:1" s="582" customFormat="1" ht="24.95" customHeight="1">
      <c r="A71" s="720"/>
    </row>
    <row r="72" spans="1:1" s="582" customFormat="1" ht="24.95" customHeight="1">
      <c r="A72" s="720"/>
    </row>
    <row r="73" spans="1:1" s="582" customFormat="1" ht="24.95" customHeight="1">
      <c r="A73" s="720"/>
    </row>
    <row r="74" spans="1:1" s="582" customFormat="1" ht="24.95" customHeight="1">
      <c r="A74" s="720"/>
    </row>
    <row r="75" spans="1:1" s="582" customFormat="1" ht="24.95" customHeight="1">
      <c r="A75" s="720"/>
    </row>
    <row r="76" spans="1:1" s="582" customFormat="1" ht="24.95" customHeight="1">
      <c r="A76" s="720"/>
    </row>
    <row r="77" spans="1:1" s="582" customFormat="1" ht="24.95" customHeight="1">
      <c r="A77" s="720"/>
    </row>
    <row r="78" spans="1:1" s="582" customFormat="1" ht="24.95" customHeight="1">
      <c r="A78" s="720"/>
    </row>
    <row r="79" spans="1:1" s="582" customFormat="1" ht="24.95" customHeight="1">
      <c r="A79" s="720"/>
    </row>
    <row r="80" spans="1:1" s="582" customFormat="1" ht="24.95" customHeight="1">
      <c r="A80" s="720"/>
    </row>
    <row r="81" spans="1:1" s="582" customFormat="1" ht="24.95" customHeight="1">
      <c r="A81" s="720"/>
    </row>
    <row r="82" spans="1:1" s="582" customFormat="1" ht="24.95" customHeight="1">
      <c r="A82" s="720"/>
    </row>
    <row r="83" spans="1:1" s="582" customFormat="1" ht="24.95" customHeight="1">
      <c r="A83" s="720"/>
    </row>
    <row r="84" spans="1:1" s="582" customFormat="1" ht="24.95" customHeight="1">
      <c r="A84" s="720"/>
    </row>
    <row r="85" spans="1:1" s="582" customFormat="1" ht="24.95" customHeight="1">
      <c r="A85" s="720"/>
    </row>
    <row r="86" spans="1:1" s="582" customFormat="1" ht="24.95" customHeight="1">
      <c r="A86" s="720"/>
    </row>
    <row r="87" spans="1:1" s="582" customFormat="1" ht="24.95" customHeight="1">
      <c r="A87" s="720"/>
    </row>
    <row r="88" spans="1:1" s="582" customFormat="1" ht="24.95" customHeight="1">
      <c r="A88" s="720"/>
    </row>
    <row r="89" spans="1:1" s="582" customFormat="1" ht="24.95" customHeight="1">
      <c r="A89" s="720"/>
    </row>
    <row r="90" spans="1:1" s="582" customFormat="1" ht="24.95" customHeight="1">
      <c r="A90" s="720"/>
    </row>
    <row r="91" spans="1:1" s="582" customFormat="1" ht="24.95" customHeight="1">
      <c r="A91" s="720"/>
    </row>
    <row r="92" spans="1:1" s="582" customFormat="1" ht="24.95" customHeight="1">
      <c r="A92" s="720"/>
    </row>
    <row r="93" spans="1:1" s="582" customFormat="1" ht="24.95" customHeight="1">
      <c r="A93" s="720"/>
    </row>
    <row r="94" spans="1:1" s="582" customFormat="1" ht="24.95" customHeight="1">
      <c r="A94" s="720"/>
    </row>
    <row r="95" spans="1:1" s="582" customFormat="1" ht="24.95" customHeight="1">
      <c r="A95" s="720"/>
    </row>
    <row r="96" spans="1:1" s="582" customFormat="1" ht="24.95" customHeight="1">
      <c r="A96" s="720"/>
    </row>
    <row r="97" spans="1:1" s="582" customFormat="1" ht="24.95" customHeight="1">
      <c r="A97" s="720"/>
    </row>
    <row r="98" spans="1:1" s="582" customFormat="1" ht="24.95" customHeight="1">
      <c r="A98" s="720"/>
    </row>
    <row r="99" spans="1:1" s="582" customFormat="1" ht="24.95" customHeight="1">
      <c r="A99" s="720"/>
    </row>
    <row r="100" spans="1:1" s="582" customFormat="1" ht="24.95" customHeight="1">
      <c r="A100" s="720"/>
    </row>
    <row r="101" spans="1:1" s="582" customFormat="1" ht="24.95" customHeight="1">
      <c r="A101" s="720"/>
    </row>
    <row r="102" spans="1:1" s="582" customFormat="1" ht="24.95" customHeight="1">
      <c r="A102" s="720"/>
    </row>
    <row r="103" spans="1:1" s="582" customFormat="1" ht="24.95" customHeight="1">
      <c r="A103" s="720"/>
    </row>
    <row r="104" spans="1:1" s="582" customFormat="1" ht="24.95" customHeight="1">
      <c r="A104" s="720"/>
    </row>
    <row r="105" spans="1:1" s="582" customFormat="1" ht="24.95" customHeight="1">
      <c r="A105" s="720"/>
    </row>
    <row r="106" spans="1:1" s="582" customFormat="1" ht="24.95" customHeight="1">
      <c r="A106" s="720"/>
    </row>
    <row r="107" spans="1:1" s="582" customFormat="1" ht="24.95" customHeight="1">
      <c r="A107" s="720"/>
    </row>
    <row r="108" spans="1:1" s="582" customFormat="1" ht="24.95" customHeight="1">
      <c r="A108" s="720"/>
    </row>
    <row r="109" spans="1:1" s="582" customFormat="1" ht="24.95" customHeight="1">
      <c r="A109" s="720"/>
    </row>
    <row r="110" spans="1:1" s="582" customFormat="1" ht="24.95" customHeight="1">
      <c r="A110" s="720"/>
    </row>
    <row r="111" spans="1:1" s="582" customFormat="1" ht="24.95" customHeight="1">
      <c r="A111" s="720"/>
    </row>
    <row r="112" spans="1:1" s="582" customFormat="1" ht="24.95" customHeight="1">
      <c r="A112" s="720"/>
    </row>
    <row r="113" spans="1:1" s="582" customFormat="1" ht="24.95" customHeight="1">
      <c r="A113" s="720"/>
    </row>
    <row r="114" spans="1:1" s="582" customFormat="1" ht="24.95" customHeight="1">
      <c r="A114" s="720"/>
    </row>
    <row r="115" spans="1:1" s="582" customFormat="1" ht="24.95" customHeight="1">
      <c r="A115" s="720"/>
    </row>
    <row r="116" spans="1:1" s="582" customFormat="1" ht="24.95" customHeight="1">
      <c r="A116" s="720"/>
    </row>
    <row r="117" spans="1:1" s="582" customFormat="1" ht="24.95" customHeight="1">
      <c r="A117" s="720"/>
    </row>
    <row r="118" spans="1:1" s="582" customFormat="1" ht="24.95" customHeight="1">
      <c r="A118" s="720"/>
    </row>
    <row r="119" spans="1:1" s="582" customFormat="1" ht="24.95" customHeight="1">
      <c r="A119" s="720"/>
    </row>
    <row r="120" spans="1:1" s="582" customFormat="1" ht="24.95" customHeight="1">
      <c r="A120" s="720"/>
    </row>
    <row r="121" spans="1:1" s="582" customFormat="1" ht="24.95" customHeight="1">
      <c r="A121" s="720"/>
    </row>
    <row r="122" spans="1:1" s="582" customFormat="1" ht="24.95" customHeight="1">
      <c r="A122" s="720"/>
    </row>
    <row r="123" spans="1:1" s="582" customFormat="1" ht="24.95" customHeight="1">
      <c r="A123" s="720"/>
    </row>
    <row r="124" spans="1:1" s="582" customFormat="1" ht="24.95" customHeight="1">
      <c r="A124" s="720"/>
    </row>
    <row r="125" spans="1:1" s="582" customFormat="1" ht="24.95" customHeight="1">
      <c r="A125" s="720"/>
    </row>
    <row r="126" spans="1:1" s="582" customFormat="1" ht="24.95" customHeight="1">
      <c r="A126" s="720"/>
    </row>
    <row r="127" spans="1:1" s="582" customFormat="1" ht="24.95" customHeight="1">
      <c r="A127" s="720"/>
    </row>
    <row r="128" spans="1:1" s="582" customFormat="1" ht="24.95" customHeight="1">
      <c r="A128" s="720"/>
    </row>
    <row r="129" spans="1:1" s="582" customFormat="1" ht="24.95" customHeight="1">
      <c r="A129" s="720"/>
    </row>
    <row r="130" spans="1:1" s="582" customFormat="1" ht="24.95" customHeight="1">
      <c r="A130" s="720"/>
    </row>
    <row r="131" spans="1:1" s="582" customFormat="1" ht="24.95" customHeight="1">
      <c r="A131" s="720"/>
    </row>
    <row r="132" spans="1:1" s="582" customFormat="1" ht="24.95" customHeight="1">
      <c r="A132" s="720"/>
    </row>
    <row r="133" spans="1:1" s="582" customFormat="1" ht="24.95" customHeight="1">
      <c r="A133" s="720"/>
    </row>
    <row r="134" spans="1:1" s="582" customFormat="1" ht="24.95" customHeight="1">
      <c r="A134" s="720"/>
    </row>
    <row r="135" spans="1:1" s="582" customFormat="1" ht="24.95" customHeight="1">
      <c r="A135" s="720"/>
    </row>
    <row r="136" spans="1:1" s="582" customFormat="1" ht="24.95" customHeight="1">
      <c r="A136" s="720"/>
    </row>
    <row r="137" spans="1:1" s="582" customFormat="1" ht="24.95" customHeight="1">
      <c r="A137" s="720"/>
    </row>
    <row r="138" spans="1:1" s="582" customFormat="1" ht="24.95" customHeight="1">
      <c r="A138" s="720"/>
    </row>
    <row r="139" spans="1:1" s="582" customFormat="1" ht="24.95" customHeight="1">
      <c r="A139" s="720"/>
    </row>
    <row r="140" spans="1:1" s="582" customFormat="1" ht="24.95" customHeight="1">
      <c r="A140" s="720"/>
    </row>
    <row r="141" spans="1:1" s="582" customFormat="1" ht="24.95" customHeight="1">
      <c r="A141" s="720"/>
    </row>
    <row r="142" spans="1:1" s="582" customFormat="1" ht="24.95" customHeight="1">
      <c r="A142" s="720"/>
    </row>
    <row r="143" spans="1:1" s="582" customFormat="1" ht="24.95" customHeight="1">
      <c r="A143" s="720"/>
    </row>
    <row r="144" spans="1:1" s="582" customFormat="1" ht="24.95" customHeight="1">
      <c r="A144" s="720"/>
    </row>
    <row r="145" spans="1:1" s="582" customFormat="1" ht="24.95" customHeight="1">
      <c r="A145" s="720"/>
    </row>
    <row r="146" spans="1:1" s="582" customFormat="1" ht="24.95" customHeight="1">
      <c r="A146" s="720"/>
    </row>
    <row r="147" spans="1:1" s="582" customFormat="1" ht="24.95" customHeight="1">
      <c r="A147" s="720"/>
    </row>
    <row r="148" spans="1:1" s="582" customFormat="1" ht="24.95" customHeight="1">
      <c r="A148" s="720"/>
    </row>
    <row r="149" spans="1:1" s="582" customFormat="1" ht="24.95" customHeight="1">
      <c r="A149" s="720"/>
    </row>
    <row r="150" spans="1:1" s="582" customFormat="1" ht="24.95" customHeight="1">
      <c r="A150" s="720"/>
    </row>
    <row r="151" spans="1:1" s="582" customFormat="1" ht="24.95" customHeight="1">
      <c r="A151" s="720"/>
    </row>
    <row r="152" spans="1:1" s="582" customFormat="1" ht="24.95" customHeight="1">
      <c r="A152" s="720"/>
    </row>
    <row r="153" spans="1:1" s="582" customFormat="1" ht="24.95" customHeight="1">
      <c r="A153" s="720"/>
    </row>
    <row r="154" spans="1:1" s="582" customFormat="1" ht="24.95" customHeight="1">
      <c r="A154" s="720"/>
    </row>
    <row r="155" spans="1:1" s="582" customFormat="1" ht="24.95" customHeight="1">
      <c r="A155" s="720"/>
    </row>
    <row r="156" spans="1:1" s="582" customFormat="1" ht="24.95" customHeight="1">
      <c r="A156" s="720"/>
    </row>
    <row r="157" spans="1:1" s="582" customFormat="1" ht="24.95" customHeight="1">
      <c r="A157" s="720"/>
    </row>
    <row r="158" spans="1:1" s="582" customFormat="1" ht="24.95" customHeight="1">
      <c r="A158" s="720"/>
    </row>
    <row r="159" spans="1:1" s="582" customFormat="1" ht="24.95" customHeight="1">
      <c r="A159" s="720"/>
    </row>
    <row r="160" spans="1:1" s="582" customFormat="1" ht="24.95" customHeight="1">
      <c r="A160" s="720"/>
    </row>
    <row r="161" spans="1:1" s="582" customFormat="1" ht="24.95" customHeight="1">
      <c r="A161" s="720"/>
    </row>
    <row r="162" spans="1:1" s="582" customFormat="1" ht="24.95" customHeight="1">
      <c r="A162" s="720"/>
    </row>
    <row r="163" spans="1:1" s="582" customFormat="1" ht="24.95" customHeight="1">
      <c r="A163" s="720"/>
    </row>
    <row r="164" spans="1:1" s="582" customFormat="1" ht="24.95" customHeight="1">
      <c r="A164" s="720"/>
    </row>
    <row r="165" spans="1:1" s="582" customFormat="1" ht="24.95" customHeight="1">
      <c r="A165" s="720"/>
    </row>
    <row r="166" spans="1:1" s="582" customFormat="1" ht="24.95" customHeight="1">
      <c r="A166" s="720"/>
    </row>
    <row r="167" spans="1:1" s="582" customFormat="1" ht="24.95" customHeight="1">
      <c r="A167" s="720"/>
    </row>
    <row r="168" spans="1:1" s="582" customFormat="1" ht="24.95" customHeight="1">
      <c r="A168" s="720"/>
    </row>
    <row r="169" spans="1:1" s="582" customFormat="1" ht="24.95" customHeight="1">
      <c r="A169" s="720"/>
    </row>
    <row r="170" spans="1:1" s="582" customFormat="1" ht="24.95" customHeight="1">
      <c r="A170" s="720"/>
    </row>
    <row r="171" spans="1:1" s="582" customFormat="1" ht="24.95" customHeight="1">
      <c r="A171" s="720"/>
    </row>
    <row r="172" spans="1:1" s="582" customFormat="1" ht="24.95" customHeight="1">
      <c r="A172" s="720"/>
    </row>
    <row r="173" spans="1:1" s="582" customFormat="1" ht="24.95" customHeight="1">
      <c r="A173" s="720"/>
    </row>
    <row r="174" spans="1:1" s="582" customFormat="1" ht="24.95" customHeight="1">
      <c r="A174" s="720"/>
    </row>
    <row r="175" spans="1:1" s="582" customFormat="1" ht="24.95" customHeight="1">
      <c r="A175" s="720"/>
    </row>
    <row r="176" spans="1:1" s="582" customFormat="1" ht="24.95" customHeight="1">
      <c r="A176" s="720"/>
    </row>
    <row r="177" spans="1:1" s="582" customFormat="1" ht="24.95" customHeight="1">
      <c r="A177" s="720"/>
    </row>
    <row r="178" spans="1:1" s="582" customFormat="1" ht="24.95" customHeight="1">
      <c r="A178" s="720"/>
    </row>
    <row r="179" spans="1:1" s="582" customFormat="1" ht="24.95" customHeight="1">
      <c r="A179" s="720"/>
    </row>
    <row r="180" spans="1:1" s="582" customFormat="1" ht="24.95" customHeight="1">
      <c r="A180" s="720"/>
    </row>
    <row r="181" spans="1:1" s="582" customFormat="1" ht="24.95" customHeight="1">
      <c r="A181" s="720"/>
    </row>
    <row r="182" spans="1:1" s="582" customFormat="1" ht="24.95" customHeight="1">
      <c r="A182" s="720"/>
    </row>
    <row r="183" spans="1:1" s="582" customFormat="1" ht="24.95" customHeight="1">
      <c r="A183" s="720"/>
    </row>
    <row r="184" spans="1:1" s="582" customFormat="1" ht="24.95" customHeight="1">
      <c r="A184" s="720"/>
    </row>
    <row r="185" spans="1:1" s="582" customFormat="1" ht="24.95" customHeight="1">
      <c r="A185" s="720"/>
    </row>
    <row r="186" spans="1:1" s="582" customFormat="1" ht="24.95" customHeight="1">
      <c r="A186" s="720"/>
    </row>
    <row r="187" spans="1:1" s="582" customFormat="1" ht="24.95" customHeight="1">
      <c r="A187" s="720"/>
    </row>
    <row r="188" spans="1:1" s="582" customFormat="1" ht="24.95" customHeight="1">
      <c r="A188" s="720"/>
    </row>
    <row r="189" spans="1:1" s="582" customFormat="1" ht="24.95" customHeight="1">
      <c r="A189" s="720"/>
    </row>
    <row r="190" spans="1:1" s="582" customFormat="1" ht="24.95" customHeight="1">
      <c r="A190" s="720"/>
    </row>
    <row r="191" spans="1:1" s="582" customFormat="1" ht="24.95" customHeight="1">
      <c r="A191" s="720"/>
    </row>
    <row r="192" spans="1:1" s="582" customFormat="1" ht="24.95" customHeight="1">
      <c r="A192" s="720"/>
    </row>
    <row r="193" spans="1:1" s="582" customFormat="1" ht="24.95" customHeight="1">
      <c r="A193" s="720"/>
    </row>
    <row r="194" spans="1:1" s="582" customFormat="1" ht="24.95" customHeight="1">
      <c r="A194" s="720"/>
    </row>
    <row r="195" spans="1:1" s="582" customFormat="1" ht="24.95" customHeight="1">
      <c r="A195" s="720"/>
    </row>
    <row r="196" spans="1:1" s="582" customFormat="1" ht="24.95" customHeight="1">
      <c r="A196" s="720"/>
    </row>
    <row r="197" spans="1:1" s="582" customFormat="1" ht="24.95" customHeight="1">
      <c r="A197" s="720"/>
    </row>
    <row r="198" spans="1:1" s="582" customFormat="1" ht="24.95" customHeight="1">
      <c r="A198" s="720"/>
    </row>
    <row r="199" spans="1:1" s="582" customFormat="1" ht="24.95" customHeight="1">
      <c r="A199" s="720"/>
    </row>
    <row r="200" spans="1:1" s="582" customFormat="1" ht="24.95" customHeight="1">
      <c r="A200" s="720"/>
    </row>
    <row r="201" spans="1:1" s="582" customFormat="1" ht="24.95" customHeight="1">
      <c r="A201" s="720"/>
    </row>
    <row r="202" spans="1:1" s="582" customFormat="1" ht="24.95" customHeight="1">
      <c r="A202" s="720"/>
    </row>
    <row r="203" spans="1:1" s="582" customFormat="1" ht="24.95" customHeight="1">
      <c r="A203" s="720"/>
    </row>
    <row r="204" spans="1:1" s="582" customFormat="1" ht="24.95" customHeight="1">
      <c r="A204" s="720"/>
    </row>
    <row r="205" spans="1:1" s="582" customFormat="1" ht="24.95" customHeight="1">
      <c r="A205" s="720"/>
    </row>
    <row r="206" spans="1:1" s="582" customFormat="1" ht="24.95" customHeight="1">
      <c r="A206" s="720"/>
    </row>
    <row r="207" spans="1:1" s="582" customFormat="1" ht="24.95" customHeight="1">
      <c r="A207" s="720"/>
    </row>
    <row r="208" spans="1:1" s="582" customFormat="1" ht="24.95" customHeight="1">
      <c r="A208" s="720"/>
    </row>
    <row r="209" spans="1:1" s="582" customFormat="1" ht="24.95" customHeight="1">
      <c r="A209" s="720"/>
    </row>
    <row r="210" spans="1:1" s="582" customFormat="1" ht="24.95" customHeight="1">
      <c r="A210" s="720"/>
    </row>
    <row r="211" spans="1:1" s="582" customFormat="1" ht="24.95" customHeight="1">
      <c r="A211" s="720"/>
    </row>
    <row r="212" spans="1:1" s="582" customFormat="1" ht="24.95" customHeight="1">
      <c r="A212" s="720"/>
    </row>
    <row r="213" spans="1:1" s="582" customFormat="1" ht="24.95" customHeight="1">
      <c r="A213" s="720"/>
    </row>
    <row r="214" spans="1:1" s="582" customFormat="1" ht="24.95" customHeight="1">
      <c r="A214" s="720"/>
    </row>
    <row r="215" spans="1:1" s="582" customFormat="1" ht="24.95" customHeight="1">
      <c r="A215" s="720"/>
    </row>
    <row r="216" spans="1:1" s="582" customFormat="1" ht="24.95" customHeight="1">
      <c r="A216" s="720"/>
    </row>
    <row r="217" spans="1:1" s="582" customFormat="1" ht="24.95" customHeight="1">
      <c r="A217" s="720"/>
    </row>
    <row r="218" spans="1:1" s="582" customFormat="1" ht="24.95" customHeight="1">
      <c r="A218" s="720"/>
    </row>
    <row r="219" spans="1:1" s="582" customFormat="1" ht="24.95" customHeight="1">
      <c r="A219" s="720"/>
    </row>
    <row r="220" spans="1:1" s="582" customFormat="1" ht="24.95" customHeight="1">
      <c r="A220" s="720"/>
    </row>
    <row r="221" spans="1:1" s="582" customFormat="1" ht="24.95" customHeight="1">
      <c r="A221" s="720"/>
    </row>
    <row r="222" spans="1:1" s="582" customFormat="1" ht="24.95" customHeight="1">
      <c r="A222" s="720"/>
    </row>
    <row r="223" spans="1:1" s="582" customFormat="1" ht="24.95" customHeight="1">
      <c r="A223" s="720"/>
    </row>
    <row r="224" spans="1:1" s="582" customFormat="1" ht="24.95" customHeight="1">
      <c r="A224" s="720"/>
    </row>
    <row r="225" spans="1:1" s="582" customFormat="1" ht="24.95" customHeight="1">
      <c r="A225" s="720"/>
    </row>
    <row r="226" spans="1:1" s="582" customFormat="1" ht="24.95" customHeight="1">
      <c r="A226" s="720"/>
    </row>
    <row r="227" spans="1:1" s="582" customFormat="1" ht="24.95" customHeight="1">
      <c r="A227" s="720"/>
    </row>
    <row r="228" spans="1:1" s="582" customFormat="1" ht="24.95" customHeight="1">
      <c r="A228" s="720"/>
    </row>
    <row r="229" spans="1:1" s="582" customFormat="1" ht="24.95" customHeight="1">
      <c r="A229" s="720"/>
    </row>
    <row r="230" spans="1:1" s="582" customFormat="1" ht="24.95" customHeight="1">
      <c r="A230" s="720"/>
    </row>
    <row r="231" spans="1:1" s="582" customFormat="1" ht="24.95" customHeight="1">
      <c r="A231" s="720"/>
    </row>
    <row r="232" spans="1:1" s="582" customFormat="1" ht="24.95" customHeight="1">
      <c r="A232" s="720"/>
    </row>
    <row r="233" spans="1:1" s="582" customFormat="1" ht="24.95" customHeight="1">
      <c r="A233" s="720"/>
    </row>
    <row r="234" spans="1:1" s="582" customFormat="1" ht="24.95" customHeight="1">
      <c r="A234" s="720"/>
    </row>
    <row r="235" spans="1:1" s="582" customFormat="1" ht="24.95" customHeight="1">
      <c r="A235" s="720"/>
    </row>
    <row r="236" spans="1:1" s="582" customFormat="1" ht="24.95" customHeight="1">
      <c r="A236" s="720"/>
    </row>
    <row r="237" spans="1:1" s="582" customFormat="1" ht="24.95" customHeight="1">
      <c r="A237" s="720"/>
    </row>
    <row r="238" spans="1:1" s="582" customFormat="1" ht="24.95" customHeight="1">
      <c r="A238" s="720"/>
    </row>
    <row r="239" spans="1:1" s="582" customFormat="1" ht="24.95" customHeight="1">
      <c r="A239" s="720"/>
    </row>
    <row r="240" spans="1:1" s="582" customFormat="1" ht="24.95" customHeight="1">
      <c r="A240" s="720"/>
    </row>
    <row r="241" spans="1:1" s="582" customFormat="1" ht="24.95" customHeight="1">
      <c r="A241" s="720"/>
    </row>
    <row r="242" spans="1:1" s="582" customFormat="1" ht="24.95" customHeight="1">
      <c r="A242" s="720"/>
    </row>
    <row r="243" spans="1:1" s="582" customFormat="1" ht="24.95" customHeight="1">
      <c r="A243" s="720"/>
    </row>
    <row r="244" spans="1:1" s="582" customFormat="1" ht="24.95" customHeight="1">
      <c r="A244" s="720"/>
    </row>
    <row r="245" spans="1:1" s="582" customFormat="1" ht="24.95" customHeight="1">
      <c r="A245" s="720"/>
    </row>
    <row r="246" spans="1:1" s="582" customFormat="1" ht="24.95" customHeight="1">
      <c r="A246" s="720"/>
    </row>
    <row r="247" spans="1:1" s="582" customFormat="1" ht="24.95" customHeight="1">
      <c r="A247" s="720"/>
    </row>
    <row r="248" spans="1:1" s="582" customFormat="1" ht="24.95" customHeight="1">
      <c r="A248" s="720"/>
    </row>
    <row r="249" spans="1:1" s="582" customFormat="1" ht="24.95" customHeight="1">
      <c r="A249" s="720"/>
    </row>
    <row r="250" spans="1:1" s="582" customFormat="1" ht="24.95" customHeight="1">
      <c r="A250" s="720"/>
    </row>
    <row r="251" spans="1:1" s="582" customFormat="1" ht="24.95" customHeight="1">
      <c r="A251" s="720"/>
    </row>
    <row r="252" spans="1:1" s="582" customFormat="1" ht="24.95" customHeight="1">
      <c r="A252" s="720"/>
    </row>
    <row r="253" spans="1:1" s="582" customFormat="1" ht="24.95" customHeight="1">
      <c r="A253" s="720"/>
    </row>
    <row r="254" spans="1:1" s="582" customFormat="1" ht="24.95" customHeight="1">
      <c r="A254" s="720"/>
    </row>
    <row r="255" spans="1:1" s="582" customFormat="1" ht="24.95" customHeight="1">
      <c r="A255" s="720"/>
    </row>
    <row r="256" spans="1:1" s="582" customFormat="1" ht="24.95" customHeight="1">
      <c r="A256" s="720"/>
    </row>
    <row r="257" spans="1:1" s="582" customFormat="1" ht="24.95" customHeight="1">
      <c r="A257" s="720"/>
    </row>
    <row r="258" spans="1:1" s="582" customFormat="1" ht="24.95" customHeight="1">
      <c r="A258" s="720"/>
    </row>
    <row r="259" spans="1:1" s="582" customFormat="1" ht="24.95" customHeight="1">
      <c r="A259" s="720"/>
    </row>
    <row r="260" spans="1:1" s="582" customFormat="1" ht="24.95" customHeight="1">
      <c r="A260" s="720"/>
    </row>
    <row r="261" spans="1:1" s="582" customFormat="1" ht="24.95" customHeight="1">
      <c r="A261" s="720"/>
    </row>
    <row r="262" spans="1:1" s="582" customFormat="1" ht="24.95" customHeight="1">
      <c r="A262" s="720"/>
    </row>
    <row r="263" spans="1:1" s="582" customFormat="1" ht="24.95" customHeight="1">
      <c r="A263" s="720"/>
    </row>
    <row r="264" spans="1:1" s="582" customFormat="1" ht="24.95" customHeight="1">
      <c r="A264" s="720"/>
    </row>
    <row r="265" spans="1:1" s="582" customFormat="1" ht="24.95" customHeight="1">
      <c r="A265" s="720"/>
    </row>
    <row r="266" spans="1:1" s="582" customFormat="1" ht="24.95" customHeight="1">
      <c r="A266" s="720"/>
    </row>
    <row r="267" spans="1:1" s="582" customFormat="1" ht="24.95" customHeight="1">
      <c r="A267" s="720"/>
    </row>
    <row r="268" spans="1:1" s="582" customFormat="1" ht="24.95" customHeight="1">
      <c r="A268" s="720"/>
    </row>
    <row r="269" spans="1:1" s="582" customFormat="1" ht="24.95" customHeight="1">
      <c r="A269" s="720"/>
    </row>
    <row r="270" spans="1:1" s="582" customFormat="1" ht="24.95" customHeight="1">
      <c r="A270" s="720"/>
    </row>
    <row r="271" spans="1:1" s="582" customFormat="1" ht="24.95" customHeight="1">
      <c r="A271" s="720"/>
    </row>
    <row r="272" spans="1:1" s="582" customFormat="1" ht="24.95" customHeight="1">
      <c r="A272" s="720"/>
    </row>
    <row r="273" spans="1:1" s="582" customFormat="1" ht="24.95" customHeight="1">
      <c r="A273" s="720"/>
    </row>
    <row r="274" spans="1:1" s="582" customFormat="1" ht="24.95" customHeight="1">
      <c r="A274" s="720"/>
    </row>
    <row r="275" spans="1:1" s="582" customFormat="1" ht="24.95" customHeight="1">
      <c r="A275" s="720"/>
    </row>
    <row r="276" spans="1:1" s="582" customFormat="1" ht="24.95" customHeight="1">
      <c r="A276" s="720"/>
    </row>
    <row r="277" spans="1:1" s="582" customFormat="1" ht="24.95" customHeight="1">
      <c r="A277" s="720"/>
    </row>
    <row r="278" spans="1:1" s="582" customFormat="1" ht="24.95" customHeight="1">
      <c r="A278" s="720"/>
    </row>
    <row r="279" spans="1:1" s="582" customFormat="1" ht="24.95" customHeight="1">
      <c r="A279" s="720"/>
    </row>
    <row r="280" spans="1:1" s="582" customFormat="1" ht="24.95" customHeight="1">
      <c r="A280" s="720"/>
    </row>
    <row r="281" spans="1:1" s="582" customFormat="1" ht="24.95" customHeight="1">
      <c r="A281" s="720"/>
    </row>
    <row r="282" spans="1:1" s="582" customFormat="1" ht="24.95" customHeight="1">
      <c r="A282" s="720"/>
    </row>
    <row r="283" spans="1:1" s="582" customFormat="1" ht="24.95" customHeight="1">
      <c r="A283" s="720"/>
    </row>
    <row r="284" spans="1:1" s="582" customFormat="1" ht="24.95" customHeight="1">
      <c r="A284" s="720"/>
    </row>
    <row r="285" spans="1:1" s="582" customFormat="1" ht="24.95" customHeight="1">
      <c r="A285" s="720"/>
    </row>
    <row r="286" spans="1:1" s="582" customFormat="1" ht="24.95" customHeight="1">
      <c r="A286" s="720"/>
    </row>
    <row r="287" spans="1:1" s="582" customFormat="1" ht="24.95" customHeight="1">
      <c r="A287" s="720"/>
    </row>
    <row r="288" spans="1:1" s="582" customFormat="1" ht="24.95" customHeight="1">
      <c r="A288" s="720"/>
    </row>
    <row r="289" spans="1:1" s="582" customFormat="1" ht="24.95" customHeight="1">
      <c r="A289" s="720"/>
    </row>
    <row r="290" spans="1:1" s="582" customFormat="1" ht="24.95" customHeight="1">
      <c r="A290" s="720"/>
    </row>
    <row r="291" spans="1:1" s="582" customFormat="1" ht="24.95" customHeight="1">
      <c r="A291" s="720"/>
    </row>
    <row r="292" spans="1:1" s="582" customFormat="1" ht="24.95" customHeight="1">
      <c r="A292" s="720"/>
    </row>
    <row r="293" spans="1:1" s="582" customFormat="1" ht="24.95" customHeight="1">
      <c r="A293" s="720"/>
    </row>
    <row r="294" spans="1:1" s="582" customFormat="1" ht="24.95" customHeight="1">
      <c r="A294" s="720"/>
    </row>
    <row r="295" spans="1:1" s="582" customFormat="1" ht="24.95" customHeight="1">
      <c r="A295" s="720"/>
    </row>
    <row r="296" spans="1:1" s="582" customFormat="1" ht="24.95" customHeight="1">
      <c r="A296" s="720"/>
    </row>
    <row r="297" spans="1:1" s="582" customFormat="1" ht="24.95" customHeight="1">
      <c r="A297" s="720"/>
    </row>
    <row r="298" spans="1:1" s="582" customFormat="1" ht="24.95" customHeight="1">
      <c r="A298" s="720"/>
    </row>
    <row r="299" spans="1:1" s="582" customFormat="1" ht="24.95" customHeight="1">
      <c r="A299" s="720"/>
    </row>
    <row r="300" spans="1:1" s="582" customFormat="1" ht="24.95" customHeight="1">
      <c r="A300" s="720"/>
    </row>
    <row r="301" spans="1:1" s="582" customFormat="1" ht="24.95" customHeight="1">
      <c r="A301" s="720"/>
    </row>
    <row r="302" spans="1:1" s="582" customFormat="1" ht="24.95" customHeight="1">
      <c r="A302" s="720"/>
    </row>
    <row r="303" spans="1:1" s="582" customFormat="1" ht="24.95" customHeight="1">
      <c r="A303" s="720"/>
    </row>
    <row r="304" spans="1:1" s="582" customFormat="1" ht="24.95" customHeight="1">
      <c r="A304" s="720"/>
    </row>
    <row r="305" spans="1:1" s="582" customFormat="1" ht="24.95" customHeight="1">
      <c r="A305" s="720"/>
    </row>
    <row r="306" spans="1:1" s="582" customFormat="1" ht="24.95" customHeight="1">
      <c r="A306" s="720"/>
    </row>
    <row r="307" spans="1:1" s="582" customFormat="1" ht="24.95" customHeight="1">
      <c r="A307" s="720"/>
    </row>
    <row r="308" spans="1:1" s="582" customFormat="1" ht="24.95" customHeight="1">
      <c r="A308" s="720"/>
    </row>
    <row r="309" spans="1:1" s="582" customFormat="1" ht="24.95" customHeight="1">
      <c r="A309" s="720"/>
    </row>
    <row r="310" spans="1:1" s="582" customFormat="1" ht="24.95" customHeight="1">
      <c r="A310" s="720"/>
    </row>
    <row r="311" spans="1:1" s="582" customFormat="1" ht="24.95" customHeight="1">
      <c r="A311" s="720"/>
    </row>
    <row r="312" spans="1:1" s="582" customFormat="1" ht="24.95" customHeight="1">
      <c r="A312" s="720"/>
    </row>
    <row r="313" spans="1:1" s="582" customFormat="1" ht="24.95" customHeight="1">
      <c r="A313" s="720"/>
    </row>
    <row r="314" spans="1:1" s="582" customFormat="1" ht="24.95" customHeight="1">
      <c r="A314" s="720"/>
    </row>
    <row r="315" spans="1:1" s="582" customFormat="1" ht="24.95" customHeight="1">
      <c r="A315" s="720"/>
    </row>
    <row r="316" spans="1:1" s="582" customFormat="1" ht="24.95" customHeight="1">
      <c r="A316" s="720"/>
    </row>
    <row r="317" spans="1:1" s="582" customFormat="1" ht="24.95" customHeight="1">
      <c r="A317" s="720"/>
    </row>
    <row r="318" spans="1:1" s="582" customFormat="1" ht="24.95" customHeight="1">
      <c r="A318" s="720"/>
    </row>
    <row r="319" spans="1:1" s="582" customFormat="1" ht="24.95" customHeight="1">
      <c r="A319" s="720"/>
    </row>
    <row r="320" spans="1:1" s="582" customFormat="1" ht="24.95" customHeight="1">
      <c r="A320" s="720"/>
    </row>
    <row r="321" spans="1:1" s="582" customFormat="1" ht="24.95" customHeight="1">
      <c r="A321" s="720"/>
    </row>
    <row r="322" spans="1:1" s="582" customFormat="1" ht="24.95" customHeight="1">
      <c r="A322" s="720"/>
    </row>
    <row r="323" spans="1:1" s="582" customFormat="1" ht="24.95" customHeight="1">
      <c r="A323" s="720"/>
    </row>
    <row r="324" spans="1:1" s="582" customFormat="1" ht="24.95" customHeight="1">
      <c r="A324" s="720"/>
    </row>
    <row r="325" spans="1:1" s="582" customFormat="1" ht="24.95" customHeight="1">
      <c r="A325" s="720"/>
    </row>
    <row r="326" spans="1:1" s="582" customFormat="1" ht="24.95" customHeight="1">
      <c r="A326" s="720"/>
    </row>
    <row r="327" spans="1:1" s="582" customFormat="1" ht="24.95" customHeight="1">
      <c r="A327" s="720"/>
    </row>
    <row r="328" spans="1:1" s="582" customFormat="1" ht="24.95" customHeight="1">
      <c r="A328" s="720"/>
    </row>
    <row r="329" spans="1:1" s="582" customFormat="1" ht="24.95" customHeight="1">
      <c r="A329" s="720"/>
    </row>
    <row r="330" spans="1:1" s="582" customFormat="1" ht="24.95" customHeight="1">
      <c r="A330" s="720"/>
    </row>
    <row r="331" spans="1:1" s="582" customFormat="1" ht="24.95" customHeight="1">
      <c r="A331" s="720"/>
    </row>
    <row r="332" spans="1:1" s="582" customFormat="1" ht="24.95" customHeight="1">
      <c r="A332" s="720"/>
    </row>
    <row r="333" spans="1:1" s="582" customFormat="1" ht="24.95" customHeight="1">
      <c r="A333" s="720"/>
    </row>
    <row r="334" spans="1:1" s="582" customFormat="1" ht="24.95" customHeight="1">
      <c r="A334" s="720"/>
    </row>
    <row r="335" spans="1:1" s="582" customFormat="1" ht="24.95" customHeight="1">
      <c r="A335" s="720"/>
    </row>
    <row r="336" spans="1:1" s="582" customFormat="1" ht="24.95" customHeight="1">
      <c r="A336" s="720"/>
    </row>
    <row r="337" spans="1:1" s="582" customFormat="1" ht="24.95" customHeight="1">
      <c r="A337" s="720"/>
    </row>
    <row r="338" spans="1:1" s="582" customFormat="1" ht="24.95" customHeight="1">
      <c r="A338" s="720"/>
    </row>
    <row r="339" spans="1:1" s="582" customFormat="1" ht="24.95" customHeight="1">
      <c r="A339" s="720"/>
    </row>
    <row r="340" spans="1:1" s="582" customFormat="1" ht="24.95" customHeight="1">
      <c r="A340" s="720"/>
    </row>
    <row r="341" spans="1:1" s="582" customFormat="1" ht="24.95" customHeight="1">
      <c r="A341" s="720"/>
    </row>
    <row r="342" spans="1:1" s="582" customFormat="1" ht="24.95" customHeight="1">
      <c r="A342" s="720"/>
    </row>
    <row r="343" spans="1:1" s="582" customFormat="1" ht="24.95" customHeight="1">
      <c r="A343" s="720"/>
    </row>
    <row r="344" spans="1:1" s="582" customFormat="1" ht="24.95" customHeight="1">
      <c r="A344" s="720"/>
    </row>
    <row r="345" spans="1:1" s="582" customFormat="1" ht="24.95" customHeight="1">
      <c r="A345" s="720"/>
    </row>
    <row r="346" spans="1:1" s="582" customFormat="1" ht="24.95" customHeight="1">
      <c r="A346" s="720"/>
    </row>
    <row r="347" spans="1:1" s="582" customFormat="1" ht="24.95" customHeight="1">
      <c r="A347" s="720"/>
    </row>
    <row r="348" spans="1:1" s="582" customFormat="1" ht="24.95" customHeight="1">
      <c r="A348" s="720"/>
    </row>
    <row r="349" spans="1:1" s="582" customFormat="1" ht="24.95" customHeight="1">
      <c r="A349" s="720"/>
    </row>
    <row r="350" spans="1:1" s="582" customFormat="1" ht="24.95" customHeight="1">
      <c r="A350" s="720"/>
    </row>
    <row r="351" spans="1:1" s="582" customFormat="1" ht="24.95" customHeight="1">
      <c r="A351" s="720"/>
    </row>
    <row r="352" spans="1:1" s="582" customFormat="1" ht="24.95" customHeight="1">
      <c r="A352" s="720"/>
    </row>
    <row r="353" spans="1:1" s="582" customFormat="1" ht="24.95" customHeight="1">
      <c r="A353" s="720"/>
    </row>
    <row r="354" spans="1:1" s="582" customFormat="1" ht="24.95" customHeight="1">
      <c r="A354" s="720"/>
    </row>
    <row r="355" spans="1:1" s="582" customFormat="1" ht="24.95" customHeight="1">
      <c r="A355" s="720"/>
    </row>
    <row r="356" spans="1:1" s="582" customFormat="1" ht="24.95" customHeight="1">
      <c r="A356" s="720"/>
    </row>
    <row r="357" spans="1:1" s="582" customFormat="1" ht="24.95" customHeight="1">
      <c r="A357" s="720"/>
    </row>
    <row r="358" spans="1:1" s="582" customFormat="1" ht="24.95" customHeight="1">
      <c r="A358" s="720"/>
    </row>
    <row r="359" spans="1:1" s="582" customFormat="1" ht="24.95" customHeight="1">
      <c r="A359" s="720"/>
    </row>
    <row r="360" spans="1:1" s="582" customFormat="1" ht="24.95" customHeight="1">
      <c r="A360" s="720"/>
    </row>
    <row r="361" spans="1:1" s="582" customFormat="1" ht="24.95" customHeight="1">
      <c r="A361" s="720"/>
    </row>
    <row r="362" spans="1:1" s="582" customFormat="1" ht="24.95" customHeight="1">
      <c r="A362" s="720"/>
    </row>
    <row r="363" spans="1:1" s="582" customFormat="1" ht="24.95" customHeight="1">
      <c r="A363" s="720"/>
    </row>
    <row r="364" spans="1:1" s="582" customFormat="1" ht="24.95" customHeight="1">
      <c r="A364" s="720"/>
    </row>
    <row r="365" spans="1:1" s="582" customFormat="1" ht="24.95" customHeight="1">
      <c r="A365" s="720"/>
    </row>
    <row r="366" spans="1:1" s="582" customFormat="1" ht="24.95" customHeight="1">
      <c r="A366" s="720"/>
    </row>
    <row r="367" spans="1:1" s="582" customFormat="1" ht="24.95" customHeight="1">
      <c r="A367" s="720"/>
    </row>
    <row r="368" spans="1:1" s="582" customFormat="1" ht="24.95" customHeight="1">
      <c r="A368" s="720"/>
    </row>
    <row r="369" spans="1:1" s="582" customFormat="1" ht="24.95" customHeight="1">
      <c r="A369" s="720"/>
    </row>
    <row r="370" spans="1:1" s="582" customFormat="1" ht="24.95" customHeight="1">
      <c r="A370" s="720"/>
    </row>
    <row r="371" spans="1:1" s="582" customFormat="1" ht="24.95" customHeight="1">
      <c r="A371" s="720"/>
    </row>
    <row r="372" spans="1:1" s="582" customFormat="1" ht="24.95" customHeight="1">
      <c r="A372" s="720"/>
    </row>
    <row r="373" spans="1:1" s="582" customFormat="1" ht="24.95" customHeight="1">
      <c r="A373" s="720"/>
    </row>
    <row r="374" spans="1:1" s="582" customFormat="1" ht="24.95" customHeight="1">
      <c r="A374" s="720"/>
    </row>
    <row r="375" spans="1:1" s="582" customFormat="1" ht="24.95" customHeight="1">
      <c r="A375" s="720"/>
    </row>
    <row r="376" spans="1:1" s="582" customFormat="1" ht="24.95" customHeight="1">
      <c r="A376" s="720"/>
    </row>
    <row r="377" spans="1:1" s="582" customFormat="1" ht="24.95" customHeight="1">
      <c r="A377" s="720"/>
    </row>
    <row r="378" spans="1:1" s="582" customFormat="1" ht="24.95" customHeight="1">
      <c r="A378" s="720"/>
    </row>
    <row r="379" spans="1:1" s="582" customFormat="1" ht="24.95" customHeight="1">
      <c r="A379" s="720"/>
    </row>
    <row r="380" spans="1:1" s="582" customFormat="1" ht="24.95" customHeight="1">
      <c r="A380" s="720"/>
    </row>
    <row r="381" spans="1:1" s="582" customFormat="1" ht="24.95" customHeight="1">
      <c r="A381" s="720"/>
    </row>
    <row r="382" spans="1:1" s="582" customFormat="1" ht="24.95" customHeight="1">
      <c r="A382" s="720"/>
    </row>
    <row r="383" spans="1:1" s="582" customFormat="1" ht="24.95" customHeight="1">
      <c r="A383" s="720"/>
    </row>
    <row r="384" spans="1:1" s="582" customFormat="1" ht="24.95" customHeight="1">
      <c r="A384" s="720"/>
    </row>
    <row r="385" spans="1:1" s="582" customFormat="1" ht="24.95" customHeight="1">
      <c r="A385" s="720"/>
    </row>
    <row r="386" spans="1:1" s="582" customFormat="1" ht="24.95" customHeight="1">
      <c r="A386" s="720"/>
    </row>
    <row r="387" spans="1:1" s="582" customFormat="1" ht="24.95" customHeight="1">
      <c r="A387" s="720"/>
    </row>
    <row r="388" spans="1:1" s="582" customFormat="1" ht="24.95" customHeight="1">
      <c r="A388" s="720"/>
    </row>
    <row r="389" spans="1:1" s="582" customFormat="1" ht="24.95" customHeight="1">
      <c r="A389" s="720"/>
    </row>
    <row r="390" spans="1:1" s="582" customFormat="1" ht="24.95" customHeight="1">
      <c r="A390" s="720"/>
    </row>
    <row r="391" spans="1:1" s="582" customFormat="1" ht="24.95" customHeight="1">
      <c r="A391" s="720"/>
    </row>
    <row r="392" spans="1:1" s="582" customFormat="1" ht="24.95" customHeight="1">
      <c r="A392" s="720"/>
    </row>
    <row r="393" spans="1:1" s="582" customFormat="1" ht="24.95" customHeight="1">
      <c r="A393" s="720"/>
    </row>
    <row r="394" spans="1:1" s="582" customFormat="1" ht="24.95" customHeight="1">
      <c r="A394" s="720"/>
    </row>
    <row r="395" spans="1:1" s="582" customFormat="1" ht="24.95" customHeight="1">
      <c r="A395" s="720"/>
    </row>
    <row r="396" spans="1:1" s="582" customFormat="1" ht="24.95" customHeight="1">
      <c r="A396" s="720"/>
    </row>
    <row r="397" spans="1:1" s="582" customFormat="1" ht="24.95" customHeight="1">
      <c r="A397" s="720"/>
    </row>
    <row r="398" spans="1:1" s="582" customFormat="1" ht="24.95" customHeight="1">
      <c r="A398" s="720"/>
    </row>
    <row r="399" spans="1:1" s="582" customFormat="1" ht="24.95" customHeight="1">
      <c r="A399" s="720"/>
    </row>
    <row r="400" spans="1:1" s="582" customFormat="1" ht="24.95" customHeight="1">
      <c r="A400" s="720"/>
    </row>
    <row r="401" spans="1:1" s="582" customFormat="1" ht="24.95" customHeight="1">
      <c r="A401" s="720"/>
    </row>
    <row r="402" spans="1:1" s="582" customFormat="1" ht="24.95" customHeight="1">
      <c r="A402" s="720"/>
    </row>
    <row r="403" spans="1:1" s="582" customFormat="1" ht="24.95" customHeight="1">
      <c r="A403" s="720"/>
    </row>
    <row r="404" spans="1:1" s="582" customFormat="1" ht="24.95" customHeight="1">
      <c r="A404" s="720"/>
    </row>
    <row r="405" spans="1:1" s="582" customFormat="1" ht="24.95" customHeight="1">
      <c r="A405" s="720"/>
    </row>
    <row r="406" spans="1:1" s="582" customFormat="1" ht="24.95" customHeight="1">
      <c r="A406" s="720"/>
    </row>
    <row r="407" spans="1:1" s="582" customFormat="1" ht="24.95" customHeight="1">
      <c r="A407" s="720"/>
    </row>
    <row r="408" spans="1:1" s="582" customFormat="1" ht="24.95" customHeight="1">
      <c r="A408" s="720"/>
    </row>
    <row r="409" spans="1:1" s="582" customFormat="1" ht="24.95" customHeight="1">
      <c r="A409" s="720"/>
    </row>
    <row r="410" spans="1:1" s="582" customFormat="1" ht="24.95" customHeight="1">
      <c r="A410" s="720"/>
    </row>
    <row r="411" spans="1:1" s="582" customFormat="1" ht="24.95" customHeight="1">
      <c r="A411" s="720"/>
    </row>
    <row r="412" spans="1:1" s="582" customFormat="1" ht="24.95" customHeight="1">
      <c r="A412" s="720"/>
    </row>
    <row r="413" spans="1:1" s="582" customFormat="1" ht="24.95" customHeight="1">
      <c r="A413" s="720"/>
    </row>
    <row r="414" spans="1:1" s="582" customFormat="1" ht="24.95" customHeight="1">
      <c r="A414" s="720"/>
    </row>
    <row r="415" spans="1:1" s="582" customFormat="1" ht="24.95" customHeight="1">
      <c r="A415" s="720"/>
    </row>
    <row r="416" spans="1:1" s="582" customFormat="1" ht="24.95" customHeight="1">
      <c r="A416" s="720"/>
    </row>
    <row r="417" spans="1:1" s="582" customFormat="1" ht="24.95" customHeight="1">
      <c r="A417" s="720"/>
    </row>
    <row r="418" spans="1:1" s="582" customFormat="1" ht="24.95" customHeight="1">
      <c r="A418" s="720"/>
    </row>
    <row r="419" spans="1:1" s="582" customFormat="1" ht="24.95" customHeight="1">
      <c r="A419" s="720"/>
    </row>
    <row r="420" spans="1:1" s="582" customFormat="1" ht="24.95" customHeight="1">
      <c r="A420" s="720"/>
    </row>
    <row r="421" spans="1:1" s="582" customFormat="1" ht="24.95" customHeight="1">
      <c r="A421" s="720"/>
    </row>
    <row r="422" spans="1:1" s="582" customFormat="1" ht="24.95" customHeight="1">
      <c r="A422" s="720"/>
    </row>
    <row r="423" spans="1:1" s="582" customFormat="1" ht="24.95" customHeight="1">
      <c r="A423" s="720"/>
    </row>
    <row r="424" spans="1:1" s="582" customFormat="1" ht="24.95" customHeight="1">
      <c r="A424" s="720"/>
    </row>
    <row r="425" spans="1:1" s="582" customFormat="1" ht="24.95" customHeight="1">
      <c r="A425" s="720"/>
    </row>
    <row r="426" spans="1:1" s="582" customFormat="1" ht="24.95" customHeight="1">
      <c r="A426" s="720"/>
    </row>
    <row r="427" spans="1:1" s="582" customFormat="1" ht="24.95" customHeight="1">
      <c r="A427" s="720"/>
    </row>
    <row r="428" spans="1:1" s="582" customFormat="1" ht="24.95" customHeight="1">
      <c r="A428" s="720"/>
    </row>
    <row r="429" spans="1:1" s="582" customFormat="1" ht="24.95" customHeight="1">
      <c r="A429" s="720"/>
    </row>
    <row r="430" spans="1:1" s="582" customFormat="1" ht="24.95" customHeight="1">
      <c r="A430" s="720"/>
    </row>
    <row r="431" spans="1:1" s="582" customFormat="1" ht="24.95" customHeight="1">
      <c r="A431" s="720"/>
    </row>
    <row r="432" spans="1:1" s="582" customFormat="1" ht="24.95" customHeight="1">
      <c r="A432" s="720"/>
    </row>
    <row r="433" spans="1:1" s="582" customFormat="1" ht="24.95" customHeight="1">
      <c r="A433" s="720"/>
    </row>
    <row r="434" spans="1:1" s="582" customFormat="1" ht="24.95" customHeight="1">
      <c r="A434" s="720"/>
    </row>
    <row r="435" spans="1:1" s="582" customFormat="1" ht="24.95" customHeight="1">
      <c r="A435" s="720"/>
    </row>
    <row r="436" spans="1:1" s="582" customFormat="1" ht="24.95" customHeight="1">
      <c r="A436" s="720"/>
    </row>
    <row r="437" spans="1:1" s="582" customFormat="1" ht="24.95" customHeight="1">
      <c r="A437" s="720"/>
    </row>
    <row r="438" spans="1:1" s="582" customFormat="1" ht="24.95" customHeight="1">
      <c r="A438" s="720"/>
    </row>
    <row r="439" spans="1:1" s="582" customFormat="1" ht="24.95" customHeight="1">
      <c r="A439" s="720"/>
    </row>
    <row r="440" spans="1:1" s="582" customFormat="1" ht="24.95" customHeight="1">
      <c r="A440" s="720"/>
    </row>
    <row r="441" spans="1:1" s="582" customFormat="1" ht="24.95" customHeight="1">
      <c r="A441" s="720"/>
    </row>
    <row r="442" spans="1:1" s="582" customFormat="1" ht="24.95" customHeight="1">
      <c r="A442" s="720"/>
    </row>
    <row r="443" spans="1:1" s="582" customFormat="1" ht="24.95" customHeight="1">
      <c r="A443" s="720"/>
    </row>
    <row r="444" spans="1:1" s="582" customFormat="1" ht="24.95" customHeight="1">
      <c r="A444" s="720"/>
    </row>
    <row r="445" spans="1:1" s="582" customFormat="1" ht="24.95" customHeight="1">
      <c r="A445" s="720"/>
    </row>
    <row r="446" spans="1:1" s="582" customFormat="1" ht="24.95" customHeight="1">
      <c r="A446" s="720"/>
    </row>
    <row r="447" spans="1:1" s="582" customFormat="1" ht="24.95" customHeight="1">
      <c r="A447" s="720"/>
    </row>
    <row r="448" spans="1:1" s="582" customFormat="1" ht="24.95" customHeight="1">
      <c r="A448" s="720"/>
    </row>
    <row r="449" spans="1:1" s="582" customFormat="1" ht="24.95" customHeight="1">
      <c r="A449" s="720"/>
    </row>
    <row r="450" spans="1:1" s="582" customFormat="1" ht="24.95" customHeight="1">
      <c r="A450" s="720"/>
    </row>
    <row r="451" spans="1:1" s="582" customFormat="1" ht="24.95" customHeight="1">
      <c r="A451" s="720"/>
    </row>
    <row r="452" spans="1:1" s="582" customFormat="1" ht="24.95" customHeight="1">
      <c r="A452" s="720"/>
    </row>
    <row r="453" spans="1:1" s="582" customFormat="1" ht="24.95" customHeight="1">
      <c r="A453" s="720"/>
    </row>
    <row r="454" spans="1:1" s="582" customFormat="1" ht="24.95" customHeight="1">
      <c r="A454" s="720"/>
    </row>
    <row r="455" spans="1:1" s="582" customFormat="1" ht="24.95" customHeight="1">
      <c r="A455" s="720"/>
    </row>
    <row r="456" spans="1:1" s="582" customFormat="1" ht="24.95" customHeight="1">
      <c r="A456" s="720"/>
    </row>
    <row r="457" spans="1:1" s="582" customFormat="1" ht="24.95" customHeight="1">
      <c r="A457" s="720"/>
    </row>
    <row r="458" spans="1:1" s="582" customFormat="1" ht="24.95" customHeight="1">
      <c r="A458" s="720"/>
    </row>
    <row r="459" spans="1:1" s="582" customFormat="1" ht="24.95" customHeight="1">
      <c r="A459" s="720"/>
    </row>
    <row r="460" spans="1:1" s="582" customFormat="1" ht="24.95" customHeight="1">
      <c r="A460" s="720"/>
    </row>
    <row r="461" spans="1:1" s="582" customFormat="1" ht="24.95" customHeight="1">
      <c r="A461" s="720"/>
    </row>
    <row r="462" spans="1:1" s="582" customFormat="1" ht="24.95" customHeight="1">
      <c r="A462" s="720"/>
    </row>
    <row r="463" spans="1:1" s="582" customFormat="1" ht="24.95" customHeight="1">
      <c r="A463" s="720"/>
    </row>
    <row r="464" spans="1:1" s="582" customFormat="1" ht="24.95" customHeight="1">
      <c r="A464" s="720"/>
    </row>
    <row r="465" spans="1:1" s="582" customFormat="1" ht="24.95" customHeight="1">
      <c r="A465" s="720"/>
    </row>
    <row r="466" spans="1:1" s="582" customFormat="1" ht="24.95" customHeight="1">
      <c r="A466" s="720"/>
    </row>
    <row r="467" spans="1:1" s="582" customFormat="1" ht="24.95" customHeight="1">
      <c r="A467" s="720"/>
    </row>
    <row r="468" spans="1:1" s="582" customFormat="1" ht="24.95" customHeight="1">
      <c r="A468" s="720"/>
    </row>
    <row r="469" spans="1:1" s="582" customFormat="1" ht="24.95" customHeight="1">
      <c r="A469" s="720"/>
    </row>
    <row r="470" spans="1:1" s="582" customFormat="1" ht="24.95" customHeight="1">
      <c r="A470" s="720"/>
    </row>
    <row r="471" spans="1:1" s="582" customFormat="1" ht="24.95" customHeight="1">
      <c r="A471" s="720"/>
    </row>
    <row r="472" spans="1:1" s="582" customFormat="1" ht="24.95" customHeight="1">
      <c r="A472" s="720"/>
    </row>
    <row r="473" spans="1:1" s="582" customFormat="1" ht="24.95" customHeight="1">
      <c r="A473" s="720"/>
    </row>
    <row r="474" spans="1:1" s="582" customFormat="1" ht="24.95" customHeight="1">
      <c r="A474" s="720"/>
    </row>
    <row r="475" spans="1:1" s="582" customFormat="1" ht="24.95" customHeight="1">
      <c r="A475" s="720"/>
    </row>
    <row r="476" spans="1:1" s="582" customFormat="1" ht="24.95" customHeight="1">
      <c r="A476" s="720"/>
    </row>
    <row r="477" spans="1:1" s="582" customFormat="1" ht="24.95" customHeight="1">
      <c r="A477" s="720"/>
    </row>
    <row r="478" spans="1:1" s="582" customFormat="1" ht="24.95" customHeight="1">
      <c r="A478" s="720"/>
    </row>
    <row r="479" spans="1:1" s="582" customFormat="1" ht="24.95" customHeight="1">
      <c r="A479" s="720"/>
    </row>
    <row r="480" spans="1:1" s="582" customFormat="1" ht="24.95" customHeight="1">
      <c r="A480" s="720"/>
    </row>
    <row r="481" spans="1:1" s="582" customFormat="1" ht="24.95" customHeight="1">
      <c r="A481" s="720"/>
    </row>
    <row r="482" spans="1:1" s="582" customFormat="1" ht="24.95" customHeight="1">
      <c r="A482" s="720"/>
    </row>
    <row r="483" spans="1:1" s="582" customFormat="1" ht="24.95" customHeight="1">
      <c r="A483" s="720"/>
    </row>
    <row r="484" spans="1:1" s="582" customFormat="1" ht="24.95" customHeight="1">
      <c r="A484" s="720"/>
    </row>
    <row r="485" spans="1:1" s="582" customFormat="1" ht="24.95" customHeight="1">
      <c r="A485" s="720"/>
    </row>
    <row r="486" spans="1:1" s="582" customFormat="1" ht="24.95" customHeight="1">
      <c r="A486" s="720"/>
    </row>
    <row r="487" spans="1:1" s="582" customFormat="1" ht="24.95" customHeight="1">
      <c r="A487" s="720"/>
    </row>
    <row r="488" spans="1:1" s="582" customFormat="1" ht="24.95" customHeight="1">
      <c r="A488" s="720"/>
    </row>
    <row r="489" spans="1:1" s="582" customFormat="1" ht="24.95" customHeight="1">
      <c r="A489" s="720"/>
    </row>
    <row r="490" spans="1:1" s="582" customFormat="1" ht="24.95" customHeight="1">
      <c r="A490" s="720"/>
    </row>
    <row r="491" spans="1:1" s="582" customFormat="1" ht="24.95" customHeight="1">
      <c r="A491" s="720"/>
    </row>
    <row r="492" spans="1:1" s="582" customFormat="1" ht="24.95" customHeight="1">
      <c r="A492" s="720"/>
    </row>
    <row r="493" spans="1:1" s="582" customFormat="1" ht="24.95" customHeight="1">
      <c r="A493" s="720"/>
    </row>
    <row r="494" spans="1:1" s="582" customFormat="1" ht="24.95" customHeight="1">
      <c r="A494" s="720"/>
    </row>
    <row r="495" spans="1:1" s="582" customFormat="1" ht="24.95" customHeight="1">
      <c r="A495" s="720"/>
    </row>
    <row r="496" spans="1:1" s="582" customFormat="1" ht="24.95" customHeight="1">
      <c r="A496" s="720"/>
    </row>
    <row r="497" spans="1:1" s="582" customFormat="1" ht="24.95" customHeight="1">
      <c r="A497" s="720"/>
    </row>
    <row r="498" spans="1:1" s="582" customFormat="1" ht="24.95" customHeight="1">
      <c r="A498" s="720"/>
    </row>
    <row r="499" spans="1:1" s="582" customFormat="1" ht="24.95" customHeight="1">
      <c r="A499" s="720"/>
    </row>
    <row r="500" spans="1:1" s="582" customFormat="1" ht="24.95" customHeight="1">
      <c r="A500" s="720"/>
    </row>
    <row r="501" spans="1:1" s="582" customFormat="1" ht="24.95" customHeight="1">
      <c r="A501" s="720"/>
    </row>
    <row r="502" spans="1:1" s="582" customFormat="1" ht="24.95" customHeight="1">
      <c r="A502" s="720"/>
    </row>
    <row r="503" spans="1:1" s="582" customFormat="1" ht="24.95" customHeight="1">
      <c r="A503" s="720"/>
    </row>
    <row r="504" spans="1:1" s="582" customFormat="1" ht="24.95" customHeight="1">
      <c r="A504" s="720"/>
    </row>
    <row r="505" spans="1:1" s="582" customFormat="1" ht="24.95" customHeight="1">
      <c r="A505" s="720"/>
    </row>
    <row r="506" spans="1:1" s="582" customFormat="1" ht="24.95" customHeight="1">
      <c r="A506" s="720"/>
    </row>
    <row r="507" spans="1:1" s="582" customFormat="1" ht="24.95" customHeight="1">
      <c r="A507" s="720"/>
    </row>
    <row r="508" spans="1:1" s="582" customFormat="1" ht="24.95" customHeight="1">
      <c r="A508" s="720"/>
    </row>
    <row r="509" spans="1:1" s="582" customFormat="1" ht="24.95" customHeight="1">
      <c r="A509" s="720"/>
    </row>
    <row r="510" spans="1:1" s="582" customFormat="1" ht="24.95" customHeight="1">
      <c r="A510" s="720"/>
    </row>
    <row r="511" spans="1:1" s="582" customFormat="1" ht="24.95" customHeight="1">
      <c r="A511" s="720"/>
    </row>
    <row r="512" spans="1:1" s="582" customFormat="1" ht="24.95" customHeight="1">
      <c r="A512" s="720"/>
    </row>
    <row r="513" spans="1:1" s="582" customFormat="1" ht="24.95" customHeight="1">
      <c r="A513" s="720"/>
    </row>
    <row r="514" spans="1:1" s="582" customFormat="1" ht="24.95" customHeight="1">
      <c r="A514" s="720"/>
    </row>
    <row r="515" spans="1:1" s="582" customFormat="1" ht="24.95" customHeight="1">
      <c r="A515" s="720"/>
    </row>
    <row r="516" spans="1:1" s="582" customFormat="1" ht="24.95" customHeight="1">
      <c r="A516" s="720"/>
    </row>
    <row r="517" spans="1:1" s="582" customFormat="1" ht="24.95" customHeight="1">
      <c r="A517" s="720"/>
    </row>
    <row r="518" spans="1:1" s="582" customFormat="1" ht="24.95" customHeight="1">
      <c r="A518" s="720"/>
    </row>
    <row r="519" spans="1:1" s="582" customFormat="1" ht="24.95" customHeight="1">
      <c r="A519" s="720"/>
    </row>
    <row r="520" spans="1:1" s="582" customFormat="1" ht="24.95" customHeight="1">
      <c r="A520" s="720"/>
    </row>
    <row r="521" spans="1:1" s="582" customFormat="1" ht="24.95" customHeight="1">
      <c r="A521" s="720"/>
    </row>
    <row r="522" spans="1:1" s="582" customFormat="1" ht="24.95" customHeight="1">
      <c r="A522" s="720"/>
    </row>
    <row r="523" spans="1:1" s="582" customFormat="1" ht="24.95" customHeight="1">
      <c r="A523" s="720"/>
    </row>
    <row r="524" spans="1:1" s="582" customFormat="1" ht="24.95" customHeight="1">
      <c r="A524" s="720"/>
    </row>
    <row r="525" spans="1:1" s="582" customFormat="1" ht="24.95" customHeight="1">
      <c r="A525" s="720"/>
    </row>
    <row r="526" spans="1:1" s="582" customFormat="1" ht="24.95" customHeight="1">
      <c r="A526" s="720"/>
    </row>
    <row r="527" spans="1:1" s="582" customFormat="1" ht="24.95" customHeight="1">
      <c r="A527" s="720"/>
    </row>
    <row r="528" spans="1:1" s="582" customFormat="1" ht="24.95" customHeight="1">
      <c r="A528" s="720"/>
    </row>
    <row r="529" spans="1:1" s="582" customFormat="1" ht="24.95" customHeight="1">
      <c r="A529" s="720"/>
    </row>
    <row r="530" spans="1:1" s="582" customFormat="1" ht="24.95" customHeight="1">
      <c r="A530" s="720"/>
    </row>
    <row r="531" spans="1:1" s="582" customFormat="1" ht="24.95" customHeight="1">
      <c r="A531" s="720"/>
    </row>
    <row r="532" spans="1:1" s="582" customFormat="1" ht="24.95" customHeight="1">
      <c r="A532" s="720"/>
    </row>
    <row r="533" spans="1:1" s="582" customFormat="1" ht="24.95" customHeight="1">
      <c r="A533" s="720"/>
    </row>
    <row r="534" spans="1:1" s="582" customFormat="1" ht="24.95" customHeight="1">
      <c r="A534" s="720"/>
    </row>
    <row r="535" spans="1:1" s="582" customFormat="1" ht="24.95" customHeight="1">
      <c r="A535" s="720"/>
    </row>
    <row r="536" spans="1:1" s="582" customFormat="1" ht="24.95" customHeight="1">
      <c r="A536" s="720"/>
    </row>
    <row r="537" spans="1:1" s="582" customFormat="1" ht="24.95" customHeight="1">
      <c r="A537" s="720"/>
    </row>
    <row r="538" spans="1:1" s="582" customFormat="1" ht="24.95" customHeight="1">
      <c r="A538" s="720"/>
    </row>
    <row r="539" spans="1:1" s="582" customFormat="1" ht="24.95" customHeight="1">
      <c r="A539" s="720"/>
    </row>
    <row r="540" spans="1:1" s="582" customFormat="1" ht="24.95" customHeight="1">
      <c r="A540" s="720"/>
    </row>
    <row r="541" spans="1:1" s="582" customFormat="1" ht="24.95" customHeight="1">
      <c r="A541" s="720"/>
    </row>
    <row r="542" spans="1:1" s="582" customFormat="1" ht="24.95" customHeight="1">
      <c r="A542" s="720"/>
    </row>
    <row r="543" spans="1:1" s="582" customFormat="1" ht="24.95" customHeight="1">
      <c r="A543" s="720"/>
    </row>
    <row r="544" spans="1:1" s="582" customFormat="1" ht="24.95" customHeight="1">
      <c r="A544" s="720"/>
    </row>
    <row r="545" spans="1:1" s="582" customFormat="1" ht="24.95" customHeight="1">
      <c r="A545" s="720"/>
    </row>
    <row r="546" spans="1:1" s="582" customFormat="1" ht="24.95" customHeight="1">
      <c r="A546" s="720"/>
    </row>
    <row r="547" spans="1:1" s="582" customFormat="1" ht="24.95" customHeight="1">
      <c r="A547" s="720"/>
    </row>
    <row r="548" spans="1:1" s="582" customFormat="1" ht="24.95" customHeight="1">
      <c r="A548" s="720"/>
    </row>
    <row r="549" spans="1:1" s="582" customFormat="1" ht="24.95" customHeight="1">
      <c r="A549" s="720"/>
    </row>
    <row r="550" spans="1:1" s="582" customFormat="1" ht="24.95" customHeight="1">
      <c r="A550" s="720"/>
    </row>
    <row r="551" spans="1:1" s="582" customFormat="1" ht="24.95" customHeight="1">
      <c r="A551" s="720"/>
    </row>
    <row r="552" spans="1:1" s="582" customFormat="1" ht="24.95" customHeight="1">
      <c r="A552" s="720"/>
    </row>
    <row r="553" spans="1:1" s="582" customFormat="1" ht="24.95" customHeight="1">
      <c r="A553" s="720"/>
    </row>
    <row r="554" spans="1:1" s="582" customFormat="1" ht="24.95" customHeight="1">
      <c r="A554" s="720"/>
    </row>
    <row r="555" spans="1:1" s="582" customFormat="1" ht="24.95" customHeight="1">
      <c r="A555" s="720"/>
    </row>
    <row r="556" spans="1:1" s="582" customFormat="1" ht="24.95" customHeight="1">
      <c r="A556" s="720"/>
    </row>
    <row r="557" spans="1:1" s="582" customFormat="1" ht="24.95" customHeight="1">
      <c r="A557" s="720"/>
    </row>
    <row r="558" spans="1:1" s="582" customFormat="1" ht="24.95" customHeight="1">
      <c r="A558" s="720"/>
    </row>
    <row r="559" spans="1:1" s="582" customFormat="1" ht="24.95" customHeight="1">
      <c r="A559" s="720"/>
    </row>
    <row r="560" spans="1:1" s="582" customFormat="1" ht="24.95" customHeight="1">
      <c r="A560" s="720"/>
    </row>
    <row r="561" spans="1:1" s="582" customFormat="1" ht="24.95" customHeight="1">
      <c r="A561" s="720"/>
    </row>
    <row r="562" spans="1:1" s="582" customFormat="1" ht="24.95" customHeight="1">
      <c r="A562" s="720"/>
    </row>
    <row r="563" spans="1:1" s="582" customFormat="1" ht="24.95" customHeight="1">
      <c r="A563" s="720"/>
    </row>
    <row r="564" spans="1:1" s="582" customFormat="1" ht="24.95" customHeight="1">
      <c r="A564" s="720"/>
    </row>
    <row r="565" spans="1:1" s="582" customFormat="1" ht="24.95" customHeight="1">
      <c r="A565" s="720"/>
    </row>
    <row r="566" spans="1:1" s="582" customFormat="1" ht="24.95" customHeight="1">
      <c r="A566" s="720"/>
    </row>
    <row r="567" spans="1:1" s="582" customFormat="1" ht="24.95" customHeight="1">
      <c r="A567" s="720"/>
    </row>
    <row r="568" spans="1:1" s="582" customFormat="1" ht="24.95" customHeight="1">
      <c r="A568" s="720"/>
    </row>
    <row r="569" spans="1:1" s="582" customFormat="1" ht="24.95" customHeight="1">
      <c r="A569" s="720"/>
    </row>
    <row r="570" spans="1:1" s="582" customFormat="1" ht="24.95" customHeight="1">
      <c r="A570" s="720"/>
    </row>
    <row r="571" spans="1:1" s="582" customFormat="1" ht="24.95" customHeight="1">
      <c r="A571" s="720"/>
    </row>
    <row r="572" spans="1:1" s="582" customFormat="1" ht="24.95" customHeight="1">
      <c r="A572" s="720"/>
    </row>
    <row r="573" spans="1:1" s="582" customFormat="1" ht="24.95" customHeight="1">
      <c r="A573" s="720"/>
    </row>
    <row r="574" spans="1:1" s="582" customFormat="1" ht="24.95" customHeight="1">
      <c r="A574" s="720"/>
    </row>
    <row r="575" spans="1:1" s="582" customFormat="1" ht="24.95" customHeight="1">
      <c r="A575" s="720"/>
    </row>
    <row r="576" spans="1:1" s="582" customFormat="1" ht="24.95" customHeight="1">
      <c r="A576" s="720"/>
    </row>
    <row r="577" spans="1:1" s="582" customFormat="1" ht="24.95" customHeight="1">
      <c r="A577" s="720"/>
    </row>
    <row r="578" spans="1:1" s="582" customFormat="1" ht="24.95" customHeight="1">
      <c r="A578" s="720"/>
    </row>
    <row r="579" spans="1:1" s="582" customFormat="1" ht="24.95" customHeight="1">
      <c r="A579" s="720"/>
    </row>
    <row r="580" spans="1:1" s="582" customFormat="1" ht="24.95" customHeight="1">
      <c r="A580" s="720"/>
    </row>
    <row r="581" spans="1:1" s="582" customFormat="1" ht="24.95" customHeight="1">
      <c r="A581" s="720"/>
    </row>
    <row r="582" spans="1:1" s="582" customFormat="1" ht="24.95" customHeight="1">
      <c r="A582" s="720"/>
    </row>
    <row r="583" spans="1:1" s="582" customFormat="1" ht="24.95" customHeight="1">
      <c r="A583" s="720"/>
    </row>
    <row r="584" spans="1:1" s="582" customFormat="1" ht="24.95" customHeight="1">
      <c r="A584" s="720"/>
    </row>
    <row r="585" spans="1:1" s="582" customFormat="1" ht="24.95" customHeight="1">
      <c r="A585" s="720"/>
    </row>
    <row r="586" spans="1:1" s="582" customFormat="1" ht="24.95" customHeight="1">
      <c r="A586" s="720"/>
    </row>
    <row r="587" spans="1:1" s="582" customFormat="1" ht="24.95" customHeight="1">
      <c r="A587" s="720"/>
    </row>
    <row r="588" spans="1:1" s="582" customFormat="1" ht="24.95" customHeight="1">
      <c r="A588" s="720"/>
    </row>
    <row r="589" spans="1:1" s="582" customFormat="1" ht="24.95" customHeight="1">
      <c r="A589" s="720"/>
    </row>
    <row r="590" spans="1:1" s="582" customFormat="1" ht="24.95" customHeight="1">
      <c r="A590" s="720"/>
    </row>
    <row r="591" spans="1:1" s="582" customFormat="1" ht="24.95" customHeight="1">
      <c r="A591" s="720"/>
    </row>
    <row r="592" spans="1:1" s="582" customFormat="1" ht="24.95" customHeight="1">
      <c r="A592" s="720"/>
    </row>
    <row r="593" spans="1:1" s="582" customFormat="1" ht="24.95" customHeight="1">
      <c r="A593" s="720"/>
    </row>
    <row r="594" spans="1:1" s="582" customFormat="1" ht="24.95" customHeight="1">
      <c r="A594" s="720"/>
    </row>
    <row r="595" spans="1:1" s="582" customFormat="1" ht="24.95" customHeight="1">
      <c r="A595" s="720"/>
    </row>
    <row r="596" spans="1:1" s="582" customFormat="1" ht="24.95" customHeight="1">
      <c r="A596" s="720"/>
    </row>
    <row r="597" spans="1:1" s="582" customFormat="1" ht="24.95" customHeight="1">
      <c r="A597" s="720"/>
    </row>
    <row r="598" spans="1:1" s="582" customFormat="1" ht="24.95" customHeight="1">
      <c r="A598" s="720"/>
    </row>
    <row r="599" spans="1:1" s="582" customFormat="1" ht="24.95" customHeight="1">
      <c r="A599" s="720"/>
    </row>
    <row r="600" spans="1:1" s="582" customFormat="1" ht="24.95" customHeight="1">
      <c r="A600" s="720"/>
    </row>
    <row r="601" spans="1:1" s="582" customFormat="1" ht="24.95" customHeight="1">
      <c r="A601" s="720"/>
    </row>
    <row r="602" spans="1:1" s="582" customFormat="1" ht="24.95" customHeight="1">
      <c r="A602" s="720"/>
    </row>
    <row r="603" spans="1:1" s="582" customFormat="1" ht="24.95" customHeight="1">
      <c r="A603" s="720"/>
    </row>
    <row r="604" spans="1:1" s="582" customFormat="1" ht="24.95" customHeight="1">
      <c r="A604" s="720"/>
    </row>
    <row r="605" spans="1:1" s="582" customFormat="1" ht="24.95" customHeight="1">
      <c r="A605" s="720"/>
    </row>
    <row r="606" spans="1:1" s="582" customFormat="1" ht="24.95" customHeight="1">
      <c r="A606" s="720"/>
    </row>
    <row r="607" spans="1:1" s="582" customFormat="1" ht="24.95" customHeight="1">
      <c r="A607" s="720"/>
    </row>
    <row r="608" spans="1:1" s="582" customFormat="1" ht="24.95" customHeight="1">
      <c r="A608" s="720"/>
    </row>
    <row r="609" spans="1:1" s="582" customFormat="1" ht="24.95" customHeight="1">
      <c r="A609" s="720"/>
    </row>
    <row r="610" spans="1:1" s="582" customFormat="1" ht="24.95" customHeight="1">
      <c r="A610" s="720"/>
    </row>
    <row r="611" spans="1:1" s="582" customFormat="1" ht="24.95" customHeight="1">
      <c r="A611" s="720"/>
    </row>
    <row r="612" spans="1:1" s="582" customFormat="1" ht="24.95" customHeight="1">
      <c r="A612" s="720"/>
    </row>
    <row r="613" spans="1:1" s="582" customFormat="1" ht="24.95" customHeight="1">
      <c r="A613" s="720"/>
    </row>
    <row r="614" spans="1:1" s="582" customFormat="1" ht="24.95" customHeight="1">
      <c r="A614" s="720"/>
    </row>
    <row r="615" spans="1:1" s="582" customFormat="1" ht="24.95" customHeight="1">
      <c r="A615" s="720"/>
    </row>
    <row r="616" spans="1:1" s="582" customFormat="1" ht="24.95" customHeight="1">
      <c r="A616" s="720"/>
    </row>
    <row r="617" spans="1:1" s="582" customFormat="1" ht="24.95" customHeight="1">
      <c r="A617" s="720"/>
    </row>
    <row r="618" spans="1:1" s="582" customFormat="1" ht="24.95" customHeight="1">
      <c r="A618" s="720"/>
    </row>
    <row r="619" spans="1:1" s="582" customFormat="1" ht="24.95" customHeight="1">
      <c r="A619" s="720"/>
    </row>
    <row r="620" spans="1:1" s="582" customFormat="1" ht="24.95" customHeight="1">
      <c r="A620" s="720"/>
    </row>
    <row r="621" spans="1:1" s="582" customFormat="1" ht="24.95" customHeight="1">
      <c r="A621" s="720"/>
    </row>
    <row r="622" spans="1:1" s="582" customFormat="1" ht="24.95" customHeight="1">
      <c r="A622" s="720"/>
    </row>
    <row r="623" spans="1:1" s="582" customFormat="1" ht="24.95" customHeight="1">
      <c r="A623" s="720"/>
    </row>
    <row r="624" spans="1:1" s="582" customFormat="1" ht="24.95" customHeight="1">
      <c r="A624" s="720"/>
    </row>
    <row r="625" spans="1:1" s="582" customFormat="1" ht="24.95" customHeight="1">
      <c r="A625" s="720"/>
    </row>
    <row r="626" spans="1:1" s="582" customFormat="1" ht="24.95" customHeight="1">
      <c r="A626" s="720"/>
    </row>
    <row r="627" spans="1:1" s="582" customFormat="1" ht="24.95" customHeight="1">
      <c r="A627" s="720"/>
    </row>
    <row r="628" spans="1:1" s="582" customFormat="1" ht="24.95" customHeight="1">
      <c r="A628" s="720"/>
    </row>
    <row r="629" spans="1:1" s="582" customFormat="1" ht="24.95" customHeight="1">
      <c r="A629" s="720"/>
    </row>
    <row r="630" spans="1:1" s="582" customFormat="1" ht="24.95" customHeight="1">
      <c r="A630" s="720"/>
    </row>
    <row r="631" spans="1:1" s="582" customFormat="1" ht="24.95" customHeight="1">
      <c r="A631" s="720"/>
    </row>
    <row r="632" spans="1:1" s="582" customFormat="1" ht="24.95" customHeight="1">
      <c r="A632" s="720"/>
    </row>
    <row r="633" spans="1:1" s="582" customFormat="1" ht="24.95" customHeight="1">
      <c r="A633" s="720"/>
    </row>
    <row r="634" spans="1:1" s="582" customFormat="1" ht="24.95" customHeight="1">
      <c r="A634" s="720"/>
    </row>
    <row r="635" spans="1:1" s="582" customFormat="1" ht="24.95" customHeight="1">
      <c r="A635" s="720"/>
    </row>
    <row r="636" spans="1:1" s="582" customFormat="1" ht="24.95" customHeight="1">
      <c r="A636" s="720"/>
    </row>
    <row r="637" spans="1:1" s="582" customFormat="1" ht="24.95" customHeight="1">
      <c r="A637" s="720"/>
    </row>
    <row r="638" spans="1:1" s="582" customFormat="1" ht="24.95" customHeight="1">
      <c r="A638" s="720"/>
    </row>
    <row r="639" spans="1:1" s="582" customFormat="1" ht="24.95" customHeight="1">
      <c r="A639" s="720"/>
    </row>
    <row r="640" spans="1:1" s="582" customFormat="1" ht="24.95" customHeight="1">
      <c r="A640" s="720"/>
    </row>
    <row r="641" spans="1:1" s="582" customFormat="1" ht="24.95" customHeight="1">
      <c r="A641" s="720"/>
    </row>
    <row r="642" spans="1:1" s="582" customFormat="1" ht="24.95" customHeight="1">
      <c r="A642" s="720"/>
    </row>
    <row r="643" spans="1:1" s="582" customFormat="1" ht="24.95" customHeight="1">
      <c r="A643" s="720"/>
    </row>
    <row r="644" spans="1:1" s="582" customFormat="1" ht="24.95" customHeight="1">
      <c r="A644" s="720"/>
    </row>
    <row r="645" spans="1:1" s="582" customFormat="1" ht="24.95" customHeight="1">
      <c r="A645" s="720"/>
    </row>
    <row r="646" spans="1:1" s="582" customFormat="1" ht="24.95" customHeight="1">
      <c r="A646" s="720"/>
    </row>
    <row r="647" spans="1:1" s="582" customFormat="1" ht="24.95" customHeight="1">
      <c r="A647" s="720"/>
    </row>
    <row r="648" spans="1:1" s="582" customFormat="1" ht="24.95" customHeight="1">
      <c r="A648" s="720"/>
    </row>
    <row r="649" spans="1:1" s="582" customFormat="1" ht="24.95" customHeight="1">
      <c r="A649" s="720"/>
    </row>
    <row r="650" spans="1:1" s="582" customFormat="1" ht="24.95" customHeight="1">
      <c r="A650" s="720"/>
    </row>
    <row r="651" spans="1:1" s="582" customFormat="1" ht="24.95" customHeight="1">
      <c r="A651" s="720"/>
    </row>
    <row r="652" spans="1:1" s="582" customFormat="1" ht="24.95" customHeight="1">
      <c r="A652" s="720"/>
    </row>
    <row r="653" spans="1:1" s="582" customFormat="1" ht="24.95" customHeight="1">
      <c r="A653" s="720"/>
    </row>
    <row r="654" spans="1:1" s="582" customFormat="1" ht="24.95" customHeight="1">
      <c r="A654" s="720"/>
    </row>
    <row r="655" spans="1:1" s="582" customFormat="1" ht="24.95" customHeight="1">
      <c r="A655" s="720"/>
    </row>
    <row r="656" spans="1:1" s="582" customFormat="1" ht="24.95" customHeight="1">
      <c r="A656" s="720"/>
    </row>
    <row r="657" spans="1:1" s="582" customFormat="1" ht="24.95" customHeight="1">
      <c r="A657" s="720"/>
    </row>
    <row r="658" spans="1:1" s="582" customFormat="1" ht="24.95" customHeight="1">
      <c r="A658" s="720"/>
    </row>
    <row r="659" spans="1:1" s="582" customFormat="1" ht="24.95" customHeight="1">
      <c r="A659" s="720"/>
    </row>
    <row r="660" spans="1:1" s="582" customFormat="1" ht="24.95" customHeight="1">
      <c r="A660" s="720"/>
    </row>
    <row r="661" spans="1:1" s="582" customFormat="1" ht="24.95" customHeight="1">
      <c r="A661" s="720"/>
    </row>
    <row r="662" spans="1:1" s="582" customFormat="1" ht="24.95" customHeight="1">
      <c r="A662" s="720"/>
    </row>
    <row r="663" spans="1:1" s="582" customFormat="1" ht="24.95" customHeight="1">
      <c r="A663" s="720"/>
    </row>
    <row r="664" spans="1:1" s="582" customFormat="1" ht="24.95" customHeight="1">
      <c r="A664" s="720"/>
    </row>
    <row r="665" spans="1:1" s="582" customFormat="1" ht="24.95" customHeight="1">
      <c r="A665" s="720"/>
    </row>
    <row r="666" spans="1:1" s="582" customFormat="1" ht="24.95" customHeight="1">
      <c r="A666" s="720"/>
    </row>
    <row r="667" spans="1:1" s="582" customFormat="1" ht="24.95" customHeight="1">
      <c r="A667" s="720"/>
    </row>
    <row r="668" spans="1:1" s="582" customFormat="1" ht="24.95" customHeight="1">
      <c r="A668" s="720"/>
    </row>
    <row r="669" spans="1:1" s="582" customFormat="1" ht="24.95" customHeight="1">
      <c r="A669" s="720"/>
    </row>
    <row r="670" spans="1:1" s="582" customFormat="1" ht="24.95" customHeight="1">
      <c r="A670" s="720"/>
    </row>
    <row r="671" spans="1:1" s="582" customFormat="1" ht="24.95" customHeight="1">
      <c r="A671" s="720"/>
    </row>
    <row r="672" spans="1:1" s="582" customFormat="1" ht="24.95" customHeight="1">
      <c r="A672" s="720"/>
    </row>
    <row r="673" spans="1:1" s="582" customFormat="1" ht="24.95" customHeight="1">
      <c r="A673" s="720"/>
    </row>
    <row r="674" spans="1:1" s="582" customFormat="1" ht="24.95" customHeight="1">
      <c r="A674" s="720"/>
    </row>
    <row r="675" spans="1:1" s="582" customFormat="1" ht="24.95" customHeight="1">
      <c r="A675" s="720"/>
    </row>
    <row r="676" spans="1:1" s="582" customFormat="1" ht="24.95" customHeight="1">
      <c r="A676" s="720"/>
    </row>
    <row r="677" spans="1:1" s="582" customFormat="1" ht="24.95" customHeight="1">
      <c r="A677" s="720"/>
    </row>
    <row r="678" spans="1:1" s="582" customFormat="1" ht="24.95" customHeight="1">
      <c r="A678" s="720"/>
    </row>
    <row r="679" spans="1:1" s="582" customFormat="1" ht="24.95" customHeight="1">
      <c r="A679" s="720"/>
    </row>
    <row r="680" spans="1:1" s="582" customFormat="1" ht="24.95" customHeight="1">
      <c r="A680" s="720"/>
    </row>
    <row r="681" spans="1:1" s="582" customFormat="1" ht="24.95" customHeight="1">
      <c r="A681" s="720"/>
    </row>
    <row r="682" spans="1:1" s="582" customFormat="1" ht="24.95" customHeight="1">
      <c r="A682" s="720"/>
    </row>
    <row r="683" spans="1:1" s="582" customFormat="1" ht="24.95" customHeight="1">
      <c r="A683" s="720"/>
    </row>
    <row r="684" spans="1:1" s="582" customFormat="1" ht="24.95" customHeight="1">
      <c r="A684" s="720"/>
    </row>
    <row r="685" spans="1:1" s="582" customFormat="1" ht="24.95" customHeight="1">
      <c r="A685" s="720"/>
    </row>
    <row r="686" spans="1:1" s="582" customFormat="1" ht="24.95" customHeight="1">
      <c r="A686" s="720"/>
    </row>
    <row r="687" spans="1:1" s="582" customFormat="1" ht="24.95" customHeight="1">
      <c r="A687" s="720"/>
    </row>
    <row r="688" spans="1:1" s="582" customFormat="1" ht="24.95" customHeight="1">
      <c r="A688" s="720"/>
    </row>
    <row r="689" spans="1:1" s="582" customFormat="1" ht="24.95" customHeight="1">
      <c r="A689" s="720"/>
    </row>
    <row r="690" spans="1:1" s="582" customFormat="1" ht="24.95" customHeight="1">
      <c r="A690" s="720"/>
    </row>
    <row r="691" spans="1:1" s="582" customFormat="1" ht="24.95" customHeight="1">
      <c r="A691" s="720"/>
    </row>
    <row r="692" spans="1:1" s="582" customFormat="1" ht="24.95" customHeight="1">
      <c r="A692" s="720"/>
    </row>
    <row r="693" spans="1:1" s="582" customFormat="1" ht="24.95" customHeight="1">
      <c r="A693" s="720"/>
    </row>
    <row r="694" spans="1:1" s="582" customFormat="1" ht="24.95" customHeight="1">
      <c r="A694" s="720"/>
    </row>
    <row r="695" spans="1:1" s="582" customFormat="1" ht="24.95" customHeight="1">
      <c r="A695" s="720"/>
    </row>
    <row r="696" spans="1:1" s="582" customFormat="1" ht="24.95" customHeight="1">
      <c r="A696" s="720"/>
    </row>
    <row r="697" spans="1:1" s="582" customFormat="1" ht="24.95" customHeight="1">
      <c r="A697" s="720"/>
    </row>
    <row r="698" spans="1:1" s="582" customFormat="1" ht="24.95" customHeight="1">
      <c r="A698" s="720"/>
    </row>
    <row r="699" spans="1:1" s="582" customFormat="1" ht="24.95" customHeight="1">
      <c r="A699" s="720"/>
    </row>
    <row r="700" spans="1:1" s="582" customFormat="1" ht="24.95" customHeight="1">
      <c r="A700" s="720"/>
    </row>
    <row r="701" spans="1:1" s="582" customFormat="1" ht="24.95" customHeight="1">
      <c r="A701" s="720"/>
    </row>
    <row r="702" spans="1:1" s="582" customFormat="1" ht="24.95" customHeight="1">
      <c r="A702" s="720"/>
    </row>
    <row r="703" spans="1:1" s="582" customFormat="1" ht="24.95" customHeight="1">
      <c r="A703" s="720"/>
    </row>
    <row r="704" spans="1:1" s="582" customFormat="1" ht="24.95" customHeight="1">
      <c r="A704" s="720"/>
    </row>
    <row r="705" spans="1:1" s="582" customFormat="1" ht="24.95" customHeight="1">
      <c r="A705" s="720"/>
    </row>
    <row r="706" spans="1:1" s="582" customFormat="1" ht="24.95" customHeight="1">
      <c r="A706" s="720"/>
    </row>
    <row r="707" spans="1:1" s="582" customFormat="1" ht="24.95" customHeight="1">
      <c r="A707" s="720"/>
    </row>
    <row r="708" spans="1:1" s="582" customFormat="1" ht="24.95" customHeight="1">
      <c r="A708" s="720"/>
    </row>
    <row r="709" spans="1:1" s="582" customFormat="1" ht="24.95" customHeight="1">
      <c r="A709" s="720"/>
    </row>
    <row r="710" spans="1:1" s="582" customFormat="1" ht="24.95" customHeight="1">
      <c r="A710" s="720"/>
    </row>
    <row r="711" spans="1:1" s="582" customFormat="1" ht="24.95" customHeight="1">
      <c r="A711" s="720"/>
    </row>
    <row r="712" spans="1:1" s="582" customFormat="1" ht="24.95" customHeight="1">
      <c r="A712" s="720"/>
    </row>
    <row r="713" spans="1:1" s="582" customFormat="1" ht="24.95" customHeight="1">
      <c r="A713" s="720"/>
    </row>
    <row r="714" spans="1:1" s="582" customFormat="1" ht="24.95" customHeight="1">
      <c r="A714" s="720"/>
    </row>
    <row r="715" spans="1:1" s="582" customFormat="1" ht="24.95" customHeight="1">
      <c r="A715" s="720"/>
    </row>
    <row r="716" spans="1:1" s="582" customFormat="1" ht="24.95" customHeight="1">
      <c r="A716" s="720"/>
    </row>
    <row r="717" spans="1:1" s="582" customFormat="1" ht="24.95" customHeight="1">
      <c r="A717" s="720"/>
    </row>
    <row r="718" spans="1:1" s="582" customFormat="1" ht="24.95" customHeight="1">
      <c r="A718" s="720"/>
    </row>
    <row r="719" spans="1:1" s="582" customFormat="1" ht="24.95" customHeight="1">
      <c r="A719" s="720"/>
    </row>
    <row r="720" spans="1:1" s="582" customFormat="1" ht="24.95" customHeight="1">
      <c r="A720" s="720"/>
    </row>
    <row r="721" spans="1:1" s="582" customFormat="1" ht="24.95" customHeight="1">
      <c r="A721" s="720"/>
    </row>
    <row r="722" spans="1:1" s="582" customFormat="1" ht="24.95" customHeight="1">
      <c r="A722" s="720"/>
    </row>
    <row r="723" spans="1:1" s="582" customFormat="1" ht="24.95" customHeight="1">
      <c r="A723" s="720"/>
    </row>
    <row r="724" spans="1:1" s="582" customFormat="1" ht="24.95" customHeight="1">
      <c r="A724" s="720"/>
    </row>
    <row r="725" spans="1:1" s="582" customFormat="1" ht="24.95" customHeight="1">
      <c r="A725" s="720"/>
    </row>
    <row r="726" spans="1:1" s="582" customFormat="1" ht="24.95" customHeight="1">
      <c r="A726" s="720"/>
    </row>
    <row r="727" spans="1:1" s="582" customFormat="1" ht="24.95" customHeight="1">
      <c r="A727" s="720"/>
    </row>
    <row r="728" spans="1:1" s="582" customFormat="1" ht="24.95" customHeight="1">
      <c r="A728" s="720"/>
    </row>
    <row r="729" spans="1:1" s="582" customFormat="1" ht="24.95" customHeight="1">
      <c r="A729" s="720"/>
    </row>
    <row r="730" spans="1:1" s="582" customFormat="1" ht="24.95" customHeight="1">
      <c r="A730" s="720"/>
    </row>
    <row r="731" spans="1:1" s="582" customFormat="1" ht="24.95" customHeight="1">
      <c r="A731" s="720"/>
    </row>
    <row r="732" spans="1:1" s="582" customFormat="1" ht="24.95" customHeight="1">
      <c r="A732" s="720"/>
    </row>
    <row r="733" spans="1:1" s="582" customFormat="1" ht="24.95" customHeight="1">
      <c r="A733" s="720"/>
    </row>
    <row r="734" spans="1:1" s="582" customFormat="1" ht="24.95" customHeight="1">
      <c r="A734" s="720"/>
    </row>
    <row r="735" spans="1:1" s="582" customFormat="1" ht="24.95" customHeight="1">
      <c r="A735" s="720"/>
    </row>
    <row r="736" spans="1:1" s="582" customFormat="1" ht="24.95" customHeight="1">
      <c r="A736" s="720"/>
    </row>
    <row r="737" spans="1:1" s="582" customFormat="1" ht="24.95" customHeight="1">
      <c r="A737" s="720"/>
    </row>
    <row r="738" spans="1:1" s="582" customFormat="1" ht="24.95" customHeight="1">
      <c r="A738" s="720"/>
    </row>
    <row r="739" spans="1:1" s="582" customFormat="1" ht="24.95" customHeight="1">
      <c r="A739" s="720"/>
    </row>
    <row r="740" spans="1:1" s="582" customFormat="1" ht="24.95" customHeight="1">
      <c r="A740" s="720"/>
    </row>
    <row r="741" spans="1:1" s="582" customFormat="1" ht="24.95" customHeight="1">
      <c r="A741" s="720"/>
    </row>
    <row r="742" spans="1:1" s="582" customFormat="1" ht="24.95" customHeight="1">
      <c r="A742" s="720"/>
    </row>
    <row r="743" spans="1:1" s="582" customFormat="1" ht="24.95" customHeight="1">
      <c r="A743" s="720"/>
    </row>
    <row r="744" spans="1:1" s="582" customFormat="1" ht="24.95" customHeight="1">
      <c r="A744" s="720"/>
    </row>
    <row r="745" spans="1:1" s="582" customFormat="1" ht="24.95" customHeight="1">
      <c r="A745" s="720"/>
    </row>
    <row r="746" spans="1:1" s="582" customFormat="1" ht="24.95" customHeight="1">
      <c r="A746" s="720"/>
    </row>
    <row r="747" spans="1:1" s="582" customFormat="1" ht="24.95" customHeight="1">
      <c r="A747" s="720"/>
    </row>
    <row r="748" spans="1:1" s="582" customFormat="1" ht="24.95" customHeight="1">
      <c r="A748" s="720"/>
    </row>
    <row r="749" spans="1:1" s="582" customFormat="1" ht="24.95" customHeight="1">
      <c r="A749" s="720"/>
    </row>
    <row r="750" spans="1:1" s="582" customFormat="1" ht="24.95" customHeight="1">
      <c r="A750" s="720"/>
    </row>
    <row r="751" spans="1:1" s="582" customFormat="1" ht="24.95" customHeight="1">
      <c r="A751" s="720"/>
    </row>
    <row r="752" spans="1:1" s="582" customFormat="1" ht="24.95" customHeight="1">
      <c r="A752" s="720"/>
    </row>
    <row r="753" spans="1:1" s="582" customFormat="1" ht="24.95" customHeight="1">
      <c r="A753" s="720"/>
    </row>
    <row r="754" spans="1:1" s="582" customFormat="1" ht="24.95" customHeight="1">
      <c r="A754" s="720"/>
    </row>
    <row r="755" spans="1:1" s="582" customFormat="1" ht="24.95" customHeight="1">
      <c r="A755" s="720"/>
    </row>
    <row r="756" spans="1:1" s="582" customFormat="1" ht="24.95" customHeight="1">
      <c r="A756" s="720"/>
    </row>
    <row r="757" spans="1:1" s="582" customFormat="1" ht="24.95" customHeight="1">
      <c r="A757" s="720"/>
    </row>
    <row r="758" spans="1:1" s="582" customFormat="1" ht="24.95" customHeight="1">
      <c r="A758" s="720"/>
    </row>
    <row r="759" spans="1:1" s="582" customFormat="1" ht="24.95" customHeight="1">
      <c r="A759" s="720"/>
    </row>
    <row r="760" spans="1:1" s="582" customFormat="1" ht="24.95" customHeight="1">
      <c r="A760" s="720"/>
    </row>
    <row r="761" spans="1:1" s="582" customFormat="1" ht="24.95" customHeight="1">
      <c r="A761" s="720"/>
    </row>
    <row r="762" spans="1:1" s="582" customFormat="1" ht="24.95" customHeight="1">
      <c r="A762" s="720"/>
    </row>
    <row r="763" spans="1:1" s="582" customFormat="1" ht="24.95" customHeight="1">
      <c r="A763" s="720"/>
    </row>
    <row r="764" spans="1:1" s="582" customFormat="1" ht="24.95" customHeight="1">
      <c r="A764" s="720"/>
    </row>
    <row r="765" spans="1:1" s="582" customFormat="1" ht="24.95" customHeight="1">
      <c r="A765" s="720"/>
    </row>
    <row r="766" spans="1:1" s="582" customFormat="1" ht="24.95" customHeight="1">
      <c r="A766" s="720"/>
    </row>
    <row r="767" spans="1:1" s="582" customFormat="1" ht="24.95" customHeight="1">
      <c r="A767" s="720"/>
    </row>
    <row r="768" spans="1:1" s="582" customFormat="1" ht="24.95" customHeight="1">
      <c r="A768" s="720"/>
    </row>
    <row r="769" spans="1:1" s="582" customFormat="1" ht="24.95" customHeight="1">
      <c r="A769" s="720"/>
    </row>
    <row r="770" spans="1:1" s="582" customFormat="1" ht="24.95" customHeight="1">
      <c r="A770" s="720"/>
    </row>
    <row r="771" spans="1:1" s="582" customFormat="1" ht="24.95" customHeight="1">
      <c r="A771" s="720"/>
    </row>
    <row r="772" spans="1:1" s="582" customFormat="1" ht="24.95" customHeight="1">
      <c r="A772" s="720"/>
    </row>
    <row r="773" spans="1:1" s="582" customFormat="1" ht="24.95" customHeight="1">
      <c r="A773" s="720"/>
    </row>
    <row r="774" spans="1:1" s="582" customFormat="1" ht="24.95" customHeight="1">
      <c r="A774" s="720"/>
    </row>
    <row r="775" spans="1:1" s="582" customFormat="1" ht="24.95" customHeight="1">
      <c r="A775" s="720"/>
    </row>
    <row r="776" spans="1:1" s="582" customFormat="1" ht="24.95" customHeight="1">
      <c r="A776" s="720"/>
    </row>
    <row r="777" spans="1:1" s="582" customFormat="1" ht="24.95" customHeight="1">
      <c r="A777" s="720"/>
    </row>
    <row r="778" spans="1:1" s="582" customFormat="1" ht="24.95" customHeight="1">
      <c r="A778" s="720"/>
    </row>
    <row r="779" spans="1:1" s="582" customFormat="1" ht="24.95" customHeight="1">
      <c r="A779" s="720"/>
    </row>
    <row r="780" spans="1:1" s="582" customFormat="1" ht="24.95" customHeight="1">
      <c r="A780" s="720"/>
    </row>
    <row r="781" spans="1:1" s="582" customFormat="1" ht="24.95" customHeight="1">
      <c r="A781" s="720"/>
    </row>
    <row r="782" spans="1:1" s="582" customFormat="1" ht="24.95" customHeight="1">
      <c r="A782" s="720"/>
    </row>
    <row r="783" spans="1:1" s="582" customFormat="1" ht="24.95" customHeight="1">
      <c r="A783" s="720"/>
    </row>
    <row r="784" spans="1:1" s="582" customFormat="1" ht="24.95" customHeight="1">
      <c r="A784" s="720"/>
    </row>
    <row r="785" spans="1:1" s="582" customFormat="1" ht="24.95" customHeight="1">
      <c r="A785" s="720"/>
    </row>
    <row r="786" spans="1:1" s="582" customFormat="1" ht="24.95" customHeight="1">
      <c r="A786" s="720"/>
    </row>
    <row r="787" spans="1:1" s="582" customFormat="1" ht="24.95" customHeight="1">
      <c r="A787" s="720"/>
    </row>
    <row r="788" spans="1:1" s="582" customFormat="1" ht="24.95" customHeight="1">
      <c r="A788" s="720"/>
    </row>
    <row r="789" spans="1:1" s="582" customFormat="1" ht="24.95" customHeight="1">
      <c r="A789" s="720"/>
    </row>
    <row r="790" spans="1:1" s="582" customFormat="1" ht="24.95" customHeight="1">
      <c r="A790" s="720"/>
    </row>
    <row r="791" spans="1:1" s="582" customFormat="1" ht="24.95" customHeight="1">
      <c r="A791" s="720"/>
    </row>
    <row r="792" spans="1:1" s="582" customFormat="1" ht="24.95" customHeight="1">
      <c r="A792" s="720"/>
    </row>
    <row r="793" spans="1:1" s="582" customFormat="1" ht="24.95" customHeight="1">
      <c r="A793" s="720"/>
    </row>
    <row r="794" spans="1:1" s="582" customFormat="1" ht="24.95" customHeight="1">
      <c r="A794" s="720"/>
    </row>
    <row r="795" spans="1:1" s="582" customFormat="1" ht="24.95" customHeight="1">
      <c r="A795" s="720"/>
    </row>
    <row r="796" spans="1:1" s="582" customFormat="1" ht="24.95" customHeight="1">
      <c r="A796" s="720"/>
    </row>
    <row r="797" spans="1:1" s="582" customFormat="1" ht="24.95" customHeight="1">
      <c r="A797" s="720"/>
    </row>
    <row r="798" spans="1:1" s="582" customFormat="1" ht="24.95" customHeight="1">
      <c r="A798" s="720"/>
    </row>
    <row r="799" spans="1:1" s="582" customFormat="1" ht="24.95" customHeight="1">
      <c r="A799" s="720"/>
    </row>
    <row r="800" spans="1:1" s="582" customFormat="1" ht="24.95" customHeight="1">
      <c r="A800" s="720"/>
    </row>
    <row r="801" spans="1:1" s="582" customFormat="1" ht="24.95" customHeight="1">
      <c r="A801" s="720"/>
    </row>
    <row r="802" spans="1:1" s="582" customFormat="1" ht="24.95" customHeight="1">
      <c r="A802" s="720"/>
    </row>
    <row r="803" spans="1:1" s="582" customFormat="1" ht="24.95" customHeight="1">
      <c r="A803" s="720"/>
    </row>
    <row r="804" spans="1:1" s="582" customFormat="1" ht="24.95" customHeight="1">
      <c r="A804" s="720"/>
    </row>
    <row r="805" spans="1:1" s="582" customFormat="1" ht="24.95" customHeight="1">
      <c r="A805" s="720"/>
    </row>
    <row r="806" spans="1:1" s="582" customFormat="1" ht="24.95" customHeight="1">
      <c r="A806" s="720"/>
    </row>
    <row r="807" spans="1:1" s="582" customFormat="1" ht="24.95" customHeight="1">
      <c r="A807" s="720"/>
    </row>
    <row r="808" spans="1:1" s="582" customFormat="1" ht="24.95" customHeight="1">
      <c r="A808" s="720"/>
    </row>
    <row r="809" spans="1:1" s="582" customFormat="1" ht="24.95" customHeight="1">
      <c r="A809" s="720"/>
    </row>
    <row r="810" spans="1:1" s="582" customFormat="1" ht="24.95" customHeight="1">
      <c r="A810" s="720"/>
    </row>
    <row r="811" spans="1:1" s="582" customFormat="1" ht="24.95" customHeight="1">
      <c r="A811" s="720"/>
    </row>
    <row r="812" spans="1:1" s="582" customFormat="1" ht="24.95" customHeight="1">
      <c r="A812" s="720"/>
    </row>
    <row r="813" spans="1:1" s="582" customFormat="1" ht="24.95" customHeight="1">
      <c r="A813" s="720"/>
    </row>
    <row r="814" spans="1:1" s="582" customFormat="1" ht="24.95" customHeight="1">
      <c r="A814" s="720"/>
    </row>
    <row r="815" spans="1:1" s="582" customFormat="1" ht="24.95" customHeight="1">
      <c r="A815" s="720"/>
    </row>
    <row r="816" spans="1:1" s="582" customFormat="1" ht="24.95" customHeight="1">
      <c r="A816" s="720"/>
    </row>
    <row r="817" spans="1:16" s="582" customFormat="1" ht="24.95" customHeight="1">
      <c r="A817" s="720"/>
    </row>
    <row r="818" spans="1:16" s="582" customFormat="1" ht="24.95" customHeight="1">
      <c r="A818" s="720"/>
    </row>
    <row r="819" spans="1:16" s="582" customFormat="1" ht="24.95" customHeight="1">
      <c r="A819" s="720"/>
    </row>
    <row r="820" spans="1:16" s="582" customFormat="1" ht="24.95" customHeight="1">
      <c r="A820" s="720"/>
    </row>
    <row r="821" spans="1:16" s="582" customFormat="1" ht="24.95" customHeight="1">
      <c r="A821" s="720"/>
    </row>
    <row r="822" spans="1:16" s="582" customFormat="1" ht="24.95" customHeight="1">
      <c r="A822" s="720"/>
    </row>
    <row r="823" spans="1:16" s="582" customFormat="1" ht="24.95" customHeight="1">
      <c r="A823" s="720"/>
    </row>
    <row r="824" spans="1:16" s="582" customFormat="1" ht="24.95" customHeight="1">
      <c r="A824" s="720"/>
    </row>
    <row r="825" spans="1:16" s="582" customFormat="1" ht="24.95" customHeight="1">
      <c r="A825" s="720"/>
    </row>
    <row r="826" spans="1:16" s="582" customFormat="1" ht="24.95" customHeight="1">
      <c r="A826" s="720"/>
    </row>
    <row r="827" spans="1:16" s="582" customFormat="1" ht="24.95" customHeight="1">
      <c r="A827" s="720"/>
    </row>
    <row r="828" spans="1:16" s="607" customFormat="1" ht="24.95" customHeight="1">
      <c r="A828" s="720"/>
      <c r="B828" s="582"/>
      <c r="C828" s="582"/>
      <c r="D828" s="582"/>
      <c r="E828" s="582"/>
      <c r="F828" s="582"/>
      <c r="G828" s="582"/>
      <c r="H828" s="582"/>
      <c r="I828" s="582"/>
      <c r="J828" s="582"/>
      <c r="K828" s="582"/>
      <c r="L828" s="582"/>
      <c r="M828" s="582"/>
      <c r="N828" s="582"/>
      <c r="O828" s="582"/>
      <c r="P828" s="582"/>
    </row>
    <row r="829" spans="1:16" s="607" customFormat="1" ht="24.95" customHeight="1">
      <c r="A829" s="720"/>
      <c r="B829" s="582"/>
      <c r="C829" s="582"/>
      <c r="D829" s="582"/>
      <c r="E829" s="582"/>
      <c r="F829" s="582"/>
      <c r="G829" s="582"/>
      <c r="H829" s="582"/>
      <c r="I829" s="582"/>
      <c r="J829" s="582"/>
      <c r="K829" s="582"/>
      <c r="L829" s="582"/>
      <c r="M829" s="582"/>
      <c r="N829" s="582"/>
      <c r="O829" s="582"/>
      <c r="P829" s="582"/>
    </row>
    <row r="830" spans="1:16" s="607" customFormat="1" ht="24.95" customHeight="1">
      <c r="A830" s="721"/>
    </row>
    <row r="831" spans="1:16" s="607" customFormat="1" ht="24.95" customHeight="1">
      <c r="A831" s="721"/>
    </row>
    <row r="832" spans="1:16" s="607" customFormat="1" ht="24.95" customHeight="1">
      <c r="A832" s="721"/>
    </row>
    <row r="833" spans="1:1" s="607" customFormat="1" ht="24.95" customHeight="1">
      <c r="A833" s="721"/>
    </row>
    <row r="834" spans="1:1" s="607" customFormat="1" ht="24.95" customHeight="1">
      <c r="A834" s="721"/>
    </row>
    <row r="835" spans="1:1" s="607" customFormat="1" ht="24.95" customHeight="1">
      <c r="A835" s="721"/>
    </row>
    <row r="836" spans="1:1" s="607" customFormat="1" ht="24.95" customHeight="1">
      <c r="A836" s="721"/>
    </row>
    <row r="837" spans="1:1" s="607" customFormat="1" ht="24.95" customHeight="1">
      <c r="A837" s="721"/>
    </row>
    <row r="838" spans="1:1" s="607" customFormat="1" ht="24.95" customHeight="1">
      <c r="A838" s="721"/>
    </row>
    <row r="839" spans="1:1" s="607" customFormat="1" ht="24.95" customHeight="1">
      <c r="A839" s="721"/>
    </row>
    <row r="840" spans="1:1" s="607" customFormat="1" ht="24.95" customHeight="1">
      <c r="A840" s="721"/>
    </row>
    <row r="841" spans="1:1" s="607" customFormat="1" ht="24.95" customHeight="1">
      <c r="A841" s="721"/>
    </row>
    <row r="842" spans="1:1" s="607" customFormat="1" ht="24.95" customHeight="1">
      <c r="A842" s="721"/>
    </row>
    <row r="843" spans="1:1" s="607" customFormat="1" ht="24.95" customHeight="1">
      <c r="A843" s="721"/>
    </row>
    <row r="844" spans="1:1" s="607" customFormat="1" ht="24.95" customHeight="1">
      <c r="A844" s="721"/>
    </row>
    <row r="845" spans="1:1" s="607" customFormat="1" ht="24.95" customHeight="1">
      <c r="A845" s="721"/>
    </row>
    <row r="846" spans="1:1" s="607" customFormat="1" ht="24.95" customHeight="1">
      <c r="A846" s="721"/>
    </row>
    <row r="847" spans="1:1" s="607" customFormat="1" ht="24.95" customHeight="1">
      <c r="A847" s="721"/>
    </row>
    <row r="848" spans="1:1" s="607" customFormat="1" ht="24.95" customHeight="1">
      <c r="A848" s="721"/>
    </row>
    <row r="849" spans="1:1" s="607" customFormat="1" ht="24.95" customHeight="1">
      <c r="A849" s="721"/>
    </row>
    <row r="850" spans="1:1" s="607" customFormat="1" ht="24.95" customHeight="1">
      <c r="A850" s="721"/>
    </row>
    <row r="851" spans="1:1" s="607" customFormat="1" ht="24.95" customHeight="1">
      <c r="A851" s="721"/>
    </row>
    <row r="852" spans="1:1" s="607" customFormat="1" ht="24.95" customHeight="1">
      <c r="A852" s="721"/>
    </row>
    <row r="853" spans="1:1" s="607" customFormat="1" ht="24.95" customHeight="1">
      <c r="A853" s="721"/>
    </row>
    <row r="854" spans="1:1" s="607" customFormat="1" ht="24.95" customHeight="1">
      <c r="A854" s="721"/>
    </row>
    <row r="855" spans="1:1" s="607" customFormat="1" ht="24.95" customHeight="1">
      <c r="A855" s="721"/>
    </row>
    <row r="856" spans="1:1" s="607" customFormat="1" ht="24.95" customHeight="1">
      <c r="A856" s="721"/>
    </row>
    <row r="857" spans="1:1" s="607" customFormat="1" ht="24.95" customHeight="1">
      <c r="A857" s="721"/>
    </row>
    <row r="858" spans="1:1" s="607" customFormat="1" ht="24.95" customHeight="1">
      <c r="A858" s="721"/>
    </row>
    <row r="859" spans="1:1" s="607" customFormat="1" ht="24.95" customHeight="1">
      <c r="A859" s="721"/>
    </row>
    <row r="860" spans="1:1" s="607" customFormat="1" ht="24.95" customHeight="1">
      <c r="A860" s="721"/>
    </row>
    <row r="861" spans="1:1" s="607" customFormat="1" ht="24.95" customHeight="1">
      <c r="A861" s="721"/>
    </row>
    <row r="862" spans="1:1" s="607" customFormat="1" ht="24.95" customHeight="1">
      <c r="A862" s="721"/>
    </row>
    <row r="863" spans="1:1" s="607" customFormat="1" ht="24.95" customHeight="1">
      <c r="A863" s="721"/>
    </row>
    <row r="864" spans="1:1" s="607" customFormat="1" ht="24.95" customHeight="1">
      <c r="A864" s="721"/>
    </row>
    <row r="865" spans="1:1" s="607" customFormat="1" ht="24.95" customHeight="1">
      <c r="A865" s="721"/>
    </row>
    <row r="866" spans="1:1" s="607" customFormat="1" ht="24.95" customHeight="1">
      <c r="A866" s="721"/>
    </row>
    <row r="867" spans="1:1" s="607" customFormat="1" ht="24.95" customHeight="1">
      <c r="A867" s="721"/>
    </row>
    <row r="868" spans="1:1" s="607" customFormat="1" ht="24.95" customHeight="1">
      <c r="A868" s="721"/>
    </row>
    <row r="869" spans="1:1" s="607" customFormat="1" ht="24.95" customHeight="1">
      <c r="A869" s="721"/>
    </row>
    <row r="870" spans="1:1" s="607" customFormat="1" ht="24.95" customHeight="1">
      <c r="A870" s="721"/>
    </row>
    <row r="871" spans="1:1" s="607" customFormat="1" ht="24.95" customHeight="1">
      <c r="A871" s="721"/>
    </row>
    <row r="872" spans="1:1" s="607" customFormat="1" ht="24.95" customHeight="1">
      <c r="A872" s="721"/>
    </row>
    <row r="873" spans="1:1" s="607" customFormat="1" ht="24.95" customHeight="1">
      <c r="A873" s="721"/>
    </row>
    <row r="874" spans="1:1" s="607" customFormat="1" ht="24.95" customHeight="1">
      <c r="A874" s="721"/>
    </row>
    <row r="875" spans="1:1" s="607" customFormat="1" ht="24.95" customHeight="1">
      <c r="A875" s="721"/>
    </row>
    <row r="876" spans="1:1" s="607" customFormat="1" ht="24.95" customHeight="1">
      <c r="A876" s="721"/>
    </row>
    <row r="877" spans="1:1" s="607" customFormat="1" ht="24.95" customHeight="1">
      <c r="A877" s="721"/>
    </row>
    <row r="878" spans="1:1" s="607" customFormat="1" ht="24.95" customHeight="1">
      <c r="A878" s="721"/>
    </row>
    <row r="879" spans="1:1" s="607" customFormat="1" ht="24.95" customHeight="1">
      <c r="A879" s="721"/>
    </row>
    <row r="880" spans="1:1" s="607" customFormat="1" ht="24.95" customHeight="1">
      <c r="A880" s="721"/>
    </row>
    <row r="881" spans="1:1" s="607" customFormat="1" ht="24.95" customHeight="1">
      <c r="A881" s="721"/>
    </row>
    <row r="882" spans="1:1" s="607" customFormat="1" ht="24.95" customHeight="1">
      <c r="A882" s="721"/>
    </row>
    <row r="883" spans="1:1" s="607" customFormat="1" ht="24.95" customHeight="1">
      <c r="A883" s="721"/>
    </row>
    <row r="884" spans="1:1" s="607" customFormat="1" ht="24.95" customHeight="1">
      <c r="A884" s="721"/>
    </row>
    <row r="885" spans="1:1" s="607" customFormat="1" ht="24.95" customHeight="1">
      <c r="A885" s="721"/>
    </row>
    <row r="886" spans="1:1" s="607" customFormat="1" ht="24.95" customHeight="1">
      <c r="A886" s="721"/>
    </row>
    <row r="887" spans="1:1" s="607" customFormat="1" ht="24.95" customHeight="1">
      <c r="A887" s="721"/>
    </row>
    <row r="888" spans="1:1" s="607" customFormat="1" ht="24.95" customHeight="1">
      <c r="A888" s="721"/>
    </row>
    <row r="889" spans="1:1" s="607" customFormat="1" ht="24.95" customHeight="1">
      <c r="A889" s="721"/>
    </row>
    <row r="890" spans="1:1" s="607" customFormat="1" ht="24.95" customHeight="1">
      <c r="A890" s="721"/>
    </row>
    <row r="891" spans="1:1" s="607" customFormat="1" ht="24.95" customHeight="1">
      <c r="A891" s="721"/>
    </row>
    <row r="892" spans="1:1" s="607" customFormat="1" ht="24.95" customHeight="1">
      <c r="A892" s="721"/>
    </row>
    <row r="893" spans="1:1" s="607" customFormat="1" ht="24.95" customHeight="1">
      <c r="A893" s="721"/>
    </row>
    <row r="894" spans="1:1" s="607" customFormat="1" ht="24.95" customHeight="1">
      <c r="A894" s="721"/>
    </row>
    <row r="895" spans="1:1" s="607" customFormat="1" ht="24.95" customHeight="1">
      <c r="A895" s="721"/>
    </row>
    <row r="896" spans="1:1" s="607" customFormat="1" ht="24.95" customHeight="1">
      <c r="A896" s="721"/>
    </row>
    <row r="897" spans="1:1" s="607" customFormat="1" ht="24.95" customHeight="1">
      <c r="A897" s="721"/>
    </row>
    <row r="898" spans="1:1" s="607" customFormat="1" ht="24.95" customHeight="1">
      <c r="A898" s="721"/>
    </row>
    <row r="899" spans="1:1" s="607" customFormat="1" ht="24.95" customHeight="1">
      <c r="A899" s="721"/>
    </row>
    <row r="900" spans="1:1" s="607" customFormat="1" ht="24.95" customHeight="1">
      <c r="A900" s="721"/>
    </row>
    <row r="901" spans="1:1" s="607" customFormat="1" ht="24.95" customHeight="1">
      <c r="A901" s="721"/>
    </row>
    <row r="902" spans="1:1" s="607" customFormat="1" ht="24.95" customHeight="1">
      <c r="A902" s="721"/>
    </row>
    <row r="903" spans="1:1" s="607" customFormat="1" ht="24.95" customHeight="1">
      <c r="A903" s="721"/>
    </row>
    <row r="904" spans="1:1" s="607" customFormat="1" ht="24.95" customHeight="1">
      <c r="A904" s="721"/>
    </row>
    <row r="905" spans="1:1" s="607" customFormat="1" ht="24.95" customHeight="1">
      <c r="A905" s="721"/>
    </row>
    <row r="906" spans="1:1" s="607" customFormat="1" ht="24.95" customHeight="1">
      <c r="A906" s="721"/>
    </row>
    <row r="907" spans="1:1" s="607" customFormat="1" ht="24.95" customHeight="1">
      <c r="A907" s="721"/>
    </row>
    <row r="908" spans="1:1" s="607" customFormat="1" ht="24.95" customHeight="1">
      <c r="A908" s="721"/>
    </row>
    <row r="909" spans="1:1" s="607" customFormat="1" ht="24.95" customHeight="1">
      <c r="A909" s="721"/>
    </row>
    <row r="910" spans="1:1" s="607" customFormat="1" ht="24.95" customHeight="1">
      <c r="A910" s="721"/>
    </row>
    <row r="911" spans="1:1" s="607" customFormat="1" ht="24.95" customHeight="1">
      <c r="A911" s="721"/>
    </row>
    <row r="912" spans="1:1" s="607" customFormat="1" ht="24.95" customHeight="1">
      <c r="A912" s="721"/>
    </row>
    <row r="913" spans="1:1" s="607" customFormat="1" ht="24.95" customHeight="1">
      <c r="A913" s="721"/>
    </row>
    <row r="914" spans="1:1" s="607" customFormat="1" ht="24.95" customHeight="1">
      <c r="A914" s="721"/>
    </row>
    <row r="915" spans="1:1" s="607" customFormat="1" ht="24.95" customHeight="1">
      <c r="A915" s="721"/>
    </row>
    <row r="916" spans="1:1" s="607" customFormat="1" ht="24.95" customHeight="1">
      <c r="A916" s="721"/>
    </row>
    <row r="917" spans="1:1" s="607" customFormat="1" ht="24.95" customHeight="1">
      <c r="A917" s="721"/>
    </row>
    <row r="918" spans="1:1" s="607" customFormat="1" ht="24.95" customHeight="1">
      <c r="A918" s="721"/>
    </row>
    <row r="919" spans="1:1" s="607" customFormat="1" ht="24.95" customHeight="1">
      <c r="A919" s="721"/>
    </row>
    <row r="920" spans="1:1" s="607" customFormat="1" ht="24.95" customHeight="1">
      <c r="A920" s="721"/>
    </row>
    <row r="921" spans="1:1" s="607" customFormat="1" ht="24.95" customHeight="1">
      <c r="A921" s="721"/>
    </row>
    <row r="922" spans="1:1" s="607" customFormat="1" ht="24.95" customHeight="1">
      <c r="A922" s="721"/>
    </row>
    <row r="923" spans="1:1" s="607" customFormat="1" ht="24.95" customHeight="1">
      <c r="A923" s="721"/>
    </row>
    <row r="924" spans="1:1" s="607" customFormat="1" ht="24.95" customHeight="1">
      <c r="A924" s="721"/>
    </row>
    <row r="925" spans="1:1" s="607" customFormat="1" ht="24.95" customHeight="1">
      <c r="A925" s="721"/>
    </row>
    <row r="926" spans="1:1" s="607" customFormat="1" ht="24.95" customHeight="1">
      <c r="A926" s="721"/>
    </row>
    <row r="927" spans="1:1" s="607" customFormat="1" ht="24.95" customHeight="1">
      <c r="A927" s="721"/>
    </row>
    <row r="928" spans="1:1" s="607" customFormat="1" ht="24.95" customHeight="1">
      <c r="A928" s="721"/>
    </row>
    <row r="929" spans="1:1" s="607" customFormat="1" ht="24.95" customHeight="1">
      <c r="A929" s="721"/>
    </row>
    <row r="930" spans="1:1" s="607" customFormat="1" ht="24.95" customHeight="1">
      <c r="A930" s="721"/>
    </row>
    <row r="931" spans="1:1" s="607" customFormat="1" ht="24.95" customHeight="1">
      <c r="A931" s="721"/>
    </row>
    <row r="932" spans="1:1" s="607" customFormat="1" ht="24.95" customHeight="1">
      <c r="A932" s="721"/>
    </row>
    <row r="933" spans="1:1" s="607" customFormat="1" ht="24.95" customHeight="1">
      <c r="A933" s="721"/>
    </row>
    <row r="934" spans="1:1" s="607" customFormat="1" ht="24.95" customHeight="1">
      <c r="A934" s="721"/>
    </row>
    <row r="935" spans="1:1" s="607" customFormat="1" ht="24.95" customHeight="1">
      <c r="A935" s="721"/>
    </row>
    <row r="936" spans="1:1" s="607" customFormat="1" ht="24.95" customHeight="1">
      <c r="A936" s="721"/>
    </row>
    <row r="937" spans="1:1" s="607" customFormat="1" ht="24.95" customHeight="1">
      <c r="A937" s="721"/>
    </row>
    <row r="938" spans="1:1" s="607" customFormat="1" ht="24.95" customHeight="1">
      <c r="A938" s="721"/>
    </row>
    <row r="939" spans="1:1" s="607" customFormat="1" ht="24.95" customHeight="1">
      <c r="A939" s="721"/>
    </row>
    <row r="940" spans="1:1" s="607" customFormat="1" ht="24.95" customHeight="1">
      <c r="A940" s="721"/>
    </row>
    <row r="941" spans="1:1" s="607" customFormat="1" ht="24.95" customHeight="1">
      <c r="A941" s="721"/>
    </row>
    <row r="942" spans="1:1" s="607" customFormat="1" ht="24.95" customHeight="1">
      <c r="A942" s="721"/>
    </row>
    <row r="943" spans="1:1" s="607" customFormat="1" ht="24.95" customHeight="1">
      <c r="A943" s="721"/>
    </row>
    <row r="944" spans="1:1" s="607" customFormat="1" ht="24.95" customHeight="1">
      <c r="A944" s="721"/>
    </row>
    <row r="945" spans="1:1" s="607" customFormat="1" ht="24.95" customHeight="1">
      <c r="A945" s="721"/>
    </row>
    <row r="946" spans="1:1" s="607" customFormat="1" ht="24.95" customHeight="1">
      <c r="A946" s="721"/>
    </row>
    <row r="947" spans="1:1" s="607" customFormat="1" ht="24.95" customHeight="1">
      <c r="A947" s="721"/>
    </row>
    <row r="948" spans="1:1" s="607" customFormat="1" ht="24.95" customHeight="1">
      <c r="A948" s="721"/>
    </row>
    <row r="949" spans="1:1" s="607" customFormat="1" ht="24.95" customHeight="1">
      <c r="A949" s="721"/>
    </row>
    <row r="950" spans="1:1" s="607" customFormat="1" ht="24.95" customHeight="1">
      <c r="A950" s="721"/>
    </row>
    <row r="951" spans="1:1" s="607" customFormat="1" ht="24.95" customHeight="1">
      <c r="A951" s="721"/>
    </row>
    <row r="952" spans="1:1" s="607" customFormat="1" ht="24.95" customHeight="1">
      <c r="A952" s="721"/>
    </row>
    <row r="953" spans="1:1" s="607" customFormat="1" ht="24.95" customHeight="1">
      <c r="A953" s="721"/>
    </row>
    <row r="954" spans="1:1" s="607" customFormat="1" ht="24.95" customHeight="1">
      <c r="A954" s="721"/>
    </row>
    <row r="955" spans="1:1" s="607" customFormat="1" ht="24.95" customHeight="1">
      <c r="A955" s="721"/>
    </row>
    <row r="956" spans="1:1" s="607" customFormat="1" ht="24.95" customHeight="1">
      <c r="A956" s="721"/>
    </row>
    <row r="957" spans="1:1" s="607" customFormat="1" ht="24.95" customHeight="1">
      <c r="A957" s="721"/>
    </row>
    <row r="958" spans="1:1" s="607" customFormat="1" ht="24.95" customHeight="1">
      <c r="A958" s="721"/>
    </row>
    <row r="959" spans="1:1" s="607" customFormat="1" ht="24.95" customHeight="1">
      <c r="A959" s="721"/>
    </row>
    <row r="960" spans="1:1" s="607" customFormat="1" ht="24.95" customHeight="1">
      <c r="A960" s="721"/>
    </row>
    <row r="961" spans="1:1" s="607" customFormat="1" ht="24.95" customHeight="1">
      <c r="A961" s="721"/>
    </row>
    <row r="962" spans="1:1" s="607" customFormat="1" ht="24.95" customHeight="1">
      <c r="A962" s="721"/>
    </row>
    <row r="963" spans="1:1" s="607" customFormat="1" ht="24.95" customHeight="1">
      <c r="A963" s="721"/>
    </row>
    <row r="964" spans="1:1" s="607" customFormat="1" ht="24.95" customHeight="1">
      <c r="A964" s="721"/>
    </row>
    <row r="965" spans="1:1" s="607" customFormat="1" ht="24.95" customHeight="1">
      <c r="A965" s="721"/>
    </row>
    <row r="966" spans="1:1" s="607" customFormat="1" ht="24.95" customHeight="1">
      <c r="A966" s="721"/>
    </row>
    <row r="967" spans="1:1" s="607" customFormat="1" ht="24.95" customHeight="1">
      <c r="A967" s="721"/>
    </row>
    <row r="968" spans="1:1" s="607" customFormat="1" ht="24.95" customHeight="1">
      <c r="A968" s="721"/>
    </row>
    <row r="969" spans="1:1" s="607" customFormat="1" ht="24.95" customHeight="1">
      <c r="A969" s="721"/>
    </row>
    <row r="970" spans="1:1" s="607" customFormat="1" ht="24.95" customHeight="1">
      <c r="A970" s="721"/>
    </row>
    <row r="971" spans="1:1" s="607" customFormat="1" ht="24.95" customHeight="1">
      <c r="A971" s="721"/>
    </row>
    <row r="972" spans="1:1" s="607" customFormat="1" ht="24.95" customHeight="1">
      <c r="A972" s="721"/>
    </row>
    <row r="973" spans="1:1" s="607" customFormat="1" ht="24.95" customHeight="1">
      <c r="A973" s="721"/>
    </row>
    <row r="974" spans="1:1" s="607" customFormat="1" ht="24.95" customHeight="1">
      <c r="A974" s="721"/>
    </row>
    <row r="975" spans="1:1" s="607" customFormat="1" ht="24.95" customHeight="1">
      <c r="A975" s="721"/>
    </row>
    <row r="976" spans="1:1" s="607" customFormat="1" ht="24.95" customHeight="1">
      <c r="A976" s="721"/>
    </row>
    <row r="977" spans="1:1" s="607" customFormat="1" ht="24.95" customHeight="1">
      <c r="A977" s="721"/>
    </row>
    <row r="978" spans="1:1" s="607" customFormat="1" ht="24.95" customHeight="1">
      <c r="A978" s="721"/>
    </row>
    <row r="979" spans="1:1" s="607" customFormat="1" ht="24.95" customHeight="1">
      <c r="A979" s="721"/>
    </row>
    <row r="980" spans="1:1" s="607" customFormat="1" ht="24.95" customHeight="1">
      <c r="A980" s="721"/>
    </row>
    <row r="981" spans="1:1" s="607" customFormat="1" ht="24.95" customHeight="1">
      <c r="A981" s="721"/>
    </row>
    <row r="982" spans="1:1" s="607" customFormat="1" ht="24.95" customHeight="1">
      <c r="A982" s="721"/>
    </row>
    <row r="983" spans="1:1" s="607" customFormat="1" ht="24.95" customHeight="1">
      <c r="A983" s="721"/>
    </row>
    <row r="984" spans="1:1" s="607" customFormat="1" ht="24.95" customHeight="1">
      <c r="A984" s="721"/>
    </row>
    <row r="985" spans="1:1" s="607" customFormat="1" ht="24.95" customHeight="1">
      <c r="A985" s="721"/>
    </row>
    <row r="986" spans="1:1" s="607" customFormat="1" ht="24.95" customHeight="1">
      <c r="A986" s="721"/>
    </row>
    <row r="987" spans="1:1" s="607" customFormat="1" ht="24.95" customHeight="1">
      <c r="A987" s="721"/>
    </row>
    <row r="988" spans="1:1" s="607" customFormat="1" ht="24.95" customHeight="1">
      <c r="A988" s="721"/>
    </row>
    <row r="989" spans="1:1" s="607" customFormat="1" ht="24.95" customHeight="1">
      <c r="A989" s="721"/>
    </row>
    <row r="990" spans="1:1" s="607" customFormat="1" ht="24.95" customHeight="1">
      <c r="A990" s="721"/>
    </row>
    <row r="991" spans="1:1" s="607" customFormat="1" ht="24.95" customHeight="1">
      <c r="A991" s="721"/>
    </row>
    <row r="992" spans="1:1" s="607" customFormat="1" ht="24.95" customHeight="1">
      <c r="A992" s="721"/>
    </row>
    <row r="993" spans="1:1" s="607" customFormat="1" ht="24.95" customHeight="1">
      <c r="A993" s="721"/>
    </row>
    <row r="994" spans="1:1" s="607" customFormat="1" ht="24.95" customHeight="1">
      <c r="A994" s="721"/>
    </row>
    <row r="995" spans="1:1" s="607" customFormat="1" ht="24.95" customHeight="1">
      <c r="A995" s="721"/>
    </row>
    <row r="996" spans="1:1" s="607" customFormat="1" ht="24.95" customHeight="1">
      <c r="A996" s="721"/>
    </row>
    <row r="997" spans="1:1" s="607" customFormat="1" ht="24.95" customHeight="1">
      <c r="A997" s="721"/>
    </row>
    <row r="998" spans="1:1" s="607" customFormat="1" ht="24.95" customHeight="1">
      <c r="A998" s="721"/>
    </row>
    <row r="999" spans="1:1" s="607" customFormat="1" ht="24.95" customHeight="1">
      <c r="A999" s="721"/>
    </row>
    <row r="1000" spans="1:1" s="607" customFormat="1" ht="24.95" customHeight="1">
      <c r="A1000" s="721"/>
    </row>
    <row r="1001" spans="1:1" s="607" customFormat="1" ht="24.95" customHeight="1">
      <c r="A1001" s="721"/>
    </row>
    <row r="1002" spans="1:1" s="607" customFormat="1" ht="24.95" customHeight="1">
      <c r="A1002" s="721"/>
    </row>
    <row r="1003" spans="1:1" s="607" customFormat="1" ht="24.95" customHeight="1">
      <c r="A1003" s="721"/>
    </row>
    <row r="1004" spans="1:1" s="607" customFormat="1" ht="24.95" customHeight="1">
      <c r="A1004" s="721"/>
    </row>
    <row r="1005" spans="1:1" s="607" customFormat="1" ht="24.95" customHeight="1">
      <c r="A1005" s="721"/>
    </row>
    <row r="1006" spans="1:1" s="607" customFormat="1" ht="24.95" customHeight="1">
      <c r="A1006" s="721"/>
    </row>
    <row r="1007" spans="1:1" s="607" customFormat="1" ht="24.95" customHeight="1">
      <c r="A1007" s="721"/>
    </row>
    <row r="1008" spans="1:1" s="607" customFormat="1" ht="24.95" customHeight="1">
      <c r="A1008" s="721"/>
    </row>
    <row r="1009" spans="1:1" s="607" customFormat="1" ht="24.95" customHeight="1">
      <c r="A1009" s="721"/>
    </row>
    <row r="1010" spans="1:1" s="607" customFormat="1" ht="24.95" customHeight="1">
      <c r="A1010" s="721"/>
    </row>
    <row r="1011" spans="1:1" s="607" customFormat="1" ht="24.95" customHeight="1">
      <c r="A1011" s="721"/>
    </row>
    <row r="1012" spans="1:1" s="607" customFormat="1" ht="24.95" customHeight="1">
      <c r="A1012" s="721"/>
    </row>
    <row r="1013" spans="1:1" s="607" customFormat="1" ht="24.95" customHeight="1">
      <c r="A1013" s="721"/>
    </row>
    <row r="1014" spans="1:1" s="607" customFormat="1" ht="24.95" customHeight="1">
      <c r="A1014" s="721"/>
    </row>
    <row r="1015" spans="1:1" s="607" customFormat="1" ht="24.95" customHeight="1">
      <c r="A1015" s="721"/>
    </row>
    <row r="1016" spans="1:1" s="607" customFormat="1" ht="24.95" customHeight="1">
      <c r="A1016" s="721"/>
    </row>
    <row r="1017" spans="1:1" s="607" customFormat="1" ht="24.95" customHeight="1">
      <c r="A1017" s="721"/>
    </row>
    <row r="1018" spans="1:1" s="607" customFormat="1" ht="24.95" customHeight="1">
      <c r="A1018" s="721"/>
    </row>
    <row r="1019" spans="1:1" s="607" customFormat="1" ht="24.95" customHeight="1">
      <c r="A1019" s="721"/>
    </row>
    <row r="1020" spans="1:1" s="607" customFormat="1" ht="24.95" customHeight="1">
      <c r="A1020" s="721"/>
    </row>
    <row r="1021" spans="1:1" s="607" customFormat="1" ht="24.95" customHeight="1">
      <c r="A1021" s="721"/>
    </row>
    <row r="1022" spans="1:1" s="607" customFormat="1" ht="24.95" customHeight="1">
      <c r="A1022" s="721"/>
    </row>
    <row r="1023" spans="1:1" s="607" customFormat="1" ht="24.95" customHeight="1">
      <c r="A1023" s="721"/>
    </row>
    <row r="1024" spans="1:1" s="607" customFormat="1" ht="24.95" customHeight="1">
      <c r="A1024" s="721"/>
    </row>
    <row r="1025" spans="1:1" s="607" customFormat="1" ht="24.95" customHeight="1">
      <c r="A1025" s="721"/>
    </row>
    <row r="1026" spans="1:1" s="607" customFormat="1" ht="24.95" customHeight="1">
      <c r="A1026" s="721"/>
    </row>
    <row r="1027" spans="1:1" s="607" customFormat="1" ht="24.95" customHeight="1">
      <c r="A1027" s="721"/>
    </row>
    <row r="1028" spans="1:1" s="607" customFormat="1" ht="24.95" customHeight="1">
      <c r="A1028" s="721"/>
    </row>
    <row r="1029" spans="1:1" s="607" customFormat="1" ht="24.95" customHeight="1">
      <c r="A1029" s="721"/>
    </row>
    <row r="1030" spans="1:1" s="607" customFormat="1" ht="24.95" customHeight="1">
      <c r="A1030" s="721"/>
    </row>
    <row r="1031" spans="1:1" s="607" customFormat="1" ht="24.95" customHeight="1">
      <c r="A1031" s="721"/>
    </row>
    <row r="1032" spans="1:1" s="607" customFormat="1" ht="24.95" customHeight="1">
      <c r="A1032" s="721"/>
    </row>
    <row r="1033" spans="1:1" s="607" customFormat="1" ht="24.95" customHeight="1">
      <c r="A1033" s="721"/>
    </row>
    <row r="1034" spans="1:1" s="607" customFormat="1" ht="24.95" customHeight="1">
      <c r="A1034" s="721"/>
    </row>
    <row r="1035" spans="1:1" s="607" customFormat="1" ht="24.95" customHeight="1">
      <c r="A1035" s="721"/>
    </row>
    <row r="1036" spans="1:1" s="607" customFormat="1" ht="24.95" customHeight="1">
      <c r="A1036" s="721"/>
    </row>
    <row r="1037" spans="1:1" s="607" customFormat="1" ht="24.95" customHeight="1">
      <c r="A1037" s="721"/>
    </row>
    <row r="1038" spans="1:1" s="607" customFormat="1" ht="24.95" customHeight="1">
      <c r="A1038" s="721"/>
    </row>
    <row r="1039" spans="1:1" s="607" customFormat="1" ht="24.95" customHeight="1">
      <c r="A1039" s="721"/>
    </row>
    <row r="1040" spans="1:1" s="607" customFormat="1" ht="24.95" customHeight="1">
      <c r="A1040" s="721"/>
    </row>
    <row r="1041" spans="1:1" s="607" customFormat="1" ht="24.95" customHeight="1">
      <c r="A1041" s="721"/>
    </row>
    <row r="1042" spans="1:1" s="607" customFormat="1" ht="24.95" customHeight="1">
      <c r="A1042" s="721"/>
    </row>
    <row r="1043" spans="1:1" s="607" customFormat="1" ht="24.95" customHeight="1">
      <c r="A1043" s="721"/>
    </row>
    <row r="1044" spans="1:1" s="607" customFormat="1" ht="24.95" customHeight="1">
      <c r="A1044" s="721"/>
    </row>
    <row r="1045" spans="1:1" s="607" customFormat="1" ht="24.95" customHeight="1">
      <c r="A1045" s="721"/>
    </row>
    <row r="1046" spans="1:1" s="607" customFormat="1" ht="24.95" customHeight="1">
      <c r="A1046" s="721"/>
    </row>
    <row r="1047" spans="1:1" s="607" customFormat="1" ht="24.95" customHeight="1">
      <c r="A1047" s="721"/>
    </row>
    <row r="1048" spans="1:1" s="607" customFormat="1" ht="24.95" customHeight="1">
      <c r="A1048" s="721"/>
    </row>
    <row r="1049" spans="1:1" s="607" customFormat="1" ht="24.95" customHeight="1">
      <c r="A1049" s="721"/>
    </row>
    <row r="1050" spans="1:1" s="607" customFormat="1" ht="24.95" customHeight="1">
      <c r="A1050" s="721"/>
    </row>
    <row r="1051" spans="1:1" s="607" customFormat="1" ht="24.95" customHeight="1">
      <c r="A1051" s="721"/>
    </row>
    <row r="1052" spans="1:1" s="607" customFormat="1" ht="24.95" customHeight="1">
      <c r="A1052" s="721"/>
    </row>
    <row r="1053" spans="1:1" s="607" customFormat="1" ht="24.95" customHeight="1">
      <c r="A1053" s="721"/>
    </row>
    <row r="1054" spans="1:1" s="607" customFormat="1" ht="24.95" customHeight="1">
      <c r="A1054" s="721"/>
    </row>
    <row r="1055" spans="1:1" s="607" customFormat="1" ht="24.95" customHeight="1">
      <c r="A1055" s="721"/>
    </row>
    <row r="1056" spans="1:1" s="607" customFormat="1" ht="24.95" customHeight="1">
      <c r="A1056" s="721"/>
    </row>
    <row r="1057" spans="1:1" s="607" customFormat="1" ht="24.95" customHeight="1">
      <c r="A1057" s="721"/>
    </row>
    <row r="1058" spans="1:1" s="607" customFormat="1" ht="24.95" customHeight="1">
      <c r="A1058" s="721"/>
    </row>
    <row r="1059" spans="1:1" s="607" customFormat="1" ht="24.95" customHeight="1">
      <c r="A1059" s="721"/>
    </row>
    <row r="1060" spans="1:1" s="607" customFormat="1" ht="24.95" customHeight="1">
      <c r="A1060" s="721"/>
    </row>
    <row r="1061" spans="1:1" s="607" customFormat="1" ht="24.95" customHeight="1">
      <c r="A1061" s="721"/>
    </row>
    <row r="1062" spans="1:1" s="607" customFormat="1" ht="24.95" customHeight="1">
      <c r="A1062" s="721"/>
    </row>
    <row r="1063" spans="1:1" s="607" customFormat="1" ht="24.95" customHeight="1">
      <c r="A1063" s="721"/>
    </row>
    <row r="1064" spans="1:1" s="607" customFormat="1" ht="24.95" customHeight="1">
      <c r="A1064" s="721"/>
    </row>
    <row r="1065" spans="1:1" s="607" customFormat="1" ht="24.95" customHeight="1">
      <c r="A1065" s="721"/>
    </row>
    <row r="1066" spans="1:1" s="607" customFormat="1" ht="24.95" customHeight="1">
      <c r="A1066" s="721"/>
    </row>
    <row r="1067" spans="1:1" s="607" customFormat="1" ht="24.95" customHeight="1">
      <c r="A1067" s="721"/>
    </row>
    <row r="1068" spans="1:1" s="607" customFormat="1" ht="24.95" customHeight="1">
      <c r="A1068" s="721"/>
    </row>
    <row r="1069" spans="1:1" s="607" customFormat="1" ht="24.95" customHeight="1">
      <c r="A1069" s="721"/>
    </row>
    <row r="1070" spans="1:1" s="607" customFormat="1" ht="24.95" customHeight="1">
      <c r="A1070" s="721"/>
    </row>
    <row r="1071" spans="1:1" s="607" customFormat="1" ht="24.95" customHeight="1">
      <c r="A1071" s="721"/>
    </row>
    <row r="1072" spans="1:1" s="607" customFormat="1" ht="24.95" customHeight="1">
      <c r="A1072" s="721"/>
    </row>
    <row r="1073" spans="1:1" s="607" customFormat="1" ht="24.95" customHeight="1">
      <c r="A1073" s="721"/>
    </row>
    <row r="1074" spans="1:1" s="607" customFormat="1" ht="24.95" customHeight="1">
      <c r="A1074" s="721"/>
    </row>
    <row r="1075" spans="1:1" s="607" customFormat="1" ht="24.95" customHeight="1">
      <c r="A1075" s="721"/>
    </row>
    <row r="1076" spans="1:1" s="607" customFormat="1" ht="24.95" customHeight="1">
      <c r="A1076" s="721"/>
    </row>
    <row r="1077" spans="1:1" s="607" customFormat="1" ht="24.95" customHeight="1">
      <c r="A1077" s="721"/>
    </row>
    <row r="1078" spans="1:1" s="607" customFormat="1" ht="24.95" customHeight="1">
      <c r="A1078" s="721"/>
    </row>
    <row r="1079" spans="1:1" s="607" customFormat="1" ht="24.95" customHeight="1">
      <c r="A1079" s="721"/>
    </row>
    <row r="1080" spans="1:1" s="607" customFormat="1" ht="24.95" customHeight="1">
      <c r="A1080" s="721"/>
    </row>
    <row r="1081" spans="1:1" s="607" customFormat="1" ht="24.95" customHeight="1">
      <c r="A1081" s="721"/>
    </row>
    <row r="1082" spans="1:1" s="607" customFormat="1" ht="24.95" customHeight="1">
      <c r="A1082" s="721"/>
    </row>
    <row r="1083" spans="1:1" s="607" customFormat="1" ht="24.95" customHeight="1">
      <c r="A1083" s="721"/>
    </row>
    <row r="1084" spans="1:1" s="607" customFormat="1" ht="24.95" customHeight="1">
      <c r="A1084" s="721"/>
    </row>
    <row r="1085" spans="1:1" s="607" customFormat="1" ht="24.95" customHeight="1">
      <c r="A1085" s="721"/>
    </row>
    <row r="1086" spans="1:1" s="607" customFormat="1" ht="24.95" customHeight="1">
      <c r="A1086" s="721"/>
    </row>
    <row r="1087" spans="1:1" s="607" customFormat="1" ht="24.95" customHeight="1">
      <c r="A1087" s="721"/>
    </row>
    <row r="1088" spans="1:1" s="607" customFormat="1" ht="24.95" customHeight="1">
      <c r="A1088" s="721"/>
    </row>
    <row r="1089" spans="1:1" s="607" customFormat="1" ht="24.95" customHeight="1">
      <c r="A1089" s="721"/>
    </row>
    <row r="1090" spans="1:1" s="607" customFormat="1" ht="24.95" customHeight="1">
      <c r="A1090" s="721"/>
    </row>
    <row r="1091" spans="1:1" s="607" customFormat="1" ht="24.95" customHeight="1">
      <c r="A1091" s="721"/>
    </row>
    <row r="1092" spans="1:1" s="607" customFormat="1" ht="24.95" customHeight="1">
      <c r="A1092" s="721"/>
    </row>
    <row r="1093" spans="1:1" s="607" customFormat="1" ht="24.95" customHeight="1">
      <c r="A1093" s="721"/>
    </row>
    <row r="1094" spans="1:1" s="607" customFormat="1" ht="24.95" customHeight="1">
      <c r="A1094" s="721"/>
    </row>
    <row r="1095" spans="1:1" s="607" customFormat="1" ht="24.95" customHeight="1">
      <c r="A1095" s="721"/>
    </row>
    <row r="1096" spans="1:1" s="607" customFormat="1" ht="24.95" customHeight="1">
      <c r="A1096" s="721"/>
    </row>
    <row r="1097" spans="1:1" s="607" customFormat="1" ht="24.95" customHeight="1">
      <c r="A1097" s="721"/>
    </row>
    <row r="1098" spans="1:1" s="607" customFormat="1" ht="24.95" customHeight="1">
      <c r="A1098" s="721"/>
    </row>
    <row r="1099" spans="1:1" s="607" customFormat="1" ht="24.95" customHeight="1">
      <c r="A1099" s="721"/>
    </row>
    <row r="1100" spans="1:1" s="607" customFormat="1" ht="24.95" customHeight="1">
      <c r="A1100" s="721"/>
    </row>
    <row r="1101" spans="1:1" s="607" customFormat="1" ht="24.95" customHeight="1">
      <c r="A1101" s="721"/>
    </row>
    <row r="1102" spans="1:1" s="607" customFormat="1" ht="24.95" customHeight="1">
      <c r="A1102" s="721"/>
    </row>
    <row r="1103" spans="1:1" s="607" customFormat="1" ht="24.95" customHeight="1">
      <c r="A1103" s="721"/>
    </row>
    <row r="1104" spans="1:1" s="607" customFormat="1" ht="24.95" customHeight="1">
      <c r="A1104" s="721"/>
    </row>
    <row r="1105" spans="1:1" s="607" customFormat="1" ht="24.95" customHeight="1">
      <c r="A1105" s="721"/>
    </row>
    <row r="1106" spans="1:1" s="607" customFormat="1" ht="24.95" customHeight="1">
      <c r="A1106" s="721"/>
    </row>
    <row r="1107" spans="1:1" s="607" customFormat="1" ht="24.95" customHeight="1">
      <c r="A1107" s="721"/>
    </row>
    <row r="1108" spans="1:1" s="607" customFormat="1" ht="24.95" customHeight="1">
      <c r="A1108" s="721"/>
    </row>
    <row r="1109" spans="1:1" s="607" customFormat="1" ht="24.95" customHeight="1">
      <c r="A1109" s="721"/>
    </row>
    <row r="1110" spans="1:1" s="607" customFormat="1" ht="24.95" customHeight="1">
      <c r="A1110" s="721"/>
    </row>
    <row r="1111" spans="1:1" s="607" customFormat="1" ht="24.95" customHeight="1">
      <c r="A1111" s="721"/>
    </row>
    <row r="1112" spans="1:1" s="607" customFormat="1" ht="24.95" customHeight="1">
      <c r="A1112" s="721"/>
    </row>
    <row r="1113" spans="1:1" s="607" customFormat="1" ht="24.95" customHeight="1">
      <c r="A1113" s="721"/>
    </row>
    <row r="1114" spans="1:1" s="607" customFormat="1" ht="24.95" customHeight="1">
      <c r="A1114" s="721"/>
    </row>
    <row r="1115" spans="1:1" s="607" customFormat="1" ht="24.95" customHeight="1">
      <c r="A1115" s="721"/>
    </row>
    <row r="1116" spans="1:1" s="607" customFormat="1" ht="24.95" customHeight="1">
      <c r="A1116" s="721"/>
    </row>
    <row r="1117" spans="1:1" s="607" customFormat="1" ht="24.95" customHeight="1">
      <c r="A1117" s="721"/>
    </row>
    <row r="1118" spans="1:1" s="607" customFormat="1" ht="24.95" customHeight="1">
      <c r="A1118" s="721"/>
    </row>
    <row r="1119" spans="1:1" s="607" customFormat="1" ht="24.95" customHeight="1">
      <c r="A1119" s="721"/>
    </row>
    <row r="1120" spans="1:1" s="607" customFormat="1" ht="24.95" customHeight="1">
      <c r="A1120" s="721"/>
    </row>
    <row r="1121" spans="1:1" s="607" customFormat="1" ht="24.95" customHeight="1">
      <c r="A1121" s="721"/>
    </row>
    <row r="1122" spans="1:1" s="607" customFormat="1" ht="24.95" customHeight="1">
      <c r="A1122" s="721"/>
    </row>
    <row r="1123" spans="1:1" s="607" customFormat="1" ht="24.95" customHeight="1">
      <c r="A1123" s="721"/>
    </row>
    <row r="1124" spans="1:1" s="607" customFormat="1" ht="24.95" customHeight="1">
      <c r="A1124" s="721"/>
    </row>
    <row r="1125" spans="1:1" s="607" customFormat="1" ht="24.95" customHeight="1">
      <c r="A1125" s="721"/>
    </row>
    <row r="1126" spans="1:1" s="607" customFormat="1" ht="24.95" customHeight="1">
      <c r="A1126" s="721"/>
    </row>
    <row r="1127" spans="1:1" s="607" customFormat="1" ht="24.95" customHeight="1">
      <c r="A1127" s="721"/>
    </row>
    <row r="1128" spans="1:1" s="607" customFormat="1" ht="24.95" customHeight="1">
      <c r="A1128" s="721"/>
    </row>
    <row r="1129" spans="1:1" s="607" customFormat="1" ht="24.95" customHeight="1">
      <c r="A1129" s="721"/>
    </row>
    <row r="1130" spans="1:1" s="607" customFormat="1" ht="24.95" customHeight="1">
      <c r="A1130" s="721"/>
    </row>
    <row r="1131" spans="1:1" s="607" customFormat="1" ht="24.95" customHeight="1">
      <c r="A1131" s="721"/>
    </row>
    <row r="1132" spans="1:1" s="607" customFormat="1" ht="24.95" customHeight="1">
      <c r="A1132" s="721"/>
    </row>
    <row r="1133" spans="1:1" s="607" customFormat="1" ht="24.95" customHeight="1">
      <c r="A1133" s="721"/>
    </row>
    <row r="1134" spans="1:1" s="607" customFormat="1" ht="24.95" customHeight="1">
      <c r="A1134" s="721"/>
    </row>
    <row r="1135" spans="1:1" s="607" customFormat="1" ht="24.95" customHeight="1">
      <c r="A1135" s="721"/>
    </row>
    <row r="1136" spans="1:1" s="607" customFormat="1" ht="24.95" customHeight="1">
      <c r="A1136" s="721"/>
    </row>
    <row r="1137" spans="1:1" s="607" customFormat="1" ht="24.95" customHeight="1">
      <c r="A1137" s="721"/>
    </row>
    <row r="1138" spans="1:1" s="607" customFormat="1" ht="24.95" customHeight="1">
      <c r="A1138" s="721"/>
    </row>
    <row r="1139" spans="1:1" s="607" customFormat="1" ht="24.95" customHeight="1">
      <c r="A1139" s="721"/>
    </row>
    <row r="1140" spans="1:1" s="607" customFormat="1" ht="24.95" customHeight="1">
      <c r="A1140" s="721"/>
    </row>
    <row r="1141" spans="1:1" s="607" customFormat="1" ht="24.95" customHeight="1">
      <c r="A1141" s="721"/>
    </row>
    <row r="1142" spans="1:1" s="607" customFormat="1" ht="24.95" customHeight="1">
      <c r="A1142" s="721"/>
    </row>
    <row r="1143" spans="1:1" s="607" customFormat="1" ht="24.95" customHeight="1">
      <c r="A1143" s="721"/>
    </row>
    <row r="1144" spans="1:1" s="607" customFormat="1" ht="24.95" customHeight="1">
      <c r="A1144" s="721"/>
    </row>
    <row r="1145" spans="1:1" s="607" customFormat="1" ht="24.95" customHeight="1">
      <c r="A1145" s="721"/>
    </row>
    <row r="1146" spans="1:1" s="607" customFormat="1" ht="24.95" customHeight="1">
      <c r="A1146" s="721"/>
    </row>
    <row r="1147" spans="1:1" s="607" customFormat="1" ht="24.95" customHeight="1">
      <c r="A1147" s="721"/>
    </row>
    <row r="1148" spans="1:1" s="607" customFormat="1" ht="24.95" customHeight="1">
      <c r="A1148" s="721"/>
    </row>
    <row r="1149" spans="1:1" s="607" customFormat="1" ht="24.95" customHeight="1">
      <c r="A1149" s="721"/>
    </row>
    <row r="1150" spans="1:1" s="607" customFormat="1" ht="24.95" customHeight="1">
      <c r="A1150" s="721"/>
    </row>
    <row r="1151" spans="1:1" s="607" customFormat="1" ht="24.95" customHeight="1">
      <c r="A1151" s="721"/>
    </row>
    <row r="1152" spans="1:1" s="607" customFormat="1" ht="24.95" customHeight="1">
      <c r="A1152" s="721"/>
    </row>
    <row r="1153" spans="1:1" s="607" customFormat="1" ht="24.95" customHeight="1">
      <c r="A1153" s="721"/>
    </row>
    <row r="1154" spans="1:1" s="607" customFormat="1" ht="24.95" customHeight="1">
      <c r="A1154" s="721"/>
    </row>
    <row r="1155" spans="1:1" s="607" customFormat="1" ht="24.95" customHeight="1">
      <c r="A1155" s="721"/>
    </row>
    <row r="1156" spans="1:1" s="607" customFormat="1" ht="24.95" customHeight="1">
      <c r="A1156" s="721"/>
    </row>
    <row r="1157" spans="1:1" s="607" customFormat="1" ht="24.95" customHeight="1">
      <c r="A1157" s="721"/>
    </row>
    <row r="1158" spans="1:1" s="607" customFormat="1" ht="24.95" customHeight="1">
      <c r="A1158" s="721"/>
    </row>
    <row r="1159" spans="1:1" s="607" customFormat="1" ht="24.95" customHeight="1">
      <c r="A1159" s="721"/>
    </row>
    <row r="1160" spans="1:1" s="607" customFormat="1" ht="24.95" customHeight="1">
      <c r="A1160" s="721"/>
    </row>
    <row r="1161" spans="1:1" s="607" customFormat="1" ht="24.95" customHeight="1">
      <c r="A1161" s="721"/>
    </row>
    <row r="1162" spans="1:1" s="607" customFormat="1" ht="24.95" customHeight="1">
      <c r="A1162" s="721"/>
    </row>
    <row r="1163" spans="1:1" s="607" customFormat="1" ht="24.95" customHeight="1">
      <c r="A1163" s="721"/>
    </row>
    <row r="1164" spans="1:1" s="607" customFormat="1" ht="24.95" customHeight="1">
      <c r="A1164" s="721"/>
    </row>
    <row r="1165" spans="1:1" s="607" customFormat="1" ht="24.95" customHeight="1">
      <c r="A1165" s="721"/>
    </row>
    <row r="1166" spans="1:1" s="607" customFormat="1" ht="24.95" customHeight="1">
      <c r="A1166" s="721"/>
    </row>
    <row r="1167" spans="1:1" s="607" customFormat="1" ht="24.95" customHeight="1">
      <c r="A1167" s="721"/>
    </row>
    <row r="1168" spans="1:1" s="607" customFormat="1" ht="24.95" customHeight="1">
      <c r="A1168" s="721"/>
    </row>
    <row r="1169" spans="1:1" s="607" customFormat="1" ht="24.95" customHeight="1">
      <c r="A1169" s="721"/>
    </row>
    <row r="1170" spans="1:1" s="607" customFormat="1" ht="24.95" customHeight="1">
      <c r="A1170" s="721"/>
    </row>
    <row r="1171" spans="1:1" s="607" customFormat="1" ht="24.95" customHeight="1">
      <c r="A1171" s="721"/>
    </row>
    <row r="1172" spans="1:1" s="607" customFormat="1" ht="24.95" customHeight="1">
      <c r="A1172" s="721"/>
    </row>
    <row r="1173" spans="1:1" s="607" customFormat="1" ht="24.95" customHeight="1">
      <c r="A1173" s="721"/>
    </row>
    <row r="1174" spans="1:1" s="607" customFormat="1" ht="24.95" customHeight="1">
      <c r="A1174" s="721"/>
    </row>
    <row r="1175" spans="1:1" s="607" customFormat="1" ht="24.95" customHeight="1">
      <c r="A1175" s="721"/>
    </row>
    <row r="1176" spans="1:1" s="607" customFormat="1" ht="24.95" customHeight="1">
      <c r="A1176" s="721"/>
    </row>
    <row r="1177" spans="1:1" s="607" customFormat="1" ht="24.95" customHeight="1">
      <c r="A1177" s="721"/>
    </row>
    <row r="1178" spans="1:1" s="607" customFormat="1" ht="24.95" customHeight="1">
      <c r="A1178" s="721"/>
    </row>
    <row r="1179" spans="1:1" s="607" customFormat="1" ht="24.95" customHeight="1">
      <c r="A1179" s="721"/>
    </row>
    <row r="1180" spans="1:1" s="607" customFormat="1" ht="24.95" customHeight="1">
      <c r="A1180" s="721"/>
    </row>
    <row r="1181" spans="1:1" s="607" customFormat="1" ht="24.95" customHeight="1">
      <c r="A1181" s="721"/>
    </row>
    <row r="1182" spans="1:1" s="607" customFormat="1" ht="24.95" customHeight="1">
      <c r="A1182" s="721"/>
    </row>
    <row r="1183" spans="1:1" s="607" customFormat="1" ht="24.95" customHeight="1">
      <c r="A1183" s="721"/>
    </row>
    <row r="1184" spans="1:1" s="607" customFormat="1" ht="24.95" customHeight="1">
      <c r="A1184" s="721"/>
    </row>
    <row r="1185" spans="1:1" s="607" customFormat="1" ht="24.95" customHeight="1">
      <c r="A1185" s="721"/>
    </row>
    <row r="1186" spans="1:1" s="607" customFormat="1" ht="24.95" customHeight="1">
      <c r="A1186" s="721"/>
    </row>
    <row r="1187" spans="1:1" s="607" customFormat="1" ht="24.95" customHeight="1">
      <c r="A1187" s="721"/>
    </row>
    <row r="1188" spans="1:1" s="607" customFormat="1" ht="24.95" customHeight="1">
      <c r="A1188" s="721"/>
    </row>
    <row r="1189" spans="1:1" s="607" customFormat="1" ht="24.95" customHeight="1">
      <c r="A1189" s="721"/>
    </row>
    <row r="1190" spans="1:1" s="607" customFormat="1" ht="24.95" customHeight="1">
      <c r="A1190" s="721"/>
    </row>
    <row r="1191" spans="1:1" s="607" customFormat="1" ht="24.95" customHeight="1">
      <c r="A1191" s="721"/>
    </row>
    <row r="1192" spans="1:1" s="607" customFormat="1" ht="24.95" customHeight="1">
      <c r="A1192" s="721"/>
    </row>
    <row r="1193" spans="1:1" s="607" customFormat="1" ht="24.95" customHeight="1">
      <c r="A1193" s="721"/>
    </row>
    <row r="1194" spans="1:1" s="607" customFormat="1" ht="24.95" customHeight="1">
      <c r="A1194" s="721"/>
    </row>
    <row r="1195" spans="1:1" s="607" customFormat="1" ht="24.95" customHeight="1">
      <c r="A1195" s="721"/>
    </row>
    <row r="1196" spans="1:1" s="607" customFormat="1" ht="24.95" customHeight="1">
      <c r="A1196" s="721"/>
    </row>
    <row r="1197" spans="1:1" s="607" customFormat="1" ht="24.95" customHeight="1">
      <c r="A1197" s="721"/>
    </row>
    <row r="1198" spans="1:1" s="607" customFormat="1" ht="24.95" customHeight="1">
      <c r="A1198" s="721"/>
    </row>
    <row r="1199" spans="1:1" s="607" customFormat="1" ht="24.95" customHeight="1">
      <c r="A1199" s="721"/>
    </row>
    <row r="1200" spans="1:1" s="607" customFormat="1" ht="24.95" customHeight="1">
      <c r="A1200" s="721"/>
    </row>
    <row r="1201" spans="1:1" s="607" customFormat="1" ht="24.95" customHeight="1">
      <c r="A1201" s="721"/>
    </row>
    <row r="1202" spans="1:1" s="607" customFormat="1" ht="24.95" customHeight="1">
      <c r="A1202" s="721"/>
    </row>
    <row r="1203" spans="1:1" s="607" customFormat="1" ht="24.95" customHeight="1">
      <c r="A1203" s="721"/>
    </row>
    <row r="1204" spans="1:1" s="607" customFormat="1" ht="24.95" customHeight="1">
      <c r="A1204" s="721"/>
    </row>
    <row r="1205" spans="1:1" s="607" customFormat="1" ht="24.95" customHeight="1">
      <c r="A1205" s="721"/>
    </row>
    <row r="1206" spans="1:1" s="607" customFormat="1" ht="24.95" customHeight="1">
      <c r="A1206" s="721"/>
    </row>
    <row r="1207" spans="1:1" s="607" customFormat="1" ht="24.95" customHeight="1">
      <c r="A1207" s="721"/>
    </row>
    <row r="1208" spans="1:1" s="607" customFormat="1" ht="24.95" customHeight="1">
      <c r="A1208" s="721"/>
    </row>
    <row r="1209" spans="1:1" s="607" customFormat="1" ht="24.95" customHeight="1">
      <c r="A1209" s="721"/>
    </row>
    <row r="1210" spans="1:1" s="607" customFormat="1" ht="24.95" customHeight="1">
      <c r="A1210" s="721"/>
    </row>
    <row r="1211" spans="1:1" s="607" customFormat="1" ht="24.95" customHeight="1">
      <c r="A1211" s="721"/>
    </row>
    <row r="1212" spans="1:1" s="607" customFormat="1" ht="24.95" customHeight="1">
      <c r="A1212" s="721"/>
    </row>
    <row r="1213" spans="1:1" s="607" customFormat="1" ht="24.95" customHeight="1">
      <c r="A1213" s="721"/>
    </row>
    <row r="1214" spans="1:1" s="607" customFormat="1" ht="24.95" customHeight="1">
      <c r="A1214" s="721"/>
    </row>
    <row r="1215" spans="1:1" s="607" customFormat="1" ht="24.95" customHeight="1">
      <c r="A1215" s="721"/>
    </row>
    <row r="1216" spans="1:1" s="607" customFormat="1" ht="24.95" customHeight="1">
      <c r="A1216" s="721"/>
    </row>
    <row r="1217" spans="1:1" s="607" customFormat="1" ht="24.95" customHeight="1">
      <c r="A1217" s="721"/>
    </row>
    <row r="1218" spans="1:1" s="607" customFormat="1" ht="24.95" customHeight="1">
      <c r="A1218" s="721"/>
    </row>
    <row r="1219" spans="1:1" s="607" customFormat="1" ht="24.95" customHeight="1">
      <c r="A1219" s="721"/>
    </row>
    <row r="1220" spans="1:1" s="607" customFormat="1" ht="24.95" customHeight="1">
      <c r="A1220" s="721"/>
    </row>
    <row r="1221" spans="1:1" s="607" customFormat="1" ht="24.95" customHeight="1">
      <c r="A1221" s="721"/>
    </row>
    <row r="1222" spans="1:1" s="607" customFormat="1" ht="24.95" customHeight="1">
      <c r="A1222" s="721"/>
    </row>
    <row r="1223" spans="1:1" s="607" customFormat="1" ht="24.95" customHeight="1">
      <c r="A1223" s="721"/>
    </row>
    <row r="1224" spans="1:1" s="607" customFormat="1" ht="24.95" customHeight="1">
      <c r="A1224" s="721"/>
    </row>
    <row r="1225" spans="1:1" s="607" customFormat="1" ht="24.95" customHeight="1">
      <c r="A1225" s="721"/>
    </row>
    <row r="1226" spans="1:1" s="607" customFormat="1" ht="24.95" customHeight="1">
      <c r="A1226" s="721"/>
    </row>
    <row r="1227" spans="1:1" s="607" customFormat="1" ht="24.95" customHeight="1">
      <c r="A1227" s="721"/>
    </row>
    <row r="1228" spans="1:1" s="607" customFormat="1" ht="24.95" customHeight="1">
      <c r="A1228" s="721"/>
    </row>
    <row r="1229" spans="1:1" s="607" customFormat="1" ht="24.95" customHeight="1">
      <c r="A1229" s="721"/>
    </row>
    <row r="1230" spans="1:1" s="607" customFormat="1" ht="24.95" customHeight="1">
      <c r="A1230" s="721"/>
    </row>
    <row r="1231" spans="1:1" s="607" customFormat="1" ht="24.95" customHeight="1">
      <c r="A1231" s="721"/>
    </row>
    <row r="1232" spans="1:1" s="607" customFormat="1" ht="24.95" customHeight="1">
      <c r="A1232" s="721"/>
    </row>
    <row r="1233" spans="1:1" s="607" customFormat="1" ht="24.95" customHeight="1">
      <c r="A1233" s="721"/>
    </row>
    <row r="1234" spans="1:1" s="607" customFormat="1" ht="24.95" customHeight="1">
      <c r="A1234" s="721"/>
    </row>
    <row r="1235" spans="1:1" s="607" customFormat="1" ht="24.95" customHeight="1">
      <c r="A1235" s="721"/>
    </row>
    <row r="1236" spans="1:1" s="607" customFormat="1" ht="24.95" customHeight="1">
      <c r="A1236" s="721"/>
    </row>
    <row r="1237" spans="1:1" s="607" customFormat="1" ht="24.95" customHeight="1">
      <c r="A1237" s="721"/>
    </row>
    <row r="1238" spans="1:1" s="607" customFormat="1" ht="24.95" customHeight="1">
      <c r="A1238" s="721"/>
    </row>
    <row r="1239" spans="1:1" s="607" customFormat="1" ht="24.95" customHeight="1">
      <c r="A1239" s="721"/>
    </row>
    <row r="1240" spans="1:1" s="607" customFormat="1" ht="24.95" customHeight="1">
      <c r="A1240" s="721"/>
    </row>
    <row r="1241" spans="1:1" s="607" customFormat="1" ht="24.95" customHeight="1">
      <c r="A1241" s="721"/>
    </row>
    <row r="1242" spans="1:1" s="607" customFormat="1" ht="24.95" customHeight="1">
      <c r="A1242" s="721"/>
    </row>
    <row r="1243" spans="1:1" s="607" customFormat="1" ht="24.95" customHeight="1">
      <c r="A1243" s="721"/>
    </row>
    <row r="1244" spans="1:1" s="607" customFormat="1" ht="24.95" customHeight="1">
      <c r="A1244" s="721"/>
    </row>
    <row r="1245" spans="1:1" s="607" customFormat="1" ht="24.95" customHeight="1">
      <c r="A1245" s="721"/>
    </row>
    <row r="1246" spans="1:1" s="607" customFormat="1" ht="24.95" customHeight="1">
      <c r="A1246" s="721"/>
    </row>
    <row r="1247" spans="1:1" s="607" customFormat="1" ht="24.95" customHeight="1">
      <c r="A1247" s="721"/>
    </row>
    <row r="1248" spans="1:1" s="607" customFormat="1" ht="24.95" customHeight="1">
      <c r="A1248" s="721"/>
    </row>
    <row r="1249" spans="1:1" s="607" customFormat="1" ht="24.95" customHeight="1">
      <c r="A1249" s="721"/>
    </row>
    <row r="1250" spans="1:1" s="607" customFormat="1" ht="24.95" customHeight="1">
      <c r="A1250" s="721"/>
    </row>
    <row r="1251" spans="1:1" s="607" customFormat="1" ht="24.95" customHeight="1">
      <c r="A1251" s="721"/>
    </row>
    <row r="1252" spans="1:1" s="607" customFormat="1" ht="24.95" customHeight="1">
      <c r="A1252" s="721"/>
    </row>
    <row r="1253" spans="1:1" s="607" customFormat="1" ht="24.95" customHeight="1">
      <c r="A1253" s="721"/>
    </row>
    <row r="1254" spans="1:1" s="607" customFormat="1" ht="24.95" customHeight="1">
      <c r="A1254" s="721"/>
    </row>
    <row r="1255" spans="1:1" s="607" customFormat="1" ht="24.95" customHeight="1">
      <c r="A1255" s="721"/>
    </row>
    <row r="1256" spans="1:1" s="607" customFormat="1" ht="24.95" customHeight="1">
      <c r="A1256" s="721"/>
    </row>
    <row r="1257" spans="1:1" s="607" customFormat="1" ht="24.95" customHeight="1">
      <c r="A1257" s="721"/>
    </row>
    <row r="1258" spans="1:1" s="607" customFormat="1" ht="24.95" customHeight="1">
      <c r="A1258" s="721"/>
    </row>
    <row r="1259" spans="1:1" s="607" customFormat="1" ht="24.95" customHeight="1">
      <c r="A1259" s="721"/>
    </row>
    <row r="1260" spans="1:1" s="607" customFormat="1" ht="24.95" customHeight="1">
      <c r="A1260" s="721"/>
    </row>
    <row r="1261" spans="1:1" s="607" customFormat="1" ht="24.95" customHeight="1">
      <c r="A1261" s="721"/>
    </row>
    <row r="1262" spans="1:1" s="607" customFormat="1" ht="24.95" customHeight="1">
      <c r="A1262" s="721"/>
    </row>
    <row r="1263" spans="1:1" s="607" customFormat="1" ht="24.95" customHeight="1">
      <c r="A1263" s="721"/>
    </row>
    <row r="1264" spans="1:1" s="607" customFormat="1" ht="24.95" customHeight="1">
      <c r="A1264" s="721"/>
    </row>
    <row r="1265" spans="1:1" s="607" customFormat="1" ht="24.95" customHeight="1">
      <c r="A1265" s="721"/>
    </row>
    <row r="1266" spans="1:1" s="607" customFormat="1" ht="24.95" customHeight="1">
      <c r="A1266" s="721"/>
    </row>
    <row r="1267" spans="1:1" s="607" customFormat="1" ht="24.95" customHeight="1">
      <c r="A1267" s="721"/>
    </row>
    <row r="1268" spans="1:1" s="607" customFormat="1" ht="24.95" customHeight="1">
      <c r="A1268" s="721"/>
    </row>
    <row r="1269" spans="1:1" s="607" customFormat="1" ht="24.95" customHeight="1">
      <c r="A1269" s="721"/>
    </row>
    <row r="1270" spans="1:1" s="607" customFormat="1" ht="24.95" customHeight="1">
      <c r="A1270" s="721"/>
    </row>
    <row r="1271" spans="1:1" s="607" customFormat="1" ht="24.95" customHeight="1">
      <c r="A1271" s="721"/>
    </row>
    <row r="1272" spans="1:1" s="607" customFormat="1" ht="24.95" customHeight="1">
      <c r="A1272" s="721"/>
    </row>
    <row r="1273" spans="1:1" s="607" customFormat="1" ht="24.95" customHeight="1">
      <c r="A1273" s="721"/>
    </row>
    <row r="1274" spans="1:1" s="607" customFormat="1" ht="24.95" customHeight="1">
      <c r="A1274" s="721"/>
    </row>
    <row r="1275" spans="1:1" s="607" customFormat="1" ht="24.95" customHeight="1">
      <c r="A1275" s="721"/>
    </row>
    <row r="1276" spans="1:1" s="607" customFormat="1" ht="24.95" customHeight="1">
      <c r="A1276" s="721"/>
    </row>
    <row r="1277" spans="1:1" s="607" customFormat="1" ht="24.95" customHeight="1">
      <c r="A1277" s="721"/>
    </row>
    <row r="1278" spans="1:1" s="607" customFormat="1" ht="24.95" customHeight="1">
      <c r="A1278" s="721"/>
    </row>
    <row r="1279" spans="1:1" s="607" customFormat="1" ht="24.95" customHeight="1">
      <c r="A1279" s="721"/>
    </row>
    <row r="1280" spans="1:1" s="607" customFormat="1" ht="24.95" customHeight="1">
      <c r="A1280" s="721"/>
    </row>
    <row r="1281" spans="1:1" s="607" customFormat="1" ht="24.95" customHeight="1">
      <c r="A1281" s="721"/>
    </row>
    <row r="1282" spans="1:1" s="607" customFormat="1" ht="24.95" customHeight="1">
      <c r="A1282" s="721"/>
    </row>
    <row r="1283" spans="1:1" s="607" customFormat="1" ht="24.95" customHeight="1">
      <c r="A1283" s="721"/>
    </row>
    <row r="1284" spans="1:1" s="607" customFormat="1" ht="24.95" customHeight="1">
      <c r="A1284" s="721"/>
    </row>
    <row r="1285" spans="1:1" s="607" customFormat="1" ht="24.95" customHeight="1">
      <c r="A1285" s="721"/>
    </row>
    <row r="1286" spans="1:1" s="607" customFormat="1" ht="24.95" customHeight="1">
      <c r="A1286" s="721"/>
    </row>
    <row r="1287" spans="1:1" s="607" customFormat="1" ht="24.95" customHeight="1">
      <c r="A1287" s="721"/>
    </row>
    <row r="1288" spans="1:1" s="607" customFormat="1" ht="24.95" customHeight="1">
      <c r="A1288" s="721"/>
    </row>
    <row r="1289" spans="1:1" s="607" customFormat="1" ht="24.95" customHeight="1">
      <c r="A1289" s="721"/>
    </row>
    <row r="1290" spans="1:1" s="607" customFormat="1" ht="24.95" customHeight="1">
      <c r="A1290" s="721"/>
    </row>
    <row r="1291" spans="1:1" s="607" customFormat="1" ht="24.95" customHeight="1">
      <c r="A1291" s="721"/>
    </row>
    <row r="1292" spans="1:1" s="607" customFormat="1" ht="24.95" customHeight="1">
      <c r="A1292" s="721"/>
    </row>
    <row r="1293" spans="1:1" s="607" customFormat="1" ht="24.95" customHeight="1">
      <c r="A1293" s="721"/>
    </row>
    <row r="1294" spans="1:1" s="607" customFormat="1" ht="24.95" customHeight="1">
      <c r="A1294" s="721"/>
    </row>
    <row r="1295" spans="1:1" s="607" customFormat="1" ht="24.95" customHeight="1">
      <c r="A1295" s="721"/>
    </row>
    <row r="1296" spans="1:1" s="607" customFormat="1" ht="24.95" customHeight="1">
      <c r="A1296" s="721"/>
    </row>
    <row r="1297" spans="1:1" s="607" customFormat="1" ht="24.95" customHeight="1">
      <c r="A1297" s="721"/>
    </row>
    <row r="1298" spans="1:1" s="607" customFormat="1" ht="24.95" customHeight="1">
      <c r="A1298" s="721"/>
    </row>
    <row r="1299" spans="1:1" s="607" customFormat="1" ht="24.95" customHeight="1">
      <c r="A1299" s="721"/>
    </row>
    <row r="1300" spans="1:1" s="607" customFormat="1" ht="24.95" customHeight="1">
      <c r="A1300" s="721"/>
    </row>
    <row r="1301" spans="1:1" s="607" customFormat="1" ht="24.95" customHeight="1">
      <c r="A1301" s="721"/>
    </row>
    <row r="1302" spans="1:1" s="607" customFormat="1" ht="24.95" customHeight="1">
      <c r="A1302" s="721"/>
    </row>
    <row r="1303" spans="1:1" s="607" customFormat="1" ht="24.95" customHeight="1">
      <c r="A1303" s="721"/>
    </row>
    <row r="1304" spans="1:1" s="607" customFormat="1" ht="24.95" customHeight="1">
      <c r="A1304" s="721"/>
    </row>
    <row r="1305" spans="1:1" s="607" customFormat="1" ht="24.95" customHeight="1">
      <c r="A1305" s="721"/>
    </row>
    <row r="1306" spans="1:1" s="607" customFormat="1" ht="24.95" customHeight="1">
      <c r="A1306" s="721"/>
    </row>
    <row r="1307" spans="1:1" s="607" customFormat="1" ht="24.95" customHeight="1">
      <c r="A1307" s="721"/>
    </row>
    <row r="1308" spans="1:1" s="607" customFormat="1" ht="24.95" customHeight="1">
      <c r="A1308" s="721"/>
    </row>
    <row r="1309" spans="1:1" s="607" customFormat="1" ht="24.95" customHeight="1">
      <c r="A1309" s="721"/>
    </row>
    <row r="1310" spans="1:1" s="607" customFormat="1" ht="24.95" customHeight="1">
      <c r="A1310" s="721"/>
    </row>
    <row r="1311" spans="1:1" s="607" customFormat="1" ht="24.95" customHeight="1">
      <c r="A1311" s="721"/>
    </row>
    <row r="1312" spans="1:1" s="607" customFormat="1" ht="24.95" customHeight="1">
      <c r="A1312" s="721"/>
    </row>
    <row r="1313" spans="1:1" s="607" customFormat="1" ht="24.95" customHeight="1">
      <c r="A1313" s="721"/>
    </row>
    <row r="1314" spans="1:1" s="607" customFormat="1" ht="24.95" customHeight="1">
      <c r="A1314" s="721"/>
    </row>
    <row r="1315" spans="1:1" s="607" customFormat="1" ht="24.95" customHeight="1">
      <c r="A1315" s="721"/>
    </row>
    <row r="1316" spans="1:1" s="607" customFormat="1" ht="24.95" customHeight="1">
      <c r="A1316" s="721"/>
    </row>
    <row r="1317" spans="1:1" s="607" customFormat="1" ht="24.95" customHeight="1">
      <c r="A1317" s="721"/>
    </row>
    <row r="1318" spans="1:1" s="607" customFormat="1" ht="24.95" customHeight="1">
      <c r="A1318" s="721"/>
    </row>
    <row r="1319" spans="1:1" s="607" customFormat="1" ht="24.95" customHeight="1">
      <c r="A1319" s="721"/>
    </row>
    <row r="1320" spans="1:1" s="607" customFormat="1" ht="24.95" customHeight="1">
      <c r="A1320" s="721"/>
    </row>
    <row r="1321" spans="1:1" s="607" customFormat="1" ht="24.95" customHeight="1">
      <c r="A1321" s="721"/>
    </row>
    <row r="1322" spans="1:1" s="607" customFormat="1" ht="24.95" customHeight="1">
      <c r="A1322" s="721"/>
    </row>
    <row r="1323" spans="1:1" s="607" customFormat="1" ht="24.95" customHeight="1">
      <c r="A1323" s="721"/>
    </row>
    <row r="1324" spans="1:1" s="607" customFormat="1" ht="24.95" customHeight="1">
      <c r="A1324" s="721"/>
    </row>
    <row r="1325" spans="1:1" s="607" customFormat="1" ht="24.95" customHeight="1">
      <c r="A1325" s="721"/>
    </row>
    <row r="1326" spans="1:1" s="607" customFormat="1" ht="24.95" customHeight="1">
      <c r="A1326" s="721"/>
    </row>
    <row r="1327" spans="1:1" s="607" customFormat="1" ht="24.95" customHeight="1">
      <c r="A1327" s="721"/>
    </row>
    <row r="1328" spans="1:1" s="607" customFormat="1" ht="24.95" customHeight="1">
      <c r="A1328" s="721"/>
    </row>
    <row r="1329" spans="1:1" s="607" customFormat="1" ht="24.95" customHeight="1">
      <c r="A1329" s="721"/>
    </row>
    <row r="1330" spans="1:1" s="607" customFormat="1" ht="24.95" customHeight="1">
      <c r="A1330" s="721"/>
    </row>
    <row r="1331" spans="1:1" s="607" customFormat="1" ht="24.95" customHeight="1">
      <c r="A1331" s="721"/>
    </row>
    <row r="1332" spans="1:1" s="607" customFormat="1" ht="24.95" customHeight="1">
      <c r="A1332" s="721"/>
    </row>
    <row r="1333" spans="1:1" s="607" customFormat="1" ht="24.95" customHeight="1">
      <c r="A1333" s="721"/>
    </row>
    <row r="1334" spans="1:1" s="607" customFormat="1" ht="24.95" customHeight="1">
      <c r="A1334" s="721"/>
    </row>
    <row r="1335" spans="1:1" s="607" customFormat="1" ht="24.95" customHeight="1">
      <c r="A1335" s="721"/>
    </row>
    <row r="1336" spans="1:1" s="607" customFormat="1" ht="24.95" customHeight="1">
      <c r="A1336" s="721"/>
    </row>
    <row r="1337" spans="1:1" s="607" customFormat="1" ht="24.95" customHeight="1">
      <c r="A1337" s="721"/>
    </row>
    <row r="1338" spans="1:1" s="607" customFormat="1" ht="24.95" customHeight="1">
      <c r="A1338" s="721"/>
    </row>
    <row r="1339" spans="1:1" s="607" customFormat="1" ht="24.95" customHeight="1">
      <c r="A1339" s="721"/>
    </row>
    <row r="1340" spans="1:1" s="607" customFormat="1" ht="24.95" customHeight="1">
      <c r="A1340" s="721"/>
    </row>
    <row r="1341" spans="1:1" s="607" customFormat="1" ht="24.95" customHeight="1">
      <c r="A1341" s="721"/>
    </row>
    <row r="1342" spans="1:1" s="607" customFormat="1" ht="24.95" customHeight="1">
      <c r="A1342" s="721"/>
    </row>
    <row r="1343" spans="1:1" s="607" customFormat="1" ht="24.95" customHeight="1">
      <c r="A1343" s="721"/>
    </row>
    <row r="1344" spans="1:1" s="607" customFormat="1" ht="24.95" customHeight="1">
      <c r="A1344" s="721"/>
    </row>
    <row r="1345" spans="1:1" s="607" customFormat="1" ht="24.95" customHeight="1">
      <c r="A1345" s="721"/>
    </row>
    <row r="1346" spans="1:1" s="607" customFormat="1" ht="24.95" customHeight="1">
      <c r="A1346" s="721"/>
    </row>
    <row r="1347" spans="1:1" s="607" customFormat="1" ht="24.95" customHeight="1">
      <c r="A1347" s="721"/>
    </row>
    <row r="1348" spans="1:1" s="607" customFormat="1" ht="24.95" customHeight="1">
      <c r="A1348" s="721"/>
    </row>
    <row r="1349" spans="1:1" s="607" customFormat="1" ht="24.95" customHeight="1">
      <c r="A1349" s="721"/>
    </row>
    <row r="1350" spans="1:1" s="607" customFormat="1" ht="24.95" customHeight="1">
      <c r="A1350" s="721"/>
    </row>
    <row r="1351" spans="1:1" s="607" customFormat="1" ht="24.95" customHeight="1">
      <c r="A1351" s="721"/>
    </row>
    <row r="1352" spans="1:1" s="607" customFormat="1" ht="24.95" customHeight="1">
      <c r="A1352" s="721"/>
    </row>
    <row r="1353" spans="1:1" s="607" customFormat="1" ht="24.95" customHeight="1">
      <c r="A1353" s="721"/>
    </row>
    <row r="1354" spans="1:1" s="607" customFormat="1" ht="24.95" customHeight="1">
      <c r="A1354" s="721"/>
    </row>
    <row r="1355" spans="1:1" s="607" customFormat="1" ht="24.95" customHeight="1">
      <c r="A1355" s="721"/>
    </row>
    <row r="1356" spans="1:1" s="607" customFormat="1" ht="24.95" customHeight="1">
      <c r="A1356" s="721"/>
    </row>
    <row r="1357" spans="1:1" s="607" customFormat="1" ht="24.95" customHeight="1">
      <c r="A1357" s="721"/>
    </row>
    <row r="1358" spans="1:1" s="607" customFormat="1" ht="24.95" customHeight="1">
      <c r="A1358" s="721"/>
    </row>
    <row r="1359" spans="1:1" s="607" customFormat="1" ht="24.95" customHeight="1">
      <c r="A1359" s="721"/>
    </row>
    <row r="1360" spans="1:1" s="607" customFormat="1" ht="24.95" customHeight="1">
      <c r="A1360" s="721"/>
    </row>
    <row r="1361" spans="1:1" s="607" customFormat="1" ht="24.95" customHeight="1">
      <c r="A1361" s="721"/>
    </row>
    <row r="1362" spans="1:1" s="607" customFormat="1" ht="24.95" customHeight="1">
      <c r="A1362" s="721"/>
    </row>
    <row r="1363" spans="1:1" s="607" customFormat="1" ht="24.95" customHeight="1">
      <c r="A1363" s="721"/>
    </row>
    <row r="1364" spans="1:1" s="607" customFormat="1" ht="24.95" customHeight="1">
      <c r="A1364" s="721"/>
    </row>
    <row r="1365" spans="1:1" s="607" customFormat="1" ht="24.95" customHeight="1">
      <c r="A1365" s="721"/>
    </row>
    <row r="1366" spans="1:1" s="607" customFormat="1" ht="24.95" customHeight="1">
      <c r="A1366" s="721"/>
    </row>
    <row r="1367" spans="1:1" s="607" customFormat="1" ht="24.95" customHeight="1">
      <c r="A1367" s="721"/>
    </row>
    <row r="1368" spans="1:1" s="607" customFormat="1" ht="24.95" customHeight="1">
      <c r="A1368" s="721"/>
    </row>
    <row r="1369" spans="1:1" s="607" customFormat="1" ht="24.95" customHeight="1">
      <c r="A1369" s="721"/>
    </row>
    <row r="1370" spans="1:1" s="607" customFormat="1" ht="24.95" customHeight="1">
      <c r="A1370" s="721"/>
    </row>
    <row r="1371" spans="1:1" s="607" customFormat="1" ht="24.95" customHeight="1">
      <c r="A1371" s="721"/>
    </row>
    <row r="1372" spans="1:1" s="607" customFormat="1" ht="24.95" customHeight="1">
      <c r="A1372" s="721"/>
    </row>
    <row r="1373" spans="1:1" s="607" customFormat="1" ht="24.95" customHeight="1">
      <c r="A1373" s="721"/>
    </row>
    <row r="1374" spans="1:1" s="607" customFormat="1" ht="24.95" customHeight="1">
      <c r="A1374" s="721"/>
    </row>
    <row r="1375" spans="1:1" s="607" customFormat="1" ht="24.95" customHeight="1">
      <c r="A1375" s="721"/>
    </row>
    <row r="1376" spans="1:1" s="607" customFormat="1" ht="24.95" customHeight="1">
      <c r="A1376" s="721"/>
    </row>
    <row r="1377" spans="1:1" s="607" customFormat="1" ht="24.95" customHeight="1">
      <c r="A1377" s="721"/>
    </row>
    <row r="1378" spans="1:1" s="607" customFormat="1" ht="24.95" customHeight="1">
      <c r="A1378" s="721"/>
    </row>
    <row r="1379" spans="1:1" s="607" customFormat="1" ht="24.95" customHeight="1">
      <c r="A1379" s="721"/>
    </row>
    <row r="1380" spans="1:1" s="607" customFormat="1" ht="24.95" customHeight="1">
      <c r="A1380" s="721"/>
    </row>
    <row r="1381" spans="1:1" s="607" customFormat="1" ht="24.95" customHeight="1">
      <c r="A1381" s="721"/>
    </row>
    <row r="1382" spans="1:1" s="607" customFormat="1" ht="24.95" customHeight="1">
      <c r="A1382" s="721"/>
    </row>
    <row r="1383" spans="1:1" s="607" customFormat="1" ht="24.95" customHeight="1">
      <c r="A1383" s="721"/>
    </row>
    <row r="1384" spans="1:1" s="607" customFormat="1" ht="24.95" customHeight="1">
      <c r="A1384" s="721"/>
    </row>
    <row r="1385" spans="1:1" s="607" customFormat="1" ht="24.95" customHeight="1">
      <c r="A1385" s="721"/>
    </row>
    <row r="1386" spans="1:1" s="607" customFormat="1" ht="24.95" customHeight="1">
      <c r="A1386" s="721"/>
    </row>
    <row r="1387" spans="1:1" s="607" customFormat="1" ht="24.95" customHeight="1">
      <c r="A1387" s="721"/>
    </row>
    <row r="1388" spans="1:1" s="607" customFormat="1" ht="24.95" customHeight="1">
      <c r="A1388" s="721"/>
    </row>
    <row r="1389" spans="1:1" s="607" customFormat="1" ht="24.95" customHeight="1">
      <c r="A1389" s="721"/>
    </row>
    <row r="1390" spans="1:1" s="607" customFormat="1" ht="24.95" customHeight="1">
      <c r="A1390" s="721"/>
    </row>
    <row r="1391" spans="1:1" s="607" customFormat="1" ht="24.95" customHeight="1">
      <c r="A1391" s="721"/>
    </row>
    <row r="1392" spans="1:1" s="607" customFormat="1" ht="24.95" customHeight="1">
      <c r="A1392" s="721"/>
    </row>
    <row r="1393" spans="1:1" s="607" customFormat="1" ht="24.95" customHeight="1">
      <c r="A1393" s="721"/>
    </row>
    <row r="1394" spans="1:1" s="607" customFormat="1" ht="24.95" customHeight="1">
      <c r="A1394" s="721"/>
    </row>
    <row r="1395" spans="1:1" s="607" customFormat="1" ht="24.95" customHeight="1">
      <c r="A1395" s="721"/>
    </row>
    <row r="1396" spans="1:1" s="607" customFormat="1" ht="24.95" customHeight="1">
      <c r="A1396" s="721"/>
    </row>
    <row r="1397" spans="1:1" s="607" customFormat="1" ht="24.95" customHeight="1">
      <c r="A1397" s="721"/>
    </row>
    <row r="1398" spans="1:1" s="607" customFormat="1" ht="24.95" customHeight="1">
      <c r="A1398" s="721"/>
    </row>
    <row r="1399" spans="1:1" s="607" customFormat="1" ht="24.95" customHeight="1">
      <c r="A1399" s="721"/>
    </row>
    <row r="1400" spans="1:1" s="607" customFormat="1" ht="24.95" customHeight="1">
      <c r="A1400" s="721"/>
    </row>
    <row r="1401" spans="1:1" s="607" customFormat="1" ht="24.95" customHeight="1">
      <c r="A1401" s="721"/>
    </row>
    <row r="1402" spans="1:1" s="607" customFormat="1" ht="24.95" customHeight="1">
      <c r="A1402" s="721"/>
    </row>
    <row r="1403" spans="1:1" s="607" customFormat="1" ht="24.95" customHeight="1">
      <c r="A1403" s="721"/>
    </row>
    <row r="1404" spans="1:1" s="607" customFormat="1" ht="24.95" customHeight="1">
      <c r="A1404" s="721"/>
    </row>
    <row r="1405" spans="1:1" s="607" customFormat="1" ht="24.95" customHeight="1">
      <c r="A1405" s="721"/>
    </row>
    <row r="1406" spans="1:1" s="607" customFormat="1" ht="24.95" customHeight="1">
      <c r="A1406" s="721"/>
    </row>
    <row r="1407" spans="1:1" s="607" customFormat="1" ht="24.95" customHeight="1">
      <c r="A1407" s="721"/>
    </row>
    <row r="1408" spans="1:1" s="607" customFormat="1" ht="24.95" customHeight="1">
      <c r="A1408" s="721"/>
    </row>
    <row r="1409" spans="1:1" s="607" customFormat="1" ht="24.95" customHeight="1">
      <c r="A1409" s="721"/>
    </row>
    <row r="1410" spans="1:1" s="607" customFormat="1" ht="24.95" customHeight="1">
      <c r="A1410" s="721"/>
    </row>
    <row r="1411" spans="1:1" s="607" customFormat="1" ht="24.95" customHeight="1">
      <c r="A1411" s="721"/>
    </row>
    <row r="1412" spans="1:1" s="607" customFormat="1" ht="24.95" customHeight="1">
      <c r="A1412" s="721"/>
    </row>
    <row r="1413" spans="1:1" s="607" customFormat="1" ht="24.95" customHeight="1">
      <c r="A1413" s="721"/>
    </row>
    <row r="1414" spans="1:1" s="607" customFormat="1" ht="24.95" customHeight="1">
      <c r="A1414" s="721"/>
    </row>
    <row r="1415" spans="1:1" s="607" customFormat="1" ht="24.95" customHeight="1">
      <c r="A1415" s="721"/>
    </row>
    <row r="1416" spans="1:1" s="607" customFormat="1" ht="24.95" customHeight="1">
      <c r="A1416" s="721"/>
    </row>
    <row r="1417" spans="1:1" s="607" customFormat="1" ht="24.95" customHeight="1">
      <c r="A1417" s="721"/>
    </row>
    <row r="1418" spans="1:1" s="607" customFormat="1" ht="24.95" customHeight="1">
      <c r="A1418" s="721"/>
    </row>
    <row r="1419" spans="1:1" s="607" customFormat="1" ht="24.95" customHeight="1">
      <c r="A1419" s="721"/>
    </row>
    <row r="1420" spans="1:1" s="607" customFormat="1" ht="24.95" customHeight="1">
      <c r="A1420" s="721"/>
    </row>
    <row r="1421" spans="1:1" s="607" customFormat="1" ht="24.95" customHeight="1">
      <c r="A1421" s="721"/>
    </row>
    <row r="1422" spans="1:1" s="607" customFormat="1" ht="24.95" customHeight="1">
      <c r="A1422" s="721"/>
    </row>
    <row r="1423" spans="1:1" s="607" customFormat="1" ht="24.95" customHeight="1">
      <c r="A1423" s="721"/>
    </row>
    <row r="1424" spans="1:1" s="607" customFormat="1" ht="24.95" customHeight="1">
      <c r="A1424" s="721"/>
    </row>
    <row r="1425" spans="1:1" s="607" customFormat="1" ht="24.95" customHeight="1">
      <c r="A1425" s="721"/>
    </row>
    <row r="1426" spans="1:1" s="607" customFormat="1" ht="24.95" customHeight="1">
      <c r="A1426" s="721"/>
    </row>
    <row r="1427" spans="1:1" s="607" customFormat="1" ht="24.95" customHeight="1">
      <c r="A1427" s="721"/>
    </row>
    <row r="1428" spans="1:1" s="607" customFormat="1" ht="24.95" customHeight="1">
      <c r="A1428" s="721"/>
    </row>
    <row r="1429" spans="1:1" s="607" customFormat="1" ht="24.95" customHeight="1">
      <c r="A1429" s="721"/>
    </row>
    <row r="1430" spans="1:1" s="607" customFormat="1" ht="24.95" customHeight="1">
      <c r="A1430" s="721"/>
    </row>
    <row r="1431" spans="1:1" s="607" customFormat="1" ht="24.95" customHeight="1">
      <c r="A1431" s="721"/>
    </row>
    <row r="1432" spans="1:1" s="607" customFormat="1" ht="24.95" customHeight="1">
      <c r="A1432" s="721"/>
    </row>
    <row r="1433" spans="1:1" s="607" customFormat="1" ht="24.95" customHeight="1">
      <c r="A1433" s="721"/>
    </row>
    <row r="1434" spans="1:1" s="607" customFormat="1" ht="24.95" customHeight="1">
      <c r="A1434" s="721"/>
    </row>
    <row r="1435" spans="1:1" s="607" customFormat="1" ht="24.95" customHeight="1">
      <c r="A1435" s="721"/>
    </row>
    <row r="1436" spans="1:1" s="607" customFormat="1" ht="24.95" customHeight="1">
      <c r="A1436" s="721"/>
    </row>
    <row r="1437" spans="1:1" s="607" customFormat="1" ht="24.95" customHeight="1">
      <c r="A1437" s="721"/>
    </row>
    <row r="1438" spans="1:1" s="607" customFormat="1" ht="24.95" customHeight="1">
      <c r="A1438" s="721"/>
    </row>
    <row r="1439" spans="1:1" s="607" customFormat="1" ht="24.95" customHeight="1">
      <c r="A1439" s="721"/>
    </row>
    <row r="1440" spans="1:1" s="607" customFormat="1" ht="24.95" customHeight="1">
      <c r="A1440" s="721"/>
    </row>
    <row r="1441" spans="1:1" s="607" customFormat="1" ht="24.95" customHeight="1">
      <c r="A1441" s="721"/>
    </row>
    <row r="1442" spans="1:1" s="607" customFormat="1" ht="24.95" customHeight="1">
      <c r="A1442" s="721"/>
    </row>
    <row r="1443" spans="1:1" s="607" customFormat="1" ht="24.95" customHeight="1">
      <c r="A1443" s="721"/>
    </row>
    <row r="1444" spans="1:1" s="607" customFormat="1" ht="24.95" customHeight="1">
      <c r="A1444" s="721"/>
    </row>
    <row r="1445" spans="1:1" s="607" customFormat="1" ht="24.95" customHeight="1">
      <c r="A1445" s="721"/>
    </row>
    <row r="1446" spans="1:1" s="607" customFormat="1" ht="24.95" customHeight="1">
      <c r="A1446" s="721"/>
    </row>
    <row r="1447" spans="1:1" s="607" customFormat="1" ht="24.95" customHeight="1">
      <c r="A1447" s="721"/>
    </row>
    <row r="1448" spans="1:1" s="607" customFormat="1" ht="24.95" customHeight="1">
      <c r="A1448" s="721"/>
    </row>
    <row r="1449" spans="1:1" s="607" customFormat="1" ht="24.95" customHeight="1">
      <c r="A1449" s="721"/>
    </row>
    <row r="1450" spans="1:1" s="607" customFormat="1" ht="24.95" customHeight="1">
      <c r="A1450" s="721"/>
    </row>
    <row r="1451" spans="1:1" s="607" customFormat="1" ht="24.95" customHeight="1">
      <c r="A1451" s="721"/>
    </row>
    <row r="1452" spans="1:1" s="607" customFormat="1" ht="24.95" customHeight="1">
      <c r="A1452" s="721"/>
    </row>
    <row r="1453" spans="1:1" s="607" customFormat="1" ht="24.95" customHeight="1">
      <c r="A1453" s="721"/>
    </row>
    <row r="1454" spans="1:1" s="607" customFormat="1" ht="24.95" customHeight="1">
      <c r="A1454" s="721"/>
    </row>
    <row r="1455" spans="1:1" s="607" customFormat="1" ht="24.95" customHeight="1">
      <c r="A1455" s="721"/>
    </row>
    <row r="1456" spans="1:1" s="607" customFormat="1" ht="24.95" customHeight="1">
      <c r="A1456" s="721"/>
    </row>
    <row r="1457" spans="1:1" s="607" customFormat="1" ht="24.95" customHeight="1">
      <c r="A1457" s="721"/>
    </row>
    <row r="1458" spans="1:1" s="607" customFormat="1" ht="24.95" customHeight="1">
      <c r="A1458" s="721"/>
    </row>
    <row r="1459" spans="1:1" s="607" customFormat="1" ht="24.95" customHeight="1">
      <c r="A1459" s="721"/>
    </row>
    <row r="1460" spans="1:1" s="607" customFormat="1" ht="24.95" customHeight="1">
      <c r="A1460" s="721"/>
    </row>
    <row r="1461" spans="1:1" s="607" customFormat="1" ht="24.95" customHeight="1">
      <c r="A1461" s="721"/>
    </row>
    <row r="1462" spans="1:1" s="607" customFormat="1" ht="24.95" customHeight="1">
      <c r="A1462" s="721"/>
    </row>
    <row r="1463" spans="1:1" s="607" customFormat="1" ht="24.95" customHeight="1">
      <c r="A1463" s="721"/>
    </row>
    <row r="1464" spans="1:1" s="607" customFormat="1" ht="24.95" customHeight="1">
      <c r="A1464" s="721"/>
    </row>
    <row r="1465" spans="1:1" s="607" customFormat="1" ht="24.95" customHeight="1">
      <c r="A1465" s="721"/>
    </row>
    <row r="1466" spans="1:1" s="607" customFormat="1" ht="24.95" customHeight="1">
      <c r="A1466" s="721"/>
    </row>
    <row r="1467" spans="1:1" s="607" customFormat="1" ht="24.95" customHeight="1">
      <c r="A1467" s="721"/>
    </row>
    <row r="1468" spans="1:1" s="607" customFormat="1" ht="24.95" customHeight="1">
      <c r="A1468" s="721"/>
    </row>
    <row r="1469" spans="1:1" s="607" customFormat="1" ht="24.95" customHeight="1">
      <c r="A1469" s="721"/>
    </row>
    <row r="1470" spans="1:1" s="607" customFormat="1" ht="24.95" customHeight="1">
      <c r="A1470" s="721"/>
    </row>
    <row r="1471" spans="1:1" s="607" customFormat="1" ht="24.95" customHeight="1">
      <c r="A1471" s="721"/>
    </row>
    <row r="1472" spans="1:1" s="607" customFormat="1" ht="24.95" customHeight="1">
      <c r="A1472" s="721"/>
    </row>
    <row r="1473" spans="1:1" s="607" customFormat="1" ht="24.95" customHeight="1">
      <c r="A1473" s="721"/>
    </row>
    <row r="1474" spans="1:1" s="607" customFormat="1" ht="24.95" customHeight="1">
      <c r="A1474" s="721"/>
    </row>
    <row r="1475" spans="1:1" s="607" customFormat="1" ht="24.95" customHeight="1">
      <c r="A1475" s="721"/>
    </row>
    <row r="1476" spans="1:1" s="607" customFormat="1" ht="24.95" customHeight="1">
      <c r="A1476" s="721"/>
    </row>
    <row r="1477" spans="1:1" s="607" customFormat="1" ht="24.95" customHeight="1">
      <c r="A1477" s="721"/>
    </row>
    <row r="1478" spans="1:1" s="607" customFormat="1" ht="24.95" customHeight="1">
      <c r="A1478" s="721"/>
    </row>
    <row r="1479" spans="1:1" s="607" customFormat="1" ht="24.95" customHeight="1">
      <c r="A1479" s="721"/>
    </row>
    <row r="1480" spans="1:1" s="607" customFormat="1" ht="24.95" customHeight="1">
      <c r="A1480" s="721"/>
    </row>
    <row r="1481" spans="1:1" s="607" customFormat="1" ht="24.95" customHeight="1">
      <c r="A1481" s="721"/>
    </row>
    <row r="1482" spans="1:1" s="607" customFormat="1" ht="24.95" customHeight="1">
      <c r="A1482" s="721"/>
    </row>
    <row r="1483" spans="1:1" s="607" customFormat="1" ht="24.95" customHeight="1">
      <c r="A1483" s="721"/>
    </row>
    <row r="1484" spans="1:1" s="607" customFormat="1" ht="24.95" customHeight="1">
      <c r="A1484" s="721"/>
    </row>
    <row r="1485" spans="1:1" s="607" customFormat="1" ht="24.95" customHeight="1">
      <c r="A1485" s="721"/>
    </row>
    <row r="1486" spans="1:1" s="607" customFormat="1" ht="24.95" customHeight="1">
      <c r="A1486" s="721"/>
    </row>
    <row r="1487" spans="1:1" s="607" customFormat="1" ht="24.95" customHeight="1">
      <c r="A1487" s="721"/>
    </row>
    <row r="1488" spans="1:1" s="607" customFormat="1" ht="24.95" customHeight="1">
      <c r="A1488" s="721"/>
    </row>
    <row r="1489" spans="1:1" s="607" customFormat="1" ht="24.95" customHeight="1">
      <c r="A1489" s="721"/>
    </row>
    <row r="1490" spans="1:1" s="607" customFormat="1" ht="24.95" customHeight="1">
      <c r="A1490" s="721"/>
    </row>
    <row r="1491" spans="1:1" s="607" customFormat="1" ht="24.95" customHeight="1">
      <c r="A1491" s="721"/>
    </row>
    <row r="1492" spans="1:1" s="607" customFormat="1" ht="24.95" customHeight="1">
      <c r="A1492" s="721"/>
    </row>
    <row r="1493" spans="1:1" s="607" customFormat="1" ht="24.95" customHeight="1">
      <c r="A1493" s="721"/>
    </row>
    <row r="1494" spans="1:1" s="607" customFormat="1" ht="24.95" customHeight="1">
      <c r="A1494" s="721"/>
    </row>
    <row r="1495" spans="1:1" s="607" customFormat="1" ht="24.95" customHeight="1">
      <c r="A1495" s="721"/>
    </row>
    <row r="1496" spans="1:1" s="607" customFormat="1" ht="24.95" customHeight="1">
      <c r="A1496" s="721"/>
    </row>
    <row r="1497" spans="1:1" s="607" customFormat="1" ht="24.95" customHeight="1">
      <c r="A1497" s="721"/>
    </row>
    <row r="1498" spans="1:1" s="607" customFormat="1" ht="24.95" customHeight="1">
      <c r="A1498" s="721"/>
    </row>
    <row r="1499" spans="1:1" s="607" customFormat="1" ht="24.95" customHeight="1">
      <c r="A1499" s="721"/>
    </row>
    <row r="1500" spans="1:1" s="607" customFormat="1" ht="24.95" customHeight="1">
      <c r="A1500" s="721"/>
    </row>
    <row r="1501" spans="1:1" s="607" customFormat="1" ht="24.95" customHeight="1">
      <c r="A1501" s="721"/>
    </row>
    <row r="1502" spans="1:1" s="607" customFormat="1" ht="24.95" customHeight="1">
      <c r="A1502" s="721"/>
    </row>
    <row r="1503" spans="1:1" s="607" customFormat="1" ht="24.95" customHeight="1">
      <c r="A1503" s="721"/>
    </row>
    <row r="1504" spans="1:1" s="607" customFormat="1" ht="24.95" customHeight="1">
      <c r="A1504" s="721"/>
    </row>
    <row r="1505" spans="1:1" s="607" customFormat="1" ht="24.95" customHeight="1">
      <c r="A1505" s="721"/>
    </row>
    <row r="1506" spans="1:1" s="607" customFormat="1" ht="24.95" customHeight="1">
      <c r="A1506" s="721"/>
    </row>
    <row r="1507" spans="1:1" s="607" customFormat="1" ht="24.95" customHeight="1">
      <c r="A1507" s="721"/>
    </row>
    <row r="1508" spans="1:1" s="607" customFormat="1" ht="24.95" customHeight="1">
      <c r="A1508" s="721"/>
    </row>
    <row r="1509" spans="1:1" s="607" customFormat="1" ht="24.95" customHeight="1">
      <c r="A1509" s="721"/>
    </row>
    <row r="1510" spans="1:1" s="607" customFormat="1" ht="24.95" customHeight="1">
      <c r="A1510" s="721"/>
    </row>
    <row r="1511" spans="1:1" s="607" customFormat="1" ht="24.95" customHeight="1">
      <c r="A1511" s="721"/>
    </row>
    <row r="1512" spans="1:1" s="607" customFormat="1" ht="24.95" customHeight="1">
      <c r="A1512" s="721"/>
    </row>
    <row r="1513" spans="1:1" s="607" customFormat="1" ht="24.95" customHeight="1">
      <c r="A1513" s="721"/>
    </row>
    <row r="1514" spans="1:1" s="607" customFormat="1" ht="24.95" customHeight="1">
      <c r="A1514" s="721"/>
    </row>
    <row r="1515" spans="1:1" s="607" customFormat="1" ht="24.95" customHeight="1">
      <c r="A1515" s="721"/>
    </row>
    <row r="1516" spans="1:1" s="607" customFormat="1" ht="24.95" customHeight="1">
      <c r="A1516" s="721"/>
    </row>
    <row r="1517" spans="1:1" s="607" customFormat="1" ht="24.95" customHeight="1">
      <c r="A1517" s="721"/>
    </row>
    <row r="1518" spans="1:1" s="607" customFormat="1" ht="24.95" customHeight="1">
      <c r="A1518" s="721"/>
    </row>
    <row r="1519" spans="1:1" s="607" customFormat="1" ht="24.95" customHeight="1">
      <c r="A1519" s="721"/>
    </row>
    <row r="1520" spans="1:1" s="607" customFormat="1" ht="24.95" customHeight="1">
      <c r="A1520" s="721"/>
    </row>
    <row r="1521" spans="1:16" s="607" customFormat="1" ht="24.95" customHeight="1">
      <c r="A1521" s="721"/>
    </row>
    <row r="1522" spans="1:16" s="607" customFormat="1" ht="24.95" customHeight="1">
      <c r="A1522" s="721"/>
    </row>
    <row r="1523" spans="1:16" s="607" customFormat="1" ht="24.95" customHeight="1">
      <c r="A1523" s="721"/>
    </row>
    <row r="1524" spans="1:16" s="607" customFormat="1" ht="24.95" customHeight="1">
      <c r="A1524" s="721"/>
    </row>
    <row r="1525" spans="1:16" s="607" customFormat="1" ht="24.95" customHeight="1">
      <c r="A1525" s="721"/>
    </row>
    <row r="1526" spans="1:16" s="607" customFormat="1" ht="24.95" customHeight="1">
      <c r="A1526" s="721"/>
    </row>
    <row r="1527" spans="1:16" s="607" customFormat="1" ht="24.95" customHeight="1">
      <c r="A1527" s="721"/>
    </row>
    <row r="1528" spans="1:16" s="607" customFormat="1" ht="24.95" customHeight="1">
      <c r="A1528" s="721"/>
    </row>
    <row r="1529" spans="1:16" s="607" customFormat="1" ht="24.95" customHeight="1">
      <c r="A1529" s="721"/>
    </row>
    <row r="1530" spans="1:16" s="607" customFormat="1" ht="24.95" customHeight="1">
      <c r="A1530" s="721"/>
    </row>
    <row r="1531" spans="1:16" s="607" customFormat="1" ht="24.95" customHeight="1">
      <c r="A1531" s="721"/>
    </row>
    <row r="1532" spans="1:16" s="607" customFormat="1" ht="24.95" customHeight="1">
      <c r="A1532" s="721"/>
    </row>
    <row r="1533" spans="1:16" ht="18.75">
      <c r="A1533" s="721"/>
      <c r="B1533" s="607"/>
      <c r="C1533" s="607"/>
      <c r="D1533" s="607"/>
      <c r="E1533" s="607"/>
      <c r="F1533" s="607"/>
      <c r="G1533" s="607"/>
      <c r="H1533" s="607"/>
      <c r="I1533" s="607"/>
      <c r="J1533" s="607"/>
      <c r="K1533" s="607"/>
      <c r="L1533" s="607"/>
      <c r="M1533" s="607"/>
      <c r="N1533" s="607"/>
      <c r="O1533" s="607"/>
      <c r="P1533" s="607"/>
    </row>
    <row r="1534" spans="1:16" ht="18.75">
      <c r="A1534" s="721"/>
      <c r="B1534" s="607"/>
      <c r="C1534" s="607"/>
      <c r="D1534" s="607"/>
      <c r="E1534" s="607"/>
      <c r="F1534" s="607"/>
      <c r="G1534" s="607"/>
      <c r="H1534" s="607"/>
      <c r="I1534" s="607"/>
      <c r="J1534" s="607"/>
      <c r="K1534" s="607"/>
      <c r="L1534" s="607"/>
      <c r="M1534" s="607"/>
      <c r="N1534" s="607"/>
      <c r="O1534" s="607"/>
      <c r="P1534" s="607"/>
    </row>
  </sheetData>
  <mergeCells count="3">
    <mergeCell ref="A54:K54"/>
    <mergeCell ref="N56:P57"/>
    <mergeCell ref="A1:P3"/>
  </mergeCells>
  <printOptions horizontalCentered="1"/>
  <pageMargins left="0.25" right="0.25" top="0.5" bottom="0.5" header="0.3" footer="0.3"/>
  <pageSetup paperSize="9" scale="28" orientation="portrait" r:id="rId1"/>
  <headerFooter alignWithMargins="0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J521"/>
  <sheetViews>
    <sheetView showGridLines="0" rightToLeft="1" view="pageBreakPreview" topLeftCell="A340" zoomScale="70" zoomScaleNormal="70" zoomScaleSheetLayoutView="70" workbookViewId="0">
      <pane xSplit="1" topLeftCell="B1" activePane="topRight" state="frozen"/>
      <selection pane="topRight" activeCell="D382" sqref="D382"/>
    </sheetView>
  </sheetViews>
  <sheetFormatPr defaultRowHeight="28.5"/>
  <cols>
    <col min="1" max="1" width="15.42578125" customWidth="1"/>
    <col min="2" max="2" width="20.140625" customWidth="1"/>
    <col min="3" max="3" width="21.140625" customWidth="1"/>
    <col min="4" max="4" width="120" customWidth="1"/>
    <col min="5" max="5" width="24.85546875" customWidth="1"/>
    <col min="6" max="6" width="21.5703125" bestFit="1" customWidth="1"/>
    <col min="7" max="7" width="21.140625" customWidth="1"/>
    <col min="8" max="8" width="20.85546875" bestFit="1" customWidth="1"/>
    <col min="9" max="9" width="23" style="629" bestFit="1" customWidth="1"/>
    <col min="10" max="10" width="22.5703125" bestFit="1" customWidth="1"/>
    <col min="11" max="11" width="26.7109375" style="664" customWidth="1"/>
    <col min="12" max="13" width="26.7109375" customWidth="1"/>
    <col min="14" max="14" width="19.140625" bestFit="1" customWidth="1"/>
    <col min="15" max="17" width="12.85546875" bestFit="1" customWidth="1"/>
    <col min="18" max="18" width="14.5703125" bestFit="1" customWidth="1"/>
    <col min="19" max="20" width="10.5703125" bestFit="1" customWidth="1"/>
    <col min="21" max="21" width="19.42578125" bestFit="1" customWidth="1"/>
    <col min="22" max="25" width="14.5703125" bestFit="1" customWidth="1"/>
    <col min="26" max="26" width="12.85546875" bestFit="1" customWidth="1"/>
    <col min="27" max="30" width="14.5703125" bestFit="1" customWidth="1"/>
    <col min="31" max="31" width="10.5703125" bestFit="1" customWidth="1"/>
    <col min="32" max="32" width="14.5703125" bestFit="1" customWidth="1"/>
    <col min="33" max="35" width="12.85546875" bestFit="1" customWidth="1"/>
    <col min="36" max="36" width="16.28515625" bestFit="1" customWidth="1"/>
  </cols>
  <sheetData>
    <row r="1" spans="1:13" s="53" customFormat="1" ht="68.25" customHeight="1" thickTop="1" thickBot="1">
      <c r="A1" s="790" t="s">
        <v>1613</v>
      </c>
      <c r="B1" s="791"/>
      <c r="C1" s="791"/>
      <c r="D1" s="791"/>
      <c r="E1" s="791"/>
      <c r="F1" s="791"/>
      <c r="G1" s="791"/>
      <c r="H1" s="791"/>
      <c r="I1" s="792"/>
      <c r="J1" s="791"/>
      <c r="L1" s="859">
        <f>SUMIF(Table13[تم],"تم",Table13[مدين])</f>
        <v>2943385.77</v>
      </c>
      <c r="M1" s="860">
        <f>SUMIF(Table13[تم],"تم",Table13[دائن])</f>
        <v>16044868.67</v>
      </c>
    </row>
    <row r="2" spans="1:13" s="53" customFormat="1" ht="68.25" customHeight="1" thickTop="1" thickBot="1">
      <c r="A2" s="791"/>
      <c r="B2" s="791"/>
      <c r="C2" s="791"/>
      <c r="D2" s="791"/>
      <c r="E2" s="791"/>
      <c r="F2" s="791"/>
      <c r="G2" s="791"/>
      <c r="H2" s="791"/>
      <c r="I2" s="792"/>
      <c r="J2" s="791"/>
      <c r="K2" s="659"/>
      <c r="L2" s="861">
        <f>(M1-L1)+2165215.02</f>
        <v>15266697.92</v>
      </c>
      <c r="M2" s="862"/>
    </row>
    <row r="3" spans="1:13" s="55" customFormat="1" ht="38.25" customHeight="1" thickTop="1" thickBot="1">
      <c r="A3" s="794" t="s">
        <v>151</v>
      </c>
      <c r="B3" s="794" t="s">
        <v>152</v>
      </c>
      <c r="C3" s="794" t="s">
        <v>153</v>
      </c>
      <c r="D3" s="794" t="s">
        <v>154</v>
      </c>
      <c r="E3" s="795" t="s">
        <v>155</v>
      </c>
      <c r="F3" s="795" t="s">
        <v>156</v>
      </c>
      <c r="G3" s="795" t="s">
        <v>157</v>
      </c>
      <c r="H3" s="795" t="s">
        <v>1913</v>
      </c>
      <c r="I3" s="796" t="s">
        <v>158</v>
      </c>
      <c r="J3" s="668" t="s">
        <v>159</v>
      </c>
      <c r="K3" s="797" t="s">
        <v>160</v>
      </c>
      <c r="L3" s="54"/>
    </row>
    <row r="4" spans="1:13" s="58" customFormat="1" ht="23.25" customHeight="1">
      <c r="A4" s="70" t="s">
        <v>161</v>
      </c>
      <c r="B4" s="73"/>
      <c r="C4" s="835" t="s">
        <v>2107</v>
      </c>
      <c r="D4" s="798" t="s">
        <v>162</v>
      </c>
      <c r="E4" s="70" t="s">
        <v>163</v>
      </c>
      <c r="F4" s="70"/>
      <c r="G4" s="70"/>
      <c r="H4" s="622"/>
      <c r="I4" s="799"/>
      <c r="J4" s="656"/>
      <c r="K4" s="800">
        <v>2165215.02</v>
      </c>
    </row>
    <row r="5" spans="1:13" s="58" customFormat="1" ht="23.25" customHeight="1">
      <c r="A5" s="70" t="s">
        <v>164</v>
      </c>
      <c r="B5" s="70" t="s">
        <v>165</v>
      </c>
      <c r="C5" s="71" t="s">
        <v>2086</v>
      </c>
      <c r="D5" s="685" t="s">
        <v>166</v>
      </c>
      <c r="E5" s="72" t="s">
        <v>167</v>
      </c>
      <c r="F5" s="72" t="s">
        <v>168</v>
      </c>
      <c r="G5" s="72" t="s">
        <v>458</v>
      </c>
      <c r="H5" s="801" t="s">
        <v>1913</v>
      </c>
      <c r="I5" s="674"/>
      <c r="J5" s="657">
        <v>750000</v>
      </c>
      <c r="K5" s="800">
        <f>Table13[[#This Row],[مدين]]+Table13[[#This Row],[دائن]]</f>
        <v>750000</v>
      </c>
      <c r="L5" s="62"/>
    </row>
    <row r="6" spans="1:13" s="58" customFormat="1" ht="23.25" customHeight="1">
      <c r="A6" s="70" t="s">
        <v>164</v>
      </c>
      <c r="B6" s="70" t="s">
        <v>169</v>
      </c>
      <c r="C6" s="71" t="s">
        <v>2086</v>
      </c>
      <c r="D6" s="685" t="s">
        <v>170</v>
      </c>
      <c r="E6" s="72" t="s">
        <v>171</v>
      </c>
      <c r="F6" s="72" t="s">
        <v>170</v>
      </c>
      <c r="G6" s="801" t="s">
        <v>1913</v>
      </c>
      <c r="H6" s="801" t="s">
        <v>1913</v>
      </c>
      <c r="I6" s="674"/>
      <c r="J6" s="657">
        <v>850</v>
      </c>
      <c r="K6" s="800">
        <f>K5-Table13[[#This Row],[مدين]]+Table13[[#This Row],[دائن]]</f>
        <v>750850</v>
      </c>
      <c r="L6" s="62"/>
    </row>
    <row r="7" spans="1:13" s="58" customFormat="1" ht="23.25" customHeight="1">
      <c r="A7" s="70" t="s">
        <v>164</v>
      </c>
      <c r="B7" s="70" t="s">
        <v>172</v>
      </c>
      <c r="C7" s="71" t="s">
        <v>2086</v>
      </c>
      <c r="D7" s="685" t="s">
        <v>173</v>
      </c>
      <c r="E7" s="72" t="s">
        <v>171</v>
      </c>
      <c r="F7" s="72" t="s">
        <v>69</v>
      </c>
      <c r="G7" s="72" t="s">
        <v>994</v>
      </c>
      <c r="H7" s="801" t="s">
        <v>1913</v>
      </c>
      <c r="I7" s="674"/>
      <c r="J7" s="657">
        <v>132.83000000000001</v>
      </c>
      <c r="K7" s="800">
        <f>K6-Table13[[#This Row],[مدين]]+Table13[[#This Row],[دائن]]</f>
        <v>750982.83</v>
      </c>
      <c r="L7" s="62"/>
    </row>
    <row r="8" spans="1:13" s="58" customFormat="1" ht="23.25" customHeight="1">
      <c r="A8" s="70" t="s">
        <v>164</v>
      </c>
      <c r="B8" s="70" t="s">
        <v>174</v>
      </c>
      <c r="C8" s="71" t="s">
        <v>2102</v>
      </c>
      <c r="D8" s="685" t="s">
        <v>175</v>
      </c>
      <c r="E8" s="72" t="s">
        <v>176</v>
      </c>
      <c r="F8" s="72" t="s">
        <v>177</v>
      </c>
      <c r="G8" s="72"/>
      <c r="H8" s="801" t="s">
        <v>1913</v>
      </c>
      <c r="I8" s="802">
        <v>60000</v>
      </c>
      <c r="J8" s="802"/>
      <c r="K8" s="800">
        <f>K7-Table13[[#This Row],[مدين]]+Table13[[#This Row],[دائن]]</f>
        <v>690982.83</v>
      </c>
      <c r="L8" s="62"/>
    </row>
    <row r="9" spans="1:13" s="58" customFormat="1" ht="23.25" customHeight="1">
      <c r="A9" s="70" t="s">
        <v>178</v>
      </c>
      <c r="B9" s="70" t="s">
        <v>179</v>
      </c>
      <c r="C9" s="71" t="s">
        <v>2086</v>
      </c>
      <c r="D9" s="685" t="s">
        <v>180</v>
      </c>
      <c r="E9" s="72" t="s">
        <v>171</v>
      </c>
      <c r="F9" s="72" t="s">
        <v>181</v>
      </c>
      <c r="G9" s="72" t="s">
        <v>1657</v>
      </c>
      <c r="H9" s="801" t="s">
        <v>1913</v>
      </c>
      <c r="I9" s="674"/>
      <c r="J9" s="657">
        <v>4192.92</v>
      </c>
      <c r="K9" s="800">
        <f>K8-Table13[[#This Row],[مدين]]+Table13[[#This Row],[دائن]]</f>
        <v>695175.75</v>
      </c>
      <c r="L9" s="62"/>
    </row>
    <row r="10" spans="1:13" s="58" customFormat="1" ht="23.25" customHeight="1">
      <c r="A10" s="70" t="s">
        <v>178</v>
      </c>
      <c r="B10" s="70" t="s">
        <v>182</v>
      </c>
      <c r="C10" s="641" t="s">
        <v>2086</v>
      </c>
      <c r="D10" s="685" t="s">
        <v>183</v>
      </c>
      <c r="E10" s="72" t="s">
        <v>171</v>
      </c>
      <c r="F10" s="72" t="s">
        <v>69</v>
      </c>
      <c r="G10" s="72" t="s">
        <v>64</v>
      </c>
      <c r="H10" s="801" t="s">
        <v>1913</v>
      </c>
      <c r="I10" s="674"/>
      <c r="J10" s="657">
        <v>100</v>
      </c>
      <c r="K10" s="800">
        <f>K9-Table13[[#This Row],[مدين]]+Table13[[#This Row],[دائن]]</f>
        <v>695275.75</v>
      </c>
      <c r="L10" s="62"/>
    </row>
    <row r="11" spans="1:13" s="58" customFormat="1" ht="23.25" customHeight="1">
      <c r="A11" s="70" t="s">
        <v>184</v>
      </c>
      <c r="B11" s="70" t="s">
        <v>185</v>
      </c>
      <c r="C11" s="71" t="s">
        <v>2102</v>
      </c>
      <c r="D11" s="685" t="s">
        <v>186</v>
      </c>
      <c r="E11" s="72" t="s">
        <v>171</v>
      </c>
      <c r="F11" s="72" t="s">
        <v>186</v>
      </c>
      <c r="G11" s="72"/>
      <c r="H11" s="801" t="s">
        <v>1913</v>
      </c>
      <c r="I11" s="674"/>
      <c r="J11" s="657">
        <v>25</v>
      </c>
      <c r="K11" s="800">
        <f>K10-Table13[[#This Row],[مدين]]+Table13[[#This Row],[دائن]]</f>
        <v>695300.75</v>
      </c>
      <c r="L11" s="62"/>
    </row>
    <row r="12" spans="1:13" s="58" customFormat="1" ht="23.25" customHeight="1">
      <c r="A12" s="70" t="s">
        <v>187</v>
      </c>
      <c r="B12" s="70" t="s">
        <v>188</v>
      </c>
      <c r="C12" s="71" t="s">
        <v>2086</v>
      </c>
      <c r="D12" s="685" t="s">
        <v>189</v>
      </c>
      <c r="E12" s="72" t="s">
        <v>171</v>
      </c>
      <c r="F12" s="72" t="s">
        <v>181</v>
      </c>
      <c r="G12" s="72" t="s">
        <v>1676</v>
      </c>
      <c r="H12" s="801" t="s">
        <v>1913</v>
      </c>
      <c r="I12" s="674"/>
      <c r="J12" s="657">
        <v>1270</v>
      </c>
      <c r="K12" s="800">
        <f>K11-Table13[[#This Row],[مدين]]+Table13[[#This Row],[دائن]]</f>
        <v>696570.75</v>
      </c>
      <c r="L12" s="62"/>
    </row>
    <row r="13" spans="1:13" s="58" customFormat="1" ht="23.25" customHeight="1">
      <c r="A13" s="70" t="s">
        <v>190</v>
      </c>
      <c r="B13" s="70" t="s">
        <v>191</v>
      </c>
      <c r="C13" s="641" t="s">
        <v>2086</v>
      </c>
      <c r="D13" s="685" t="s">
        <v>183</v>
      </c>
      <c r="E13" s="72" t="s">
        <v>171</v>
      </c>
      <c r="F13" s="72" t="s">
        <v>69</v>
      </c>
      <c r="G13" s="72" t="s">
        <v>64</v>
      </c>
      <c r="H13" s="801" t="s">
        <v>1913</v>
      </c>
      <c r="I13" s="674"/>
      <c r="J13" s="657">
        <v>350</v>
      </c>
      <c r="K13" s="800">
        <f>K12-Table13[[#This Row],[مدين]]+Table13[[#This Row],[دائن]]</f>
        <v>696920.75</v>
      </c>
      <c r="L13" s="62"/>
    </row>
    <row r="14" spans="1:13" s="58" customFormat="1" ht="23.25" customHeight="1">
      <c r="A14" s="70" t="s">
        <v>192</v>
      </c>
      <c r="B14" s="70" t="s">
        <v>193</v>
      </c>
      <c r="C14" s="71" t="s">
        <v>2200</v>
      </c>
      <c r="D14" s="685" t="s">
        <v>194</v>
      </c>
      <c r="E14" s="72" t="s">
        <v>171</v>
      </c>
      <c r="F14" s="72" t="s">
        <v>196</v>
      </c>
      <c r="G14" s="72"/>
      <c r="H14" s="801" t="s">
        <v>1913</v>
      </c>
      <c r="I14" s="802">
        <v>8152.5</v>
      </c>
      <c r="J14" s="802"/>
      <c r="K14" s="800">
        <f>K13-Table13[[#This Row],[مدين]]+Table13[[#This Row],[دائن]]</f>
        <v>688768.25</v>
      </c>
      <c r="L14" s="62"/>
    </row>
    <row r="15" spans="1:13" s="58" customFormat="1" ht="23.25" customHeight="1">
      <c r="A15" s="70" t="s">
        <v>192</v>
      </c>
      <c r="B15" s="70" t="s">
        <v>197</v>
      </c>
      <c r="C15" s="641" t="s">
        <v>2086</v>
      </c>
      <c r="D15" s="685" t="s">
        <v>198</v>
      </c>
      <c r="E15" s="72" t="s">
        <v>199</v>
      </c>
      <c r="F15" s="72" t="s">
        <v>200</v>
      </c>
      <c r="G15" s="801" t="s">
        <v>1709</v>
      </c>
      <c r="H15" s="803" t="s">
        <v>1913</v>
      </c>
      <c r="I15" s="674"/>
      <c r="J15" s="657">
        <v>270000</v>
      </c>
      <c r="K15" s="800">
        <f>K14-Table13[[#This Row],[مدين]]+Table13[[#This Row],[دائن]]</f>
        <v>958768.25</v>
      </c>
      <c r="L15" s="62"/>
    </row>
    <row r="16" spans="1:13" s="58" customFormat="1" ht="23.25" customHeight="1">
      <c r="A16" s="70" t="s">
        <v>201</v>
      </c>
      <c r="B16" s="70" t="s">
        <v>202</v>
      </c>
      <c r="C16" s="71" t="s">
        <v>2105</v>
      </c>
      <c r="D16" s="685" t="s">
        <v>203</v>
      </c>
      <c r="E16" s="72" t="s">
        <v>171</v>
      </c>
      <c r="F16" s="72" t="s">
        <v>196</v>
      </c>
      <c r="G16" s="72" t="s">
        <v>64</v>
      </c>
      <c r="H16" s="801" t="s">
        <v>1913</v>
      </c>
      <c r="I16" s="674"/>
      <c r="J16" s="657">
        <v>900</v>
      </c>
      <c r="K16" s="800">
        <f>K15-Table13[[#This Row],[مدين]]+Table13[[#This Row],[دائن]]</f>
        <v>959668.25</v>
      </c>
      <c r="L16" s="62"/>
    </row>
    <row r="17" spans="1:12" s="58" customFormat="1" ht="23.25" customHeight="1">
      <c r="A17" s="70" t="s">
        <v>201</v>
      </c>
      <c r="B17" s="70" t="s">
        <v>204</v>
      </c>
      <c r="C17" s="71" t="s">
        <v>2086</v>
      </c>
      <c r="D17" s="685" t="s">
        <v>205</v>
      </c>
      <c r="E17" s="72" t="s">
        <v>1655</v>
      </c>
      <c r="F17" s="72" t="s">
        <v>205</v>
      </c>
      <c r="G17" s="72"/>
      <c r="H17" s="801" t="s">
        <v>1913</v>
      </c>
      <c r="I17" s="674"/>
      <c r="J17" s="657">
        <v>268</v>
      </c>
      <c r="K17" s="800">
        <f>K16-Table13[[#This Row],[مدين]]+Table13[[#This Row],[دائن]]</f>
        <v>959936.25</v>
      </c>
      <c r="L17" s="62"/>
    </row>
    <row r="18" spans="1:12" s="58" customFormat="1" ht="23.25" customHeight="1">
      <c r="A18" s="70" t="s">
        <v>206</v>
      </c>
      <c r="B18" s="70" t="s">
        <v>207</v>
      </c>
      <c r="C18" s="71" t="s">
        <v>2105</v>
      </c>
      <c r="D18" s="685" t="s">
        <v>208</v>
      </c>
      <c r="E18" s="72" t="s">
        <v>1655</v>
      </c>
      <c r="F18" s="72" t="s">
        <v>2072</v>
      </c>
      <c r="G18" s="72" t="s">
        <v>2073</v>
      </c>
      <c r="H18" s="801" t="s">
        <v>1913</v>
      </c>
      <c r="I18" s="674"/>
      <c r="J18" s="657">
        <v>406.48</v>
      </c>
      <c r="K18" s="800">
        <f>K17-Table13[[#This Row],[مدين]]+Table13[[#This Row],[دائن]]</f>
        <v>960342.73</v>
      </c>
      <c r="L18" s="62"/>
    </row>
    <row r="19" spans="1:12" s="58" customFormat="1" ht="23.25" customHeight="1">
      <c r="A19" s="70" t="s">
        <v>209</v>
      </c>
      <c r="B19" s="70" t="s">
        <v>210</v>
      </c>
      <c r="C19" s="71" t="s">
        <v>2086</v>
      </c>
      <c r="D19" s="685" t="s">
        <v>205</v>
      </c>
      <c r="E19" s="72" t="s">
        <v>1655</v>
      </c>
      <c r="F19" s="72" t="s">
        <v>205</v>
      </c>
      <c r="G19" s="72"/>
      <c r="H19" s="801" t="s">
        <v>1913</v>
      </c>
      <c r="I19" s="674"/>
      <c r="J19" s="657">
        <v>4</v>
      </c>
      <c r="K19" s="800">
        <f>K18-Table13[[#This Row],[مدين]]+Table13[[#This Row],[دائن]]</f>
        <v>960346.73</v>
      </c>
      <c r="L19" s="62"/>
    </row>
    <row r="20" spans="1:12" s="58" customFormat="1" ht="23.25" customHeight="1">
      <c r="A20" s="70" t="s">
        <v>209</v>
      </c>
      <c r="B20" s="70" t="s">
        <v>211</v>
      </c>
      <c r="C20" s="641" t="s">
        <v>2086</v>
      </c>
      <c r="D20" s="685" t="s">
        <v>183</v>
      </c>
      <c r="E20" s="72" t="s">
        <v>171</v>
      </c>
      <c r="F20" s="72" t="s">
        <v>69</v>
      </c>
      <c r="G20" s="72" t="s">
        <v>64</v>
      </c>
      <c r="H20" s="801" t="s">
        <v>1913</v>
      </c>
      <c r="I20" s="674"/>
      <c r="J20" s="657">
        <v>680</v>
      </c>
      <c r="K20" s="800">
        <f>K19-Table13[[#This Row],[مدين]]+Table13[[#This Row],[دائن]]</f>
        <v>961026.73</v>
      </c>
      <c r="L20" s="62"/>
    </row>
    <row r="21" spans="1:12" s="58" customFormat="1" ht="23.25" customHeight="1">
      <c r="A21" s="70" t="s">
        <v>209</v>
      </c>
      <c r="B21" s="70" t="s">
        <v>211</v>
      </c>
      <c r="C21" s="641" t="s">
        <v>2086</v>
      </c>
      <c r="D21" s="685" t="s">
        <v>183</v>
      </c>
      <c r="E21" s="72" t="s">
        <v>171</v>
      </c>
      <c r="F21" s="72" t="s">
        <v>69</v>
      </c>
      <c r="G21" s="72" t="s">
        <v>64</v>
      </c>
      <c r="H21" s="801" t="s">
        <v>1913</v>
      </c>
      <c r="I21" s="674"/>
      <c r="J21" s="657">
        <v>1000</v>
      </c>
      <c r="K21" s="800">
        <f>K20-Table13[[#This Row],[مدين]]+Table13[[#This Row],[دائن]]</f>
        <v>962026.73</v>
      </c>
      <c r="L21" s="62"/>
    </row>
    <row r="22" spans="1:12" s="58" customFormat="1" ht="23.25" customHeight="1">
      <c r="A22" s="70" t="s">
        <v>209</v>
      </c>
      <c r="B22" s="70" t="s">
        <v>211</v>
      </c>
      <c r="C22" s="641" t="s">
        <v>2086</v>
      </c>
      <c r="D22" s="685" t="s">
        <v>183</v>
      </c>
      <c r="E22" s="72" t="s">
        <v>171</v>
      </c>
      <c r="F22" s="72" t="s">
        <v>69</v>
      </c>
      <c r="G22" s="72" t="s">
        <v>64</v>
      </c>
      <c r="H22" s="801" t="s">
        <v>1913</v>
      </c>
      <c r="I22" s="674"/>
      <c r="J22" s="657">
        <v>550</v>
      </c>
      <c r="K22" s="800">
        <f>K21-Table13[[#This Row],[مدين]]+Table13[[#This Row],[دائن]]</f>
        <v>962576.73</v>
      </c>
      <c r="L22" s="62"/>
    </row>
    <row r="23" spans="1:12" s="58" customFormat="1" ht="23.25" customHeight="1">
      <c r="A23" s="70" t="s">
        <v>212</v>
      </c>
      <c r="B23" s="70" t="s">
        <v>213</v>
      </c>
      <c r="C23" s="71" t="s">
        <v>2105</v>
      </c>
      <c r="D23" s="685" t="s">
        <v>214</v>
      </c>
      <c r="E23" s="72" t="s">
        <v>171</v>
      </c>
      <c r="F23" s="72" t="s">
        <v>1675</v>
      </c>
      <c r="G23" s="72" t="s">
        <v>994</v>
      </c>
      <c r="H23" s="801" t="s">
        <v>1913</v>
      </c>
      <c r="I23" s="674"/>
      <c r="J23" s="657">
        <v>882.77</v>
      </c>
      <c r="K23" s="800">
        <f>K22-Table13[[#This Row],[مدين]]+Table13[[#This Row],[دائن]]</f>
        <v>963459.5</v>
      </c>
      <c r="L23" s="62"/>
    </row>
    <row r="24" spans="1:12" s="58" customFormat="1" ht="23.25" customHeight="1">
      <c r="A24" s="70" t="s">
        <v>215</v>
      </c>
      <c r="B24" s="70" t="s">
        <v>216</v>
      </c>
      <c r="C24" s="71" t="s">
        <v>2105</v>
      </c>
      <c r="D24" s="685">
        <v>290</v>
      </c>
      <c r="E24" s="72" t="s">
        <v>1655</v>
      </c>
      <c r="F24" s="72" t="s">
        <v>2072</v>
      </c>
      <c r="G24" s="72" t="s">
        <v>2073</v>
      </c>
      <c r="H24" s="801" t="s">
        <v>1913</v>
      </c>
      <c r="I24" s="674"/>
      <c r="J24" s="657">
        <v>550</v>
      </c>
      <c r="K24" s="800">
        <f>K23-Table13[[#This Row],[مدين]]+Table13[[#This Row],[دائن]]</f>
        <v>964009.5</v>
      </c>
      <c r="L24" s="62"/>
    </row>
    <row r="25" spans="1:12" s="58" customFormat="1" ht="23.25" customHeight="1">
      <c r="A25" s="70" t="s">
        <v>217</v>
      </c>
      <c r="B25" s="70" t="s">
        <v>218</v>
      </c>
      <c r="C25" s="71" t="s">
        <v>2086</v>
      </c>
      <c r="D25" s="685" t="s">
        <v>205</v>
      </c>
      <c r="E25" s="72" t="s">
        <v>1655</v>
      </c>
      <c r="F25" s="72" t="s">
        <v>205</v>
      </c>
      <c r="G25" s="72"/>
      <c r="H25" s="801" t="s">
        <v>1913</v>
      </c>
      <c r="I25" s="674"/>
      <c r="J25" s="657">
        <v>292</v>
      </c>
      <c r="K25" s="800">
        <f>K24-Table13[[#This Row],[مدين]]+Table13[[#This Row],[دائن]]</f>
        <v>964301.5</v>
      </c>
      <c r="L25" s="62"/>
    </row>
    <row r="26" spans="1:12" s="58" customFormat="1" ht="23.25" customHeight="1">
      <c r="A26" s="70" t="s">
        <v>217</v>
      </c>
      <c r="B26" s="70" t="s">
        <v>219</v>
      </c>
      <c r="C26" s="71" t="s">
        <v>2086</v>
      </c>
      <c r="D26" s="685" t="s">
        <v>170</v>
      </c>
      <c r="E26" s="72" t="s">
        <v>171</v>
      </c>
      <c r="F26" s="72" t="s">
        <v>170</v>
      </c>
      <c r="G26" s="801" t="s">
        <v>1913</v>
      </c>
      <c r="H26" s="801" t="s">
        <v>1913</v>
      </c>
      <c r="I26" s="674"/>
      <c r="J26" s="657">
        <v>450</v>
      </c>
      <c r="K26" s="800">
        <f>K25-Table13[[#This Row],[مدين]]+Table13[[#This Row],[دائن]]</f>
        <v>964751.5</v>
      </c>
      <c r="L26" s="62"/>
    </row>
    <row r="27" spans="1:12" s="58" customFormat="1" ht="23.25" customHeight="1">
      <c r="A27" s="70" t="s">
        <v>220</v>
      </c>
      <c r="B27" s="70" t="s">
        <v>221</v>
      </c>
      <c r="C27" s="71" t="s">
        <v>222</v>
      </c>
      <c r="D27" s="685" t="s">
        <v>223</v>
      </c>
      <c r="E27" s="72" t="s">
        <v>171</v>
      </c>
      <c r="F27" s="72" t="s">
        <v>196</v>
      </c>
      <c r="G27" s="72" t="s">
        <v>224</v>
      </c>
      <c r="H27" s="801" t="s">
        <v>1913</v>
      </c>
      <c r="I27" s="674"/>
      <c r="J27" s="657">
        <v>3791.67</v>
      </c>
      <c r="K27" s="804">
        <f>K26-Table13[[#This Row],[مدين]]+Table13[[#This Row],[دائن]]</f>
        <v>968543.17</v>
      </c>
      <c r="L27" s="62"/>
    </row>
    <row r="28" spans="1:12" s="58" customFormat="1" ht="23.25" customHeight="1">
      <c r="A28" s="70" t="s">
        <v>220</v>
      </c>
      <c r="B28" s="70" t="s">
        <v>221</v>
      </c>
      <c r="C28" s="71" t="s">
        <v>222</v>
      </c>
      <c r="D28" s="685" t="s">
        <v>223</v>
      </c>
      <c r="E28" s="72" t="s">
        <v>171</v>
      </c>
      <c r="F28" s="72" t="s">
        <v>196</v>
      </c>
      <c r="G28" s="72" t="s">
        <v>224</v>
      </c>
      <c r="H28" s="801" t="s">
        <v>1913</v>
      </c>
      <c r="I28" s="674"/>
      <c r="J28" s="657">
        <v>3541.67</v>
      </c>
      <c r="K28" s="804">
        <f>K27-Table13[[#This Row],[مدين]]+Table13[[#This Row],[دائن]]</f>
        <v>972084.84000000008</v>
      </c>
      <c r="L28" s="62"/>
    </row>
    <row r="29" spans="1:12" s="58" customFormat="1" ht="23.25" customHeight="1">
      <c r="A29" s="70" t="s">
        <v>220</v>
      </c>
      <c r="B29" s="70" t="s">
        <v>221</v>
      </c>
      <c r="C29" s="71" t="s">
        <v>222</v>
      </c>
      <c r="D29" s="685" t="s">
        <v>223</v>
      </c>
      <c r="E29" s="72" t="s">
        <v>171</v>
      </c>
      <c r="F29" s="72" t="s">
        <v>196</v>
      </c>
      <c r="G29" s="72" t="s">
        <v>224</v>
      </c>
      <c r="H29" s="801" t="s">
        <v>1913</v>
      </c>
      <c r="I29" s="674"/>
      <c r="J29" s="657">
        <v>1125</v>
      </c>
      <c r="K29" s="804">
        <f>K28-Table13[[#This Row],[مدين]]+Table13[[#This Row],[دائن]]</f>
        <v>973209.84000000008</v>
      </c>
      <c r="L29" s="62"/>
    </row>
    <row r="30" spans="1:12" s="58" customFormat="1" ht="23.25" customHeight="1">
      <c r="A30" s="70" t="s">
        <v>220</v>
      </c>
      <c r="B30" s="70" t="s">
        <v>221</v>
      </c>
      <c r="C30" s="71" t="s">
        <v>222</v>
      </c>
      <c r="D30" s="685" t="s">
        <v>223</v>
      </c>
      <c r="E30" s="72" t="s">
        <v>171</v>
      </c>
      <c r="F30" s="72" t="s">
        <v>196</v>
      </c>
      <c r="G30" s="72" t="s">
        <v>224</v>
      </c>
      <c r="H30" s="801" t="s">
        <v>1913</v>
      </c>
      <c r="I30" s="674"/>
      <c r="J30" s="657">
        <v>9328.75</v>
      </c>
      <c r="K30" s="804">
        <f>K29-Table13[[#This Row],[مدين]]+Table13[[#This Row],[دائن]]</f>
        <v>982538.59000000008</v>
      </c>
      <c r="L30" s="62"/>
    </row>
    <row r="31" spans="1:12" s="58" customFormat="1" ht="23.25" customHeight="1">
      <c r="A31" s="70" t="s">
        <v>220</v>
      </c>
      <c r="B31" s="70" t="s">
        <v>221</v>
      </c>
      <c r="C31" s="71" t="s">
        <v>222</v>
      </c>
      <c r="D31" s="685" t="s">
        <v>223</v>
      </c>
      <c r="E31" s="72" t="s">
        <v>171</v>
      </c>
      <c r="F31" s="72" t="s">
        <v>196</v>
      </c>
      <c r="G31" s="72" t="s">
        <v>224</v>
      </c>
      <c r="H31" s="801" t="s">
        <v>1913</v>
      </c>
      <c r="I31" s="674"/>
      <c r="J31" s="657">
        <v>14375</v>
      </c>
      <c r="K31" s="804">
        <f>K30-Table13[[#This Row],[مدين]]+Table13[[#This Row],[دائن]]</f>
        <v>996913.59000000008</v>
      </c>
      <c r="L31" s="62"/>
    </row>
    <row r="32" spans="1:12" s="58" customFormat="1" ht="23.25" customHeight="1">
      <c r="A32" s="70" t="s">
        <v>220</v>
      </c>
      <c r="B32" s="70" t="s">
        <v>221</v>
      </c>
      <c r="C32" s="71" t="s">
        <v>222</v>
      </c>
      <c r="D32" s="685" t="s">
        <v>223</v>
      </c>
      <c r="E32" s="72" t="s">
        <v>171</v>
      </c>
      <c r="F32" s="72" t="s">
        <v>196</v>
      </c>
      <c r="G32" s="72" t="s">
        <v>224</v>
      </c>
      <c r="H32" s="801" t="s">
        <v>1913</v>
      </c>
      <c r="I32" s="674"/>
      <c r="J32" s="657">
        <v>1804.98</v>
      </c>
      <c r="K32" s="804">
        <f>K31-Table13[[#This Row],[مدين]]+Table13[[#This Row],[دائن]]</f>
        <v>998718.57000000007</v>
      </c>
      <c r="L32" s="62"/>
    </row>
    <row r="33" spans="1:12" s="58" customFormat="1" ht="23.25" customHeight="1">
      <c r="A33" s="70" t="s">
        <v>220</v>
      </c>
      <c r="B33" s="70" t="s">
        <v>221</v>
      </c>
      <c r="C33" s="71" t="s">
        <v>222</v>
      </c>
      <c r="D33" s="685" t="s">
        <v>223</v>
      </c>
      <c r="E33" s="72" t="s">
        <v>171</v>
      </c>
      <c r="F33" s="72" t="s">
        <v>196</v>
      </c>
      <c r="G33" s="72" t="s">
        <v>224</v>
      </c>
      <c r="H33" s="801" t="s">
        <v>1913</v>
      </c>
      <c r="I33" s="674"/>
      <c r="J33" s="657">
        <v>63268.39</v>
      </c>
      <c r="K33" s="804">
        <f>K32-Table13[[#This Row],[مدين]]+Table13[[#This Row],[دائن]]</f>
        <v>1061986.96</v>
      </c>
      <c r="L33" s="62"/>
    </row>
    <row r="34" spans="1:12" s="58" customFormat="1" ht="23.25" customHeight="1">
      <c r="A34" s="70" t="s">
        <v>220</v>
      </c>
      <c r="B34" s="70" t="s">
        <v>225</v>
      </c>
      <c r="C34" s="71" t="s">
        <v>2105</v>
      </c>
      <c r="D34" s="685" t="s">
        <v>2144</v>
      </c>
      <c r="E34" s="801" t="s">
        <v>171</v>
      </c>
      <c r="F34" s="801" t="s">
        <v>196</v>
      </c>
      <c r="G34" s="72" t="s">
        <v>63</v>
      </c>
      <c r="H34" s="801" t="s">
        <v>1913</v>
      </c>
      <c r="I34" s="674"/>
      <c r="J34" s="657">
        <v>4294</v>
      </c>
      <c r="K34" s="800">
        <f>K33-Table13[[#This Row],[مدين]]+Table13[[#This Row],[دائن]]</f>
        <v>1066280.96</v>
      </c>
      <c r="L34" s="62"/>
    </row>
    <row r="35" spans="1:12" s="58" customFormat="1" ht="23.25" customHeight="1">
      <c r="A35" s="70" t="s">
        <v>220</v>
      </c>
      <c r="B35" s="70" t="s">
        <v>226</v>
      </c>
      <c r="C35" s="71" t="s">
        <v>2086</v>
      </c>
      <c r="D35" s="685" t="s">
        <v>227</v>
      </c>
      <c r="E35" s="72" t="s">
        <v>171</v>
      </c>
      <c r="F35" s="72" t="s">
        <v>181</v>
      </c>
      <c r="G35" s="72" t="s">
        <v>1657</v>
      </c>
      <c r="H35" s="801" t="s">
        <v>1913</v>
      </c>
      <c r="I35" s="674"/>
      <c r="J35" s="657">
        <v>5663</v>
      </c>
      <c r="K35" s="800">
        <f>K34-Table13[[#This Row],[مدين]]+Table13[[#This Row],[دائن]]</f>
        <v>1071943.96</v>
      </c>
      <c r="L35" s="62"/>
    </row>
    <row r="36" spans="1:12" s="58" customFormat="1" ht="23.25" customHeight="1">
      <c r="A36" s="70" t="s">
        <v>220</v>
      </c>
      <c r="B36" s="70" t="s">
        <v>228</v>
      </c>
      <c r="C36" s="71" t="s">
        <v>2086</v>
      </c>
      <c r="D36" s="685" t="s">
        <v>229</v>
      </c>
      <c r="E36" s="72" t="s">
        <v>171</v>
      </c>
      <c r="F36" s="72" t="s">
        <v>181</v>
      </c>
      <c r="G36" s="72" t="s">
        <v>1676</v>
      </c>
      <c r="H36" s="801" t="s">
        <v>1913</v>
      </c>
      <c r="I36" s="674"/>
      <c r="J36" s="657">
        <v>27202</v>
      </c>
      <c r="K36" s="800">
        <f>K35-Table13[[#This Row],[مدين]]+Table13[[#This Row],[دائن]]</f>
        <v>1099145.96</v>
      </c>
      <c r="L36" s="62"/>
    </row>
    <row r="37" spans="1:12" s="58" customFormat="1" ht="23.25" customHeight="1">
      <c r="A37" s="70" t="s">
        <v>220</v>
      </c>
      <c r="B37" s="70" t="s">
        <v>230</v>
      </c>
      <c r="C37" s="71" t="s">
        <v>2086</v>
      </c>
      <c r="D37" s="685" t="s">
        <v>231</v>
      </c>
      <c r="E37" s="72" t="s">
        <v>171</v>
      </c>
      <c r="F37" s="72" t="s">
        <v>181</v>
      </c>
      <c r="G37" s="72" t="s">
        <v>1658</v>
      </c>
      <c r="H37" s="801" t="s">
        <v>1913</v>
      </c>
      <c r="I37" s="674"/>
      <c r="J37" s="657">
        <v>6267</v>
      </c>
      <c r="K37" s="800">
        <f>K36-Table13[[#This Row],[مدين]]+Table13[[#This Row],[دائن]]</f>
        <v>1105412.96</v>
      </c>
      <c r="L37" s="62"/>
    </row>
    <row r="38" spans="1:12" s="58" customFormat="1" ht="23.25" customHeight="1" thickBot="1">
      <c r="A38" s="70" t="s">
        <v>220</v>
      </c>
      <c r="B38" s="70" t="s">
        <v>232</v>
      </c>
      <c r="C38" s="71" t="s">
        <v>2102</v>
      </c>
      <c r="D38" s="685" t="s">
        <v>233</v>
      </c>
      <c r="E38" s="72" t="s">
        <v>171</v>
      </c>
      <c r="F38" s="72" t="s">
        <v>1677</v>
      </c>
      <c r="G38" s="72"/>
      <c r="H38" s="801" t="s">
        <v>1913</v>
      </c>
      <c r="I38" s="674"/>
      <c r="J38" s="657">
        <v>1425</v>
      </c>
      <c r="K38" s="800">
        <f>K37-Table13[[#This Row],[مدين]]+Table13[[#This Row],[دائن]]</f>
        <v>1106837.96</v>
      </c>
      <c r="L38" s="62"/>
    </row>
    <row r="39" spans="1:12" s="58" customFormat="1" ht="23.25" customHeight="1">
      <c r="A39" s="77" t="s">
        <v>220</v>
      </c>
      <c r="B39" s="77" t="s">
        <v>232</v>
      </c>
      <c r="C39" s="71" t="s">
        <v>2102</v>
      </c>
      <c r="D39" s="686" t="s">
        <v>233</v>
      </c>
      <c r="E39" s="72" t="s">
        <v>171</v>
      </c>
      <c r="F39" s="72" t="s">
        <v>1677</v>
      </c>
      <c r="G39" s="806"/>
      <c r="H39" s="805" t="s">
        <v>1913</v>
      </c>
      <c r="I39" s="675"/>
      <c r="J39" s="658">
        <v>45</v>
      </c>
      <c r="K39" s="800">
        <f>K38-Table13[[#This Row],[مدين]]+Table13[[#This Row],[دائن]]</f>
        <v>1106882.96</v>
      </c>
      <c r="L39" s="62"/>
    </row>
    <row r="40" spans="1:12" s="58" customFormat="1" ht="23.25" customHeight="1">
      <c r="A40" s="70" t="s">
        <v>220</v>
      </c>
      <c r="B40" s="70" t="s">
        <v>234</v>
      </c>
      <c r="C40" s="641" t="s">
        <v>1660</v>
      </c>
      <c r="D40" s="685" t="s">
        <v>235</v>
      </c>
      <c r="E40" s="72" t="s">
        <v>1667</v>
      </c>
      <c r="F40" s="72" t="s">
        <v>168</v>
      </c>
      <c r="G40" s="72" t="s">
        <v>1668</v>
      </c>
      <c r="H40" s="801" t="s">
        <v>1913</v>
      </c>
      <c r="I40" s="802">
        <v>87582</v>
      </c>
      <c r="J40" s="802"/>
      <c r="K40" s="804">
        <f>K39-Table13[[#This Row],[مدين]]+Table13[[#This Row],[دائن]]</f>
        <v>1019300.96</v>
      </c>
      <c r="L40" s="62"/>
    </row>
    <row r="41" spans="1:12" s="58" customFormat="1" ht="23.25" customHeight="1">
      <c r="A41" s="70" t="s">
        <v>220</v>
      </c>
      <c r="B41" s="70" t="s">
        <v>236</v>
      </c>
      <c r="C41" s="71" t="s">
        <v>2105</v>
      </c>
      <c r="D41" s="685">
        <v>916</v>
      </c>
      <c r="E41" s="72" t="s">
        <v>1655</v>
      </c>
      <c r="F41" s="72" t="s">
        <v>2072</v>
      </c>
      <c r="G41" s="72" t="s">
        <v>2073</v>
      </c>
      <c r="H41" s="801" t="s">
        <v>1913</v>
      </c>
      <c r="I41" s="674"/>
      <c r="J41" s="657">
        <v>735</v>
      </c>
      <c r="K41" s="800">
        <f>K40-Table13[[#This Row],[مدين]]+Table13[[#This Row],[دائن]]</f>
        <v>1020035.96</v>
      </c>
      <c r="L41" s="62"/>
    </row>
    <row r="42" spans="1:12" s="58" customFormat="1" ht="23.25" customHeight="1">
      <c r="A42" s="70" t="s">
        <v>220</v>
      </c>
      <c r="B42" s="70" t="s">
        <v>237</v>
      </c>
      <c r="C42" s="641" t="s">
        <v>1710</v>
      </c>
      <c r="D42" s="685" t="s">
        <v>238</v>
      </c>
      <c r="E42" s="72" t="s">
        <v>1667</v>
      </c>
      <c r="F42" s="72" t="s">
        <v>168</v>
      </c>
      <c r="G42" s="72" t="s">
        <v>1678</v>
      </c>
      <c r="H42" s="801" t="s">
        <v>1913</v>
      </c>
      <c r="I42" s="802">
        <v>99000</v>
      </c>
      <c r="J42" s="802"/>
      <c r="K42" s="804">
        <f>K41-Table13[[#This Row],[مدين]]+Table13[[#This Row],[دائن]]</f>
        <v>921035.96</v>
      </c>
      <c r="L42" s="62"/>
    </row>
    <row r="43" spans="1:12" s="58" customFormat="1" ht="23.25" customHeight="1">
      <c r="A43" s="70" t="s">
        <v>220</v>
      </c>
      <c r="B43" s="70" t="s">
        <v>239</v>
      </c>
      <c r="C43" s="641" t="s">
        <v>1710</v>
      </c>
      <c r="D43" s="685" t="s">
        <v>240</v>
      </c>
      <c r="E43" s="72" t="s">
        <v>1667</v>
      </c>
      <c r="F43" s="72" t="s">
        <v>168</v>
      </c>
      <c r="G43" s="72" t="s">
        <v>1679</v>
      </c>
      <c r="H43" s="801" t="s">
        <v>1913</v>
      </c>
      <c r="I43" s="674"/>
      <c r="J43" s="709">
        <v>21859</v>
      </c>
      <c r="K43" s="804">
        <f>K42-Table13[[#This Row],[مدين]]+Table13[[#This Row],[دائن]]</f>
        <v>942894.96</v>
      </c>
      <c r="L43" s="62"/>
    </row>
    <row r="44" spans="1:12" s="58" customFormat="1" ht="23.25" customHeight="1">
      <c r="A44" s="70" t="s">
        <v>241</v>
      </c>
      <c r="B44" s="70" t="s">
        <v>242</v>
      </c>
      <c r="C44" s="71" t="s">
        <v>2102</v>
      </c>
      <c r="D44" s="685" t="s">
        <v>243</v>
      </c>
      <c r="E44" s="72" t="s">
        <v>171</v>
      </c>
      <c r="F44" s="72" t="s">
        <v>1677</v>
      </c>
      <c r="G44" s="72"/>
      <c r="H44" s="801" t="s">
        <v>1913</v>
      </c>
      <c r="I44" s="674"/>
      <c r="J44" s="657">
        <v>904.1</v>
      </c>
      <c r="K44" s="800">
        <f>K43-Table13[[#This Row],[مدين]]+Table13[[#This Row],[دائن]]</f>
        <v>943799.05999999994</v>
      </c>
      <c r="L44" s="62"/>
    </row>
    <row r="45" spans="1:12" s="58" customFormat="1" ht="23.25" customHeight="1">
      <c r="A45" s="70" t="s">
        <v>244</v>
      </c>
      <c r="B45" s="70" t="s">
        <v>245</v>
      </c>
      <c r="C45" s="641" t="s">
        <v>2105</v>
      </c>
      <c r="D45" s="685" t="s">
        <v>246</v>
      </c>
      <c r="E45" s="72" t="s">
        <v>1655</v>
      </c>
      <c r="F45" s="72" t="s">
        <v>1680</v>
      </c>
      <c r="G45" s="72"/>
      <c r="H45" s="801" t="s">
        <v>1913</v>
      </c>
      <c r="I45" s="674"/>
      <c r="J45" s="657">
        <v>3000</v>
      </c>
      <c r="K45" s="800">
        <f>K44-Table13[[#This Row],[مدين]]+Table13[[#This Row],[دائن]]</f>
        <v>946799.05999999994</v>
      </c>
      <c r="L45" s="62"/>
    </row>
    <row r="46" spans="1:12" s="58" customFormat="1" ht="23.25" customHeight="1">
      <c r="A46" s="70" t="s">
        <v>247</v>
      </c>
      <c r="B46" s="70" t="s">
        <v>248</v>
      </c>
      <c r="C46" s="71" t="s">
        <v>2200</v>
      </c>
      <c r="D46" s="685" t="s">
        <v>249</v>
      </c>
      <c r="E46" s="72" t="s">
        <v>171</v>
      </c>
      <c r="F46" s="72" t="s">
        <v>196</v>
      </c>
      <c r="G46" s="72" t="s">
        <v>224</v>
      </c>
      <c r="H46" s="801" t="s">
        <v>1913</v>
      </c>
      <c r="I46" s="802">
        <v>7485.84</v>
      </c>
      <c r="J46" s="802"/>
      <c r="K46" s="800">
        <f>K45-Table13[[#This Row],[مدين]]+Table13[[#This Row],[دائن]]</f>
        <v>939313.22</v>
      </c>
      <c r="L46" s="62"/>
    </row>
    <row r="47" spans="1:12" s="58" customFormat="1" ht="23.25" customHeight="1">
      <c r="A47" s="70" t="s">
        <v>247</v>
      </c>
      <c r="B47" s="70" t="s">
        <v>250</v>
      </c>
      <c r="C47" s="71" t="s">
        <v>2086</v>
      </c>
      <c r="D47" s="685" t="s">
        <v>205</v>
      </c>
      <c r="E47" s="72" t="s">
        <v>1655</v>
      </c>
      <c r="F47" s="72" t="s">
        <v>205</v>
      </c>
      <c r="G47" s="72"/>
      <c r="H47" s="801" t="s">
        <v>1913</v>
      </c>
      <c r="I47" s="674"/>
      <c r="J47" s="657">
        <v>308</v>
      </c>
      <c r="K47" s="800">
        <f>K46-Table13[[#This Row],[مدين]]+Table13[[#This Row],[دائن]]</f>
        <v>939621.22</v>
      </c>
      <c r="L47" s="62"/>
    </row>
    <row r="48" spans="1:12" s="58" customFormat="1" ht="23.25" customHeight="1">
      <c r="A48" s="70" t="s">
        <v>251</v>
      </c>
      <c r="B48" s="70" t="s">
        <v>252</v>
      </c>
      <c r="C48" s="641" t="s">
        <v>1229</v>
      </c>
      <c r="D48" s="685" t="s">
        <v>253</v>
      </c>
      <c r="E48" s="72" t="s">
        <v>1694</v>
      </c>
      <c r="F48" s="72" t="s">
        <v>1695</v>
      </c>
      <c r="G48" s="72" t="s">
        <v>63</v>
      </c>
      <c r="H48" s="801" t="s">
        <v>1913</v>
      </c>
      <c r="I48" s="657">
        <v>400</v>
      </c>
      <c r="J48" s="802"/>
      <c r="K48" s="804">
        <f>K47-Table13[[#This Row],[مدين]]+Table13[[#This Row],[دائن]]</f>
        <v>939221.22</v>
      </c>
      <c r="L48" s="62"/>
    </row>
    <row r="49" spans="1:12" s="58" customFormat="1" ht="23.25" customHeight="1">
      <c r="A49" s="70" t="s">
        <v>251</v>
      </c>
      <c r="B49" s="70" t="s">
        <v>254</v>
      </c>
      <c r="C49" s="641" t="s">
        <v>2105</v>
      </c>
      <c r="D49" s="685" t="s">
        <v>255</v>
      </c>
      <c r="E49" s="72" t="s">
        <v>1655</v>
      </c>
      <c r="F49" s="72" t="s">
        <v>181</v>
      </c>
      <c r="G49" s="72" t="s">
        <v>1682</v>
      </c>
      <c r="H49" s="801" t="s">
        <v>1913</v>
      </c>
      <c r="I49" s="674"/>
      <c r="J49" s="657">
        <v>7300.45</v>
      </c>
      <c r="K49" s="800">
        <f>K48-Table13[[#This Row],[مدين]]+Table13[[#This Row],[دائن]]</f>
        <v>946521.66999999993</v>
      </c>
      <c r="L49" s="62"/>
    </row>
    <row r="50" spans="1:12" s="58" customFormat="1" ht="23.25" customHeight="1">
      <c r="A50" s="70" t="s">
        <v>256</v>
      </c>
      <c r="B50" s="70" t="s">
        <v>257</v>
      </c>
      <c r="C50" s="641" t="s">
        <v>2105</v>
      </c>
      <c r="D50" s="685" t="s">
        <v>258</v>
      </c>
      <c r="E50" s="72" t="s">
        <v>1655</v>
      </c>
      <c r="F50" s="72" t="s">
        <v>181</v>
      </c>
      <c r="G50" s="72" t="s">
        <v>1681</v>
      </c>
      <c r="H50" s="801" t="s">
        <v>1913</v>
      </c>
      <c r="I50" s="674"/>
      <c r="J50" s="657">
        <v>101</v>
      </c>
      <c r="K50" s="800">
        <f>K49-Table13[[#This Row],[مدين]]+Table13[[#This Row],[دائن]]</f>
        <v>946622.66999999993</v>
      </c>
      <c r="L50" s="62"/>
    </row>
    <row r="51" spans="1:12" s="58" customFormat="1" ht="23.25" customHeight="1">
      <c r="A51" s="70" t="s">
        <v>256</v>
      </c>
      <c r="B51" s="70" t="s">
        <v>259</v>
      </c>
      <c r="C51" s="641" t="s">
        <v>2086</v>
      </c>
      <c r="D51" s="685" t="s">
        <v>260</v>
      </c>
      <c r="E51" s="72" t="s">
        <v>171</v>
      </c>
      <c r="F51" s="72" t="s">
        <v>69</v>
      </c>
      <c r="G51" s="72" t="s">
        <v>994</v>
      </c>
      <c r="H51" s="801" t="s">
        <v>1913</v>
      </c>
      <c r="I51" s="674"/>
      <c r="J51" s="657">
        <v>1692.17</v>
      </c>
      <c r="K51" s="800">
        <f>K50-Table13[[#This Row],[مدين]]+Table13[[#This Row],[دائن]]</f>
        <v>948314.84</v>
      </c>
      <c r="L51" s="62"/>
    </row>
    <row r="52" spans="1:12" s="58" customFormat="1" ht="23.25" customHeight="1">
      <c r="A52" s="70" t="s">
        <v>256</v>
      </c>
      <c r="B52" s="70" t="s">
        <v>261</v>
      </c>
      <c r="C52" s="641" t="s">
        <v>2086</v>
      </c>
      <c r="D52" s="685" t="s">
        <v>260</v>
      </c>
      <c r="E52" s="72" t="s">
        <v>171</v>
      </c>
      <c r="F52" s="72" t="s">
        <v>69</v>
      </c>
      <c r="G52" s="72" t="s">
        <v>994</v>
      </c>
      <c r="H52" s="801" t="s">
        <v>1913</v>
      </c>
      <c r="I52" s="674"/>
      <c r="J52" s="657">
        <v>222.29</v>
      </c>
      <c r="K52" s="800">
        <f>K51-Table13[[#This Row],[مدين]]+Table13[[#This Row],[دائن]]</f>
        <v>948537.13</v>
      </c>
      <c r="L52" s="62"/>
    </row>
    <row r="53" spans="1:12" s="58" customFormat="1" ht="23.25" customHeight="1">
      <c r="A53" s="70" t="s">
        <v>262</v>
      </c>
      <c r="B53" s="70" t="s">
        <v>263</v>
      </c>
      <c r="C53" s="71" t="s">
        <v>2105</v>
      </c>
      <c r="D53" s="685">
        <v>322</v>
      </c>
      <c r="E53" s="72" t="s">
        <v>1655</v>
      </c>
      <c r="F53" s="72" t="s">
        <v>2072</v>
      </c>
      <c r="G53" s="72" t="s">
        <v>2073</v>
      </c>
      <c r="H53" s="801" t="s">
        <v>1913</v>
      </c>
      <c r="I53" s="674"/>
      <c r="J53" s="657">
        <v>450</v>
      </c>
      <c r="K53" s="800">
        <f>K52-Table13[[#This Row],[مدين]]+Table13[[#This Row],[دائن]]</f>
        <v>948987.13</v>
      </c>
      <c r="L53" s="62"/>
    </row>
    <row r="54" spans="1:12" s="58" customFormat="1" ht="23.25" customHeight="1">
      <c r="A54" s="70" t="s">
        <v>264</v>
      </c>
      <c r="B54" s="70" t="s">
        <v>265</v>
      </c>
      <c r="C54" s="71" t="s">
        <v>2086</v>
      </c>
      <c r="D54" s="685" t="s">
        <v>180</v>
      </c>
      <c r="E54" s="72" t="s">
        <v>171</v>
      </c>
      <c r="F54" s="72" t="s">
        <v>181</v>
      </c>
      <c r="G54" s="72" t="s">
        <v>1657</v>
      </c>
      <c r="H54" s="801" t="s">
        <v>1913</v>
      </c>
      <c r="I54" s="674"/>
      <c r="J54" s="657">
        <v>5222.8</v>
      </c>
      <c r="K54" s="800">
        <f>K53-Table13[[#This Row],[مدين]]+Table13[[#This Row],[دائن]]</f>
        <v>954209.93</v>
      </c>
      <c r="L54" s="62"/>
    </row>
    <row r="55" spans="1:12" s="58" customFormat="1" ht="23.25" customHeight="1">
      <c r="A55" s="70" t="s">
        <v>266</v>
      </c>
      <c r="B55" s="70" t="s">
        <v>267</v>
      </c>
      <c r="C55" s="71" t="s">
        <v>268</v>
      </c>
      <c r="D55" s="685" t="s">
        <v>269</v>
      </c>
      <c r="E55" s="72" t="s">
        <v>171</v>
      </c>
      <c r="F55" s="72" t="s">
        <v>196</v>
      </c>
      <c r="G55" s="72" t="s">
        <v>1612</v>
      </c>
      <c r="H55" s="801" t="s">
        <v>1913</v>
      </c>
      <c r="I55" s="674"/>
      <c r="J55" s="657">
        <v>2987.5</v>
      </c>
      <c r="K55" s="804">
        <f>K54-Table13[[#This Row],[مدين]]+Table13[[#This Row],[دائن]]</f>
        <v>957197.43</v>
      </c>
      <c r="L55" s="62"/>
    </row>
    <row r="56" spans="1:12" s="58" customFormat="1" ht="23.25" customHeight="1">
      <c r="A56" s="70" t="s">
        <v>266</v>
      </c>
      <c r="B56" s="70" t="s">
        <v>267</v>
      </c>
      <c r="C56" s="71" t="s">
        <v>268</v>
      </c>
      <c r="D56" s="685" t="s">
        <v>269</v>
      </c>
      <c r="E56" s="72" t="s">
        <v>171</v>
      </c>
      <c r="F56" s="72" t="s">
        <v>196</v>
      </c>
      <c r="G56" s="72" t="s">
        <v>1612</v>
      </c>
      <c r="H56" s="801" t="s">
        <v>1913</v>
      </c>
      <c r="I56" s="674"/>
      <c r="J56" s="657">
        <v>3541.67</v>
      </c>
      <c r="K56" s="804">
        <f>K55-Table13[[#This Row],[مدين]]+Table13[[#This Row],[دائن]]</f>
        <v>960739.10000000009</v>
      </c>
      <c r="L56" s="62"/>
    </row>
    <row r="57" spans="1:12" s="58" customFormat="1" ht="23.25" customHeight="1">
      <c r="A57" s="70" t="s">
        <v>266</v>
      </c>
      <c r="B57" s="70" t="s">
        <v>267</v>
      </c>
      <c r="C57" s="71" t="s">
        <v>268</v>
      </c>
      <c r="D57" s="685" t="s">
        <v>269</v>
      </c>
      <c r="E57" s="72" t="s">
        <v>171</v>
      </c>
      <c r="F57" s="72" t="s">
        <v>196</v>
      </c>
      <c r="G57" s="72" t="s">
        <v>1612</v>
      </c>
      <c r="H57" s="801" t="s">
        <v>1913</v>
      </c>
      <c r="I57" s="674"/>
      <c r="J57" s="657">
        <v>2050.0100000000002</v>
      </c>
      <c r="K57" s="804">
        <f>K56-Table13[[#This Row],[مدين]]+Table13[[#This Row],[دائن]]</f>
        <v>962789.1100000001</v>
      </c>
      <c r="L57" s="62"/>
    </row>
    <row r="58" spans="1:12" s="58" customFormat="1" ht="23.25" customHeight="1">
      <c r="A58" s="70" t="s">
        <v>266</v>
      </c>
      <c r="B58" s="70" t="s">
        <v>267</v>
      </c>
      <c r="C58" s="71" t="s">
        <v>268</v>
      </c>
      <c r="D58" s="685" t="s">
        <v>269</v>
      </c>
      <c r="E58" s="72" t="s">
        <v>171</v>
      </c>
      <c r="F58" s="72" t="s">
        <v>196</v>
      </c>
      <c r="G58" s="72" t="s">
        <v>1612</v>
      </c>
      <c r="H58" s="801" t="s">
        <v>1913</v>
      </c>
      <c r="I58" s="674"/>
      <c r="J58" s="657">
        <v>3105</v>
      </c>
      <c r="K58" s="804">
        <f>K57-Table13[[#This Row],[مدين]]+Table13[[#This Row],[دائن]]</f>
        <v>965894.1100000001</v>
      </c>
      <c r="L58" s="62"/>
    </row>
    <row r="59" spans="1:12" s="58" customFormat="1" ht="23.25" customHeight="1">
      <c r="A59" s="70" t="s">
        <v>266</v>
      </c>
      <c r="B59" s="70" t="s">
        <v>267</v>
      </c>
      <c r="C59" s="71" t="s">
        <v>268</v>
      </c>
      <c r="D59" s="685" t="s">
        <v>269</v>
      </c>
      <c r="E59" s="72" t="s">
        <v>171</v>
      </c>
      <c r="F59" s="72" t="s">
        <v>196</v>
      </c>
      <c r="G59" s="72" t="s">
        <v>1612</v>
      </c>
      <c r="H59" s="801" t="s">
        <v>1913</v>
      </c>
      <c r="I59" s="674"/>
      <c r="J59" s="657">
        <v>9328.75</v>
      </c>
      <c r="K59" s="804">
        <f>K58-Table13[[#This Row],[مدين]]+Table13[[#This Row],[دائن]]</f>
        <v>975222.8600000001</v>
      </c>
      <c r="L59" s="62"/>
    </row>
    <row r="60" spans="1:12" s="58" customFormat="1" ht="23.25" customHeight="1">
      <c r="A60" s="70" t="s">
        <v>266</v>
      </c>
      <c r="B60" s="70" t="s">
        <v>267</v>
      </c>
      <c r="C60" s="71" t="s">
        <v>268</v>
      </c>
      <c r="D60" s="685" t="s">
        <v>269</v>
      </c>
      <c r="E60" s="72" t="s">
        <v>171</v>
      </c>
      <c r="F60" s="72" t="s">
        <v>196</v>
      </c>
      <c r="G60" s="72" t="s">
        <v>1612</v>
      </c>
      <c r="H60" s="801" t="s">
        <v>1913</v>
      </c>
      <c r="I60" s="674"/>
      <c r="J60" s="657">
        <v>15310</v>
      </c>
      <c r="K60" s="804">
        <f>K59-Table13[[#This Row],[مدين]]+Table13[[#This Row],[دائن]]</f>
        <v>990532.8600000001</v>
      </c>
      <c r="L60" s="62"/>
    </row>
    <row r="61" spans="1:12" s="58" customFormat="1" ht="23.25" customHeight="1">
      <c r="A61" s="70" t="s">
        <v>266</v>
      </c>
      <c r="B61" s="70" t="s">
        <v>267</v>
      </c>
      <c r="C61" s="71" t="s">
        <v>268</v>
      </c>
      <c r="D61" s="685" t="s">
        <v>269</v>
      </c>
      <c r="E61" s="72" t="s">
        <v>171</v>
      </c>
      <c r="F61" s="72" t="s">
        <v>196</v>
      </c>
      <c r="G61" s="72" t="s">
        <v>1612</v>
      </c>
      <c r="H61" s="801" t="s">
        <v>1913</v>
      </c>
      <c r="I61" s="674"/>
      <c r="J61" s="657">
        <v>12016.7</v>
      </c>
      <c r="K61" s="804">
        <f>K60-Table13[[#This Row],[مدين]]+Table13[[#This Row],[دائن]]</f>
        <v>1002549.56</v>
      </c>
      <c r="L61" s="62"/>
    </row>
    <row r="62" spans="1:12" s="58" customFormat="1" ht="23.25" customHeight="1">
      <c r="A62" s="70" t="s">
        <v>266</v>
      </c>
      <c r="B62" s="70" t="s">
        <v>267</v>
      </c>
      <c r="C62" s="71" t="s">
        <v>268</v>
      </c>
      <c r="D62" s="685" t="s">
        <v>269</v>
      </c>
      <c r="E62" s="72" t="s">
        <v>171</v>
      </c>
      <c r="F62" s="72" t="s">
        <v>196</v>
      </c>
      <c r="G62" s="72" t="s">
        <v>1612</v>
      </c>
      <c r="H62" s="801" t="s">
        <v>1913</v>
      </c>
      <c r="I62" s="674"/>
      <c r="J62" s="657">
        <v>67612.25</v>
      </c>
      <c r="K62" s="804">
        <f>K61-Table13[[#This Row],[مدين]]+Table13[[#This Row],[دائن]]</f>
        <v>1070161.81</v>
      </c>
      <c r="L62" s="62"/>
    </row>
    <row r="63" spans="1:12" s="58" customFormat="1" ht="23.25" customHeight="1">
      <c r="A63" s="70" t="s">
        <v>266</v>
      </c>
      <c r="B63" s="70" t="s">
        <v>270</v>
      </c>
      <c r="C63" s="71" t="s">
        <v>2086</v>
      </c>
      <c r="D63" s="685" t="s">
        <v>227</v>
      </c>
      <c r="E63" s="72" t="s">
        <v>171</v>
      </c>
      <c r="F63" s="72" t="s">
        <v>181</v>
      </c>
      <c r="G63" s="72" t="s">
        <v>1657</v>
      </c>
      <c r="H63" s="801" t="s">
        <v>1913</v>
      </c>
      <c r="I63" s="674"/>
      <c r="J63" s="657">
        <v>5663</v>
      </c>
      <c r="K63" s="800">
        <f>K62-Table13[[#This Row],[مدين]]+Table13[[#This Row],[دائن]]</f>
        <v>1075824.81</v>
      </c>
      <c r="L63" s="62"/>
    </row>
    <row r="64" spans="1:12" s="58" customFormat="1" ht="23.25" customHeight="1">
      <c r="A64" s="70" t="s">
        <v>266</v>
      </c>
      <c r="B64" s="70" t="s">
        <v>271</v>
      </c>
      <c r="C64" s="71" t="s">
        <v>2086</v>
      </c>
      <c r="D64" s="685" t="s">
        <v>229</v>
      </c>
      <c r="E64" s="72" t="s">
        <v>171</v>
      </c>
      <c r="F64" s="72" t="s">
        <v>181</v>
      </c>
      <c r="G64" s="72" t="s">
        <v>1676</v>
      </c>
      <c r="H64" s="801" t="s">
        <v>1913</v>
      </c>
      <c r="I64" s="674"/>
      <c r="J64" s="657">
        <v>27202</v>
      </c>
      <c r="K64" s="800">
        <f>K63-Table13[[#This Row],[مدين]]+Table13[[#This Row],[دائن]]</f>
        <v>1103026.81</v>
      </c>
      <c r="L64" s="62"/>
    </row>
    <row r="65" spans="1:12" s="58" customFormat="1" ht="23.25" customHeight="1">
      <c r="A65" s="70" t="s">
        <v>266</v>
      </c>
      <c r="B65" s="70" t="s">
        <v>272</v>
      </c>
      <c r="C65" s="71" t="s">
        <v>2086</v>
      </c>
      <c r="D65" s="685" t="s">
        <v>231</v>
      </c>
      <c r="E65" s="72" t="s">
        <v>171</v>
      </c>
      <c r="F65" s="72" t="s">
        <v>181</v>
      </c>
      <c r="G65" s="72" t="s">
        <v>1658</v>
      </c>
      <c r="H65" s="801" t="s">
        <v>1913</v>
      </c>
      <c r="I65" s="674"/>
      <c r="J65" s="657">
        <v>6267</v>
      </c>
      <c r="K65" s="800">
        <f>K64-Table13[[#This Row],[مدين]]+Table13[[#This Row],[دائن]]</f>
        <v>1109293.81</v>
      </c>
      <c r="L65" s="62"/>
    </row>
    <row r="66" spans="1:12" s="58" customFormat="1" ht="23.25" customHeight="1">
      <c r="A66" s="70" t="s">
        <v>266</v>
      </c>
      <c r="B66" s="70" t="s">
        <v>273</v>
      </c>
      <c r="C66" s="71" t="s">
        <v>2102</v>
      </c>
      <c r="D66" s="685" t="s">
        <v>233</v>
      </c>
      <c r="E66" s="72" t="s">
        <v>171</v>
      </c>
      <c r="F66" s="72" t="s">
        <v>1677</v>
      </c>
      <c r="G66" s="72"/>
      <c r="H66" s="801" t="s">
        <v>1913</v>
      </c>
      <c r="I66" s="674"/>
      <c r="J66" s="657">
        <v>1425</v>
      </c>
      <c r="K66" s="800">
        <f>K65-Table13[[#This Row],[مدين]]+Table13[[#This Row],[دائن]]</f>
        <v>1110718.81</v>
      </c>
      <c r="L66" s="62"/>
    </row>
    <row r="67" spans="1:12" s="58" customFormat="1" ht="23.25" customHeight="1">
      <c r="A67" s="70" t="s">
        <v>266</v>
      </c>
      <c r="B67" s="70" t="s">
        <v>273</v>
      </c>
      <c r="C67" s="71" t="s">
        <v>2102</v>
      </c>
      <c r="D67" s="685" t="s">
        <v>233</v>
      </c>
      <c r="E67" s="72" t="s">
        <v>171</v>
      </c>
      <c r="F67" s="72" t="s">
        <v>1677</v>
      </c>
      <c r="G67" s="72"/>
      <c r="H67" s="801" t="s">
        <v>1913</v>
      </c>
      <c r="I67" s="674"/>
      <c r="J67" s="657">
        <v>45</v>
      </c>
      <c r="K67" s="800">
        <f>K66-Table13[[#This Row],[مدين]]+Table13[[#This Row],[دائن]]</f>
        <v>1110763.81</v>
      </c>
      <c r="L67" s="62"/>
    </row>
    <row r="68" spans="1:12" s="58" customFormat="1" ht="23.25" customHeight="1">
      <c r="A68" s="70" t="s">
        <v>266</v>
      </c>
      <c r="B68" s="70" t="s">
        <v>274</v>
      </c>
      <c r="C68" s="641" t="s">
        <v>1723</v>
      </c>
      <c r="D68" s="685" t="s">
        <v>275</v>
      </c>
      <c r="E68" s="72" t="s">
        <v>1694</v>
      </c>
      <c r="F68" s="72" t="s">
        <v>1695</v>
      </c>
      <c r="G68" s="72" t="s">
        <v>996</v>
      </c>
      <c r="H68" s="801" t="s">
        <v>1913</v>
      </c>
      <c r="I68" s="802">
        <v>78987</v>
      </c>
      <c r="J68" s="802"/>
      <c r="K68" s="804">
        <f>K67-Table13[[#This Row],[مدين]]+Table13[[#This Row],[دائن]]</f>
        <v>1031776.81</v>
      </c>
      <c r="L68" s="62"/>
    </row>
    <row r="69" spans="1:12" s="58" customFormat="1" ht="23.25" customHeight="1">
      <c r="A69" s="70" t="s">
        <v>266</v>
      </c>
      <c r="B69" s="70" t="s">
        <v>276</v>
      </c>
      <c r="C69" s="71" t="s">
        <v>2105</v>
      </c>
      <c r="D69" s="685" t="s">
        <v>277</v>
      </c>
      <c r="E69" s="72" t="s">
        <v>171</v>
      </c>
      <c r="F69" s="72" t="s">
        <v>181</v>
      </c>
      <c r="G69" s="72" t="s">
        <v>1685</v>
      </c>
      <c r="H69" s="801" t="s">
        <v>1913</v>
      </c>
      <c r="I69" s="674"/>
      <c r="J69" s="657">
        <v>5000</v>
      </c>
      <c r="K69" s="800">
        <f>K68-Table13[[#This Row],[مدين]]+Table13[[#This Row],[دائن]]</f>
        <v>1036776.81</v>
      </c>
      <c r="L69" s="62"/>
    </row>
    <row r="70" spans="1:12" s="58" customFormat="1" ht="23.25" customHeight="1">
      <c r="A70" s="70" t="s">
        <v>266</v>
      </c>
      <c r="B70" s="70" t="s">
        <v>276</v>
      </c>
      <c r="C70" s="71" t="s">
        <v>2105</v>
      </c>
      <c r="D70" s="685" t="s">
        <v>278</v>
      </c>
      <c r="E70" s="72" t="s">
        <v>171</v>
      </c>
      <c r="F70" s="72" t="s">
        <v>181</v>
      </c>
      <c r="G70" s="72" t="s">
        <v>1685</v>
      </c>
      <c r="H70" s="801" t="s">
        <v>1913</v>
      </c>
      <c r="I70" s="674"/>
      <c r="J70" s="657">
        <v>5000</v>
      </c>
      <c r="K70" s="800">
        <f>K69-Table13[[#This Row],[مدين]]+Table13[[#This Row],[دائن]]</f>
        <v>1041776.81</v>
      </c>
      <c r="L70" s="62"/>
    </row>
    <row r="71" spans="1:12" s="58" customFormat="1" ht="23.25" customHeight="1">
      <c r="A71" s="70" t="s">
        <v>266</v>
      </c>
      <c r="B71" s="70" t="s">
        <v>276</v>
      </c>
      <c r="C71" s="71" t="s">
        <v>2105</v>
      </c>
      <c r="D71" s="685" t="s">
        <v>279</v>
      </c>
      <c r="E71" s="72" t="s">
        <v>171</v>
      </c>
      <c r="F71" s="72" t="s">
        <v>181</v>
      </c>
      <c r="G71" s="72" t="s">
        <v>1685</v>
      </c>
      <c r="H71" s="801" t="s">
        <v>1913</v>
      </c>
      <c r="I71" s="674"/>
      <c r="J71" s="657">
        <v>5000</v>
      </c>
      <c r="K71" s="800">
        <f>K70-Table13[[#This Row],[مدين]]+Table13[[#This Row],[دائن]]</f>
        <v>1046776.81</v>
      </c>
      <c r="L71" s="62"/>
    </row>
    <row r="72" spans="1:12" s="58" customFormat="1" ht="23.25" customHeight="1">
      <c r="A72" s="70" t="s">
        <v>266</v>
      </c>
      <c r="B72" s="70" t="s">
        <v>276</v>
      </c>
      <c r="C72" s="71" t="s">
        <v>2102</v>
      </c>
      <c r="D72" s="685" t="s">
        <v>280</v>
      </c>
      <c r="E72" s="72" t="s">
        <v>1655</v>
      </c>
      <c r="F72" s="72" t="s">
        <v>186</v>
      </c>
      <c r="G72" s="72"/>
      <c r="H72" s="801" t="s">
        <v>1913</v>
      </c>
      <c r="I72" s="674"/>
      <c r="J72" s="657">
        <v>75</v>
      </c>
      <c r="K72" s="800">
        <f>K71-Table13[[#This Row],[مدين]]+Table13[[#This Row],[دائن]]</f>
        <v>1046851.81</v>
      </c>
      <c r="L72" s="62"/>
    </row>
    <row r="73" spans="1:12" s="58" customFormat="1" ht="23.25" customHeight="1">
      <c r="A73" s="70" t="s">
        <v>266</v>
      </c>
      <c r="B73" s="70" t="s">
        <v>276</v>
      </c>
      <c r="C73" s="71" t="s">
        <v>2102</v>
      </c>
      <c r="D73" s="685" t="s">
        <v>2145</v>
      </c>
      <c r="E73" s="72" t="s">
        <v>1655</v>
      </c>
      <c r="F73" s="72" t="s">
        <v>186</v>
      </c>
      <c r="G73" s="72" t="s">
        <v>1705</v>
      </c>
      <c r="H73" s="801" t="s">
        <v>1913</v>
      </c>
      <c r="I73" s="674"/>
      <c r="J73" s="657">
        <v>100</v>
      </c>
      <c r="K73" s="800">
        <f>K72-Table13[[#This Row],[مدين]]+Table13[[#This Row],[دائن]]</f>
        <v>1046951.81</v>
      </c>
      <c r="L73" s="62"/>
    </row>
    <row r="74" spans="1:12" s="58" customFormat="1" ht="23.25" customHeight="1">
      <c r="A74" s="70" t="s">
        <v>266</v>
      </c>
      <c r="B74" s="70" t="s">
        <v>276</v>
      </c>
      <c r="C74" s="641" t="s">
        <v>2102</v>
      </c>
      <c r="D74" s="685" t="s">
        <v>281</v>
      </c>
      <c r="E74" s="72" t="s">
        <v>1655</v>
      </c>
      <c r="F74" s="72" t="s">
        <v>1687</v>
      </c>
      <c r="G74" s="72" t="s">
        <v>990</v>
      </c>
      <c r="H74" s="801" t="s">
        <v>1913</v>
      </c>
      <c r="I74" s="674"/>
      <c r="J74" s="657">
        <v>100</v>
      </c>
      <c r="K74" s="800">
        <f>K73-Table13[[#This Row],[مدين]]+Table13[[#This Row],[دائن]]</f>
        <v>1047051.81</v>
      </c>
      <c r="L74" s="62"/>
    </row>
    <row r="75" spans="1:12" s="58" customFormat="1" ht="23.25" customHeight="1">
      <c r="A75" s="70" t="s">
        <v>266</v>
      </c>
      <c r="B75" s="70" t="s">
        <v>282</v>
      </c>
      <c r="C75" s="641" t="s">
        <v>1712</v>
      </c>
      <c r="D75" s="685" t="s">
        <v>283</v>
      </c>
      <c r="E75" s="72" t="s">
        <v>1667</v>
      </c>
      <c r="F75" s="72" t="s">
        <v>168</v>
      </c>
      <c r="G75" s="72" t="s">
        <v>1678</v>
      </c>
      <c r="H75" s="801" t="s">
        <v>1913</v>
      </c>
      <c r="I75" s="802">
        <v>100200</v>
      </c>
      <c r="J75" s="802"/>
      <c r="K75" s="804">
        <f>K74-Table13[[#This Row],[مدين]]+Table13[[#This Row],[دائن]]</f>
        <v>946851.81</v>
      </c>
      <c r="L75" s="62"/>
    </row>
    <row r="76" spans="1:12" s="58" customFormat="1" ht="23.25" customHeight="1">
      <c r="A76" s="70" t="s">
        <v>266</v>
      </c>
      <c r="B76" s="70" t="s">
        <v>284</v>
      </c>
      <c r="C76" s="641" t="s">
        <v>1712</v>
      </c>
      <c r="D76" s="685" t="s">
        <v>285</v>
      </c>
      <c r="E76" s="72" t="s">
        <v>1667</v>
      </c>
      <c r="F76" s="72" t="s">
        <v>168</v>
      </c>
      <c r="G76" s="72" t="s">
        <v>1679</v>
      </c>
      <c r="H76" s="801" t="s">
        <v>1913</v>
      </c>
      <c r="I76" s="674"/>
      <c r="J76" s="709">
        <v>21150</v>
      </c>
      <c r="K76" s="804">
        <f>K75-Table13[[#This Row],[مدين]]+Table13[[#This Row],[دائن]]</f>
        <v>968001.81</v>
      </c>
      <c r="L76" s="62"/>
    </row>
    <row r="77" spans="1:12" s="58" customFormat="1" ht="23.25" customHeight="1">
      <c r="A77" s="70" t="s">
        <v>286</v>
      </c>
      <c r="B77" s="70" t="s">
        <v>287</v>
      </c>
      <c r="C77" s="71" t="s">
        <v>2102</v>
      </c>
      <c r="D77" s="685" t="s">
        <v>288</v>
      </c>
      <c r="E77" s="72" t="s">
        <v>171</v>
      </c>
      <c r="F77" s="72" t="s">
        <v>1677</v>
      </c>
      <c r="G77" s="72"/>
      <c r="H77" s="801" t="s">
        <v>1913</v>
      </c>
      <c r="I77" s="674"/>
      <c r="J77" s="657">
        <v>39090</v>
      </c>
      <c r="K77" s="800">
        <f>K76-Table13[[#This Row],[مدين]]+Table13[[#This Row],[دائن]]</f>
        <v>1007091.81</v>
      </c>
      <c r="L77" s="62"/>
    </row>
    <row r="78" spans="1:12" s="58" customFormat="1" ht="23.25" customHeight="1">
      <c r="A78" s="70" t="s">
        <v>289</v>
      </c>
      <c r="B78" s="70" t="s">
        <v>290</v>
      </c>
      <c r="C78" s="71" t="s">
        <v>2086</v>
      </c>
      <c r="D78" s="685" t="s">
        <v>170</v>
      </c>
      <c r="E78" s="72" t="s">
        <v>171</v>
      </c>
      <c r="F78" s="72" t="s">
        <v>170</v>
      </c>
      <c r="G78" s="801" t="s">
        <v>1913</v>
      </c>
      <c r="H78" s="801" t="s">
        <v>1913</v>
      </c>
      <c r="I78" s="674"/>
      <c r="J78" s="657">
        <v>100</v>
      </c>
      <c r="K78" s="800">
        <f>K77-Table13[[#This Row],[مدين]]+Table13[[#This Row],[دائن]]</f>
        <v>1007191.81</v>
      </c>
      <c r="L78" s="62"/>
    </row>
    <row r="79" spans="1:12" s="58" customFormat="1" ht="23.25" customHeight="1">
      <c r="A79" s="70" t="s">
        <v>291</v>
      </c>
      <c r="B79" s="70" t="s">
        <v>292</v>
      </c>
      <c r="C79" s="71" t="s">
        <v>2102</v>
      </c>
      <c r="D79" s="685" t="s">
        <v>186</v>
      </c>
      <c r="E79" s="72" t="s">
        <v>171</v>
      </c>
      <c r="F79" s="72" t="s">
        <v>186</v>
      </c>
      <c r="G79" s="72"/>
      <c r="H79" s="801" t="s">
        <v>1913</v>
      </c>
      <c r="I79" s="674"/>
      <c r="J79" s="657">
        <v>25</v>
      </c>
      <c r="K79" s="800">
        <f>K78-Table13[[#This Row],[مدين]]+Table13[[#This Row],[دائن]]</f>
        <v>1007216.81</v>
      </c>
      <c r="L79" s="62"/>
    </row>
    <row r="80" spans="1:12" s="58" customFormat="1" ht="23.25" customHeight="1">
      <c r="A80" s="70" t="s">
        <v>293</v>
      </c>
      <c r="B80" s="70" t="s">
        <v>294</v>
      </c>
      <c r="C80" s="71" t="s">
        <v>2105</v>
      </c>
      <c r="D80" s="685" t="s">
        <v>295</v>
      </c>
      <c r="E80" s="801" t="s">
        <v>171</v>
      </c>
      <c r="F80" s="801" t="s">
        <v>196</v>
      </c>
      <c r="G80" s="72" t="s">
        <v>996</v>
      </c>
      <c r="H80" s="801" t="s">
        <v>1913</v>
      </c>
      <c r="I80" s="674"/>
      <c r="J80" s="657">
        <v>758</v>
      </c>
      <c r="K80" s="800">
        <f>K79-Table13[[#This Row],[مدين]]+Table13[[#This Row],[دائن]]</f>
        <v>1007974.81</v>
      </c>
      <c r="L80" s="62"/>
    </row>
    <row r="81" spans="1:12" s="58" customFormat="1" ht="23.25" customHeight="1">
      <c r="A81" s="70" t="s">
        <v>296</v>
      </c>
      <c r="B81" s="70" t="s">
        <v>297</v>
      </c>
      <c r="C81" s="71" t="s">
        <v>2102</v>
      </c>
      <c r="D81" s="685" t="s">
        <v>233</v>
      </c>
      <c r="E81" s="72" t="s">
        <v>171</v>
      </c>
      <c r="F81" s="72" t="s">
        <v>1677</v>
      </c>
      <c r="G81" s="72"/>
      <c r="H81" s="801" t="s">
        <v>1913</v>
      </c>
      <c r="I81" s="674"/>
      <c r="J81" s="657">
        <v>45</v>
      </c>
      <c r="K81" s="800">
        <f>K80-Table13[[#This Row],[مدين]]+Table13[[#This Row],[دائن]]</f>
        <v>1008019.81</v>
      </c>
      <c r="L81" s="62"/>
    </row>
    <row r="82" spans="1:12" s="58" customFormat="1" ht="23.25" customHeight="1">
      <c r="A82" s="70" t="s">
        <v>298</v>
      </c>
      <c r="B82" s="70" t="s">
        <v>299</v>
      </c>
      <c r="C82" s="71" t="s">
        <v>2102</v>
      </c>
      <c r="D82" s="685" t="s">
        <v>186</v>
      </c>
      <c r="E82" s="72" t="s">
        <v>171</v>
      </c>
      <c r="F82" s="72" t="s">
        <v>186</v>
      </c>
      <c r="G82" s="72"/>
      <c r="H82" s="801" t="s">
        <v>1913</v>
      </c>
      <c r="I82" s="674"/>
      <c r="J82" s="657">
        <v>100</v>
      </c>
      <c r="K82" s="800">
        <f>K81-Table13[[#This Row],[مدين]]+Table13[[#This Row],[دائن]]</f>
        <v>1008119.81</v>
      </c>
      <c r="L82" s="62"/>
    </row>
    <row r="83" spans="1:12" s="58" customFormat="1" ht="23.25" customHeight="1" thickBot="1">
      <c r="A83" s="70" t="s">
        <v>298</v>
      </c>
      <c r="B83" s="70" t="s">
        <v>300</v>
      </c>
      <c r="C83" s="71" t="s">
        <v>2086</v>
      </c>
      <c r="D83" s="685" t="s">
        <v>170</v>
      </c>
      <c r="E83" s="72" t="s">
        <v>171</v>
      </c>
      <c r="F83" s="72" t="s">
        <v>170</v>
      </c>
      <c r="G83" s="801" t="s">
        <v>1913</v>
      </c>
      <c r="H83" s="801" t="s">
        <v>1913</v>
      </c>
      <c r="I83" s="674"/>
      <c r="J83" s="657">
        <v>300</v>
      </c>
      <c r="K83" s="800">
        <f>K82-Table13[[#This Row],[مدين]]+Table13[[#This Row],[دائن]]</f>
        <v>1008419.81</v>
      </c>
      <c r="L83" s="62"/>
    </row>
    <row r="84" spans="1:12" s="58" customFormat="1" ht="23.25" customHeight="1">
      <c r="A84" s="77" t="s">
        <v>301</v>
      </c>
      <c r="B84" s="77" t="s">
        <v>302</v>
      </c>
      <c r="C84" s="836" t="s">
        <v>2105</v>
      </c>
      <c r="D84" s="686" t="s">
        <v>303</v>
      </c>
      <c r="E84" s="806" t="s">
        <v>1655</v>
      </c>
      <c r="F84" s="806" t="s">
        <v>1686</v>
      </c>
      <c r="G84" s="806">
        <v>512</v>
      </c>
      <c r="H84" s="801" t="s">
        <v>1913</v>
      </c>
      <c r="I84" s="675"/>
      <c r="J84" s="658">
        <v>1097.1500000000001</v>
      </c>
      <c r="K84" s="800">
        <f>K83-Table13[[#This Row],[مدين]]+Table13[[#This Row],[دائن]]</f>
        <v>1009516.9600000001</v>
      </c>
      <c r="L84" s="62"/>
    </row>
    <row r="85" spans="1:12" s="58" customFormat="1" ht="23.25" customHeight="1">
      <c r="A85" s="70" t="s">
        <v>304</v>
      </c>
      <c r="B85" s="70" t="s">
        <v>305</v>
      </c>
      <c r="C85" s="71" t="s">
        <v>2102</v>
      </c>
      <c r="D85" s="685" t="s">
        <v>306</v>
      </c>
      <c r="E85" s="72" t="s">
        <v>171</v>
      </c>
      <c r="F85" s="72" t="s">
        <v>1683</v>
      </c>
      <c r="G85" s="72" t="s">
        <v>1684</v>
      </c>
      <c r="H85" s="801" t="s">
        <v>1913</v>
      </c>
      <c r="I85" s="674"/>
      <c r="J85" s="657">
        <v>37918</v>
      </c>
      <c r="K85" s="800">
        <f>K84-Table13[[#This Row],[مدين]]+Table13[[#This Row],[دائن]]</f>
        <v>1047434.9600000001</v>
      </c>
      <c r="L85" s="62"/>
    </row>
    <row r="86" spans="1:12" s="58" customFormat="1" ht="23.25" customHeight="1">
      <c r="A86" s="70" t="s">
        <v>304</v>
      </c>
      <c r="B86" s="70" t="s">
        <v>307</v>
      </c>
      <c r="C86" s="71" t="s">
        <v>2102</v>
      </c>
      <c r="D86" s="685" t="s">
        <v>308</v>
      </c>
      <c r="E86" s="72" t="s">
        <v>171</v>
      </c>
      <c r="F86" s="72" t="s">
        <v>1683</v>
      </c>
      <c r="G86" s="72" t="s">
        <v>1684</v>
      </c>
      <c r="H86" s="801" t="s">
        <v>1913</v>
      </c>
      <c r="I86" s="674"/>
      <c r="J86" s="657">
        <v>4375</v>
      </c>
      <c r="K86" s="800">
        <f>K85-Table13[[#This Row],[مدين]]+Table13[[#This Row],[دائن]]</f>
        <v>1051809.96</v>
      </c>
      <c r="L86" s="62"/>
    </row>
    <row r="87" spans="1:12" s="58" customFormat="1" ht="23.25" customHeight="1">
      <c r="A87" s="70" t="s">
        <v>309</v>
      </c>
      <c r="B87" s="70" t="s">
        <v>310</v>
      </c>
      <c r="C87" s="71" t="s">
        <v>2105</v>
      </c>
      <c r="D87" s="685" t="s">
        <v>2146</v>
      </c>
      <c r="E87" s="801" t="s">
        <v>171</v>
      </c>
      <c r="F87" s="801" t="s">
        <v>196</v>
      </c>
      <c r="G87" s="72" t="s">
        <v>967</v>
      </c>
      <c r="H87" s="801" t="s">
        <v>1913</v>
      </c>
      <c r="I87" s="674"/>
      <c r="J87" s="657">
        <v>330</v>
      </c>
      <c r="K87" s="800">
        <f>K86-Table13[[#This Row],[مدين]]+Table13[[#This Row],[دائن]]</f>
        <v>1052139.96</v>
      </c>
      <c r="L87" s="62"/>
    </row>
    <row r="88" spans="1:12" s="58" customFormat="1" ht="23.25" customHeight="1">
      <c r="A88" s="70" t="s">
        <v>311</v>
      </c>
      <c r="B88" s="70" t="s">
        <v>312</v>
      </c>
      <c r="C88" s="71" t="s">
        <v>2102</v>
      </c>
      <c r="D88" s="685" t="s">
        <v>313</v>
      </c>
      <c r="E88" s="72" t="s">
        <v>1655</v>
      </c>
      <c r="F88" s="72" t="s">
        <v>1677</v>
      </c>
      <c r="G88" s="72"/>
      <c r="H88" s="801" t="s">
        <v>1913</v>
      </c>
      <c r="I88" s="674"/>
      <c r="J88" s="657">
        <v>843</v>
      </c>
      <c r="K88" s="800">
        <f>K87-Table13[[#This Row],[مدين]]+Table13[[#This Row],[دائن]]</f>
        <v>1052982.96</v>
      </c>
      <c r="L88" s="62"/>
    </row>
    <row r="89" spans="1:12" s="58" customFormat="1" ht="23.25" customHeight="1">
      <c r="A89" s="70" t="s">
        <v>314</v>
      </c>
      <c r="B89" s="70" t="s">
        <v>315</v>
      </c>
      <c r="C89" s="71" t="s">
        <v>2102</v>
      </c>
      <c r="D89" s="685" t="s">
        <v>186</v>
      </c>
      <c r="E89" s="72" t="s">
        <v>171</v>
      </c>
      <c r="F89" s="72" t="s">
        <v>186</v>
      </c>
      <c r="G89" s="72"/>
      <c r="H89" s="801" t="s">
        <v>1913</v>
      </c>
      <c r="I89" s="674"/>
      <c r="J89" s="657">
        <v>25</v>
      </c>
      <c r="K89" s="800">
        <f>K88-Table13[[#This Row],[مدين]]+Table13[[#This Row],[دائن]]</f>
        <v>1053007.96</v>
      </c>
      <c r="L89" s="62"/>
    </row>
    <row r="90" spans="1:12" s="58" customFormat="1" ht="23.25" customHeight="1">
      <c r="A90" s="70" t="s">
        <v>314</v>
      </c>
      <c r="B90" s="70" t="s">
        <v>316</v>
      </c>
      <c r="C90" s="71" t="s">
        <v>2102</v>
      </c>
      <c r="D90" s="685" t="s">
        <v>317</v>
      </c>
      <c r="E90" s="72" t="s">
        <v>171</v>
      </c>
      <c r="F90" s="72" t="s">
        <v>1917</v>
      </c>
      <c r="G90" s="72"/>
      <c r="H90" s="801" t="s">
        <v>1913</v>
      </c>
      <c r="I90" s="674"/>
      <c r="J90" s="657">
        <v>4525</v>
      </c>
      <c r="K90" s="800">
        <f>K89-Table13[[#This Row],[مدين]]+Table13[[#This Row],[دائن]]</f>
        <v>1057532.96</v>
      </c>
      <c r="L90" s="62"/>
    </row>
    <row r="91" spans="1:12" s="58" customFormat="1" ht="23.25" customHeight="1">
      <c r="A91" s="70" t="s">
        <v>314</v>
      </c>
      <c r="B91" s="70" t="s">
        <v>316</v>
      </c>
      <c r="C91" s="71" t="s">
        <v>2102</v>
      </c>
      <c r="D91" s="685" t="s">
        <v>317</v>
      </c>
      <c r="E91" s="72" t="s">
        <v>171</v>
      </c>
      <c r="F91" s="72" t="s">
        <v>1917</v>
      </c>
      <c r="G91" s="72"/>
      <c r="H91" s="801" t="s">
        <v>1913</v>
      </c>
      <c r="I91" s="674"/>
      <c r="J91" s="657">
        <v>5990</v>
      </c>
      <c r="K91" s="800">
        <f>K90-Table13[[#This Row],[مدين]]+Table13[[#This Row],[دائن]]</f>
        <v>1063522.96</v>
      </c>
      <c r="L91" s="62"/>
    </row>
    <row r="92" spans="1:12" s="58" customFormat="1" ht="23.25" customHeight="1">
      <c r="A92" s="70" t="s">
        <v>314</v>
      </c>
      <c r="B92" s="70" t="s">
        <v>318</v>
      </c>
      <c r="C92" s="71" t="s">
        <v>2105</v>
      </c>
      <c r="D92" s="685">
        <v>15856</v>
      </c>
      <c r="E92" s="72" t="s">
        <v>1655</v>
      </c>
      <c r="F92" s="72" t="s">
        <v>2072</v>
      </c>
      <c r="G92" s="72" t="s">
        <v>2073</v>
      </c>
      <c r="H92" s="801" t="s">
        <v>1913</v>
      </c>
      <c r="I92" s="674"/>
      <c r="J92" s="657">
        <v>350</v>
      </c>
      <c r="K92" s="800">
        <f>K91-Table13[[#This Row],[مدين]]+Table13[[#This Row],[دائن]]</f>
        <v>1063872.96</v>
      </c>
      <c r="L92" s="62"/>
    </row>
    <row r="93" spans="1:12" s="58" customFormat="1" ht="23.25" customHeight="1">
      <c r="A93" s="70" t="s">
        <v>319</v>
      </c>
      <c r="B93" s="70" t="s">
        <v>320</v>
      </c>
      <c r="C93" s="71" t="s">
        <v>2105</v>
      </c>
      <c r="D93" s="685" t="s">
        <v>321</v>
      </c>
      <c r="E93" s="72" t="s">
        <v>171</v>
      </c>
      <c r="F93" s="72" t="s">
        <v>1675</v>
      </c>
      <c r="G93" s="72" t="s">
        <v>113</v>
      </c>
      <c r="H93" s="801" t="s">
        <v>1913</v>
      </c>
      <c r="I93" s="674"/>
      <c r="J93" s="657">
        <v>899.29</v>
      </c>
      <c r="K93" s="800">
        <f>K92-Table13[[#This Row],[مدين]]+Table13[[#This Row],[دائن]]</f>
        <v>1064772.25</v>
      </c>
      <c r="L93" s="62"/>
    </row>
    <row r="94" spans="1:12" s="58" customFormat="1" ht="23.25" customHeight="1">
      <c r="A94" s="70" t="s">
        <v>322</v>
      </c>
      <c r="B94" s="70" t="s">
        <v>323</v>
      </c>
      <c r="C94" s="71" t="s">
        <v>2102</v>
      </c>
      <c r="D94" s="685" t="s">
        <v>186</v>
      </c>
      <c r="E94" s="72" t="s">
        <v>171</v>
      </c>
      <c r="F94" s="72" t="s">
        <v>186</v>
      </c>
      <c r="G94" s="72"/>
      <c r="H94" s="801" t="s">
        <v>1913</v>
      </c>
      <c r="I94" s="674"/>
      <c r="J94" s="657">
        <v>50</v>
      </c>
      <c r="K94" s="800">
        <f>K93-Table13[[#This Row],[مدين]]+Table13[[#This Row],[دائن]]</f>
        <v>1064822.25</v>
      </c>
      <c r="L94" s="62"/>
    </row>
    <row r="95" spans="1:12" s="58" customFormat="1" ht="23.25" customHeight="1">
      <c r="A95" s="630" t="s">
        <v>324</v>
      </c>
      <c r="B95" s="630" t="s">
        <v>325</v>
      </c>
      <c r="C95" s="807" t="s">
        <v>326</v>
      </c>
      <c r="D95" s="808" t="s">
        <v>327</v>
      </c>
      <c r="E95" s="72" t="s">
        <v>171</v>
      </c>
      <c r="F95" s="72" t="s">
        <v>196</v>
      </c>
      <c r="G95" s="809" t="s">
        <v>328</v>
      </c>
      <c r="H95" s="801" t="s">
        <v>1913</v>
      </c>
      <c r="I95" s="810"/>
      <c r="J95" s="669">
        <v>3708.33</v>
      </c>
      <c r="K95" s="804">
        <f>K94-Table13[[#This Row],[مدين]]+Table13[[#This Row],[دائن]]</f>
        <v>1068530.58</v>
      </c>
      <c r="L95" s="62"/>
    </row>
    <row r="96" spans="1:12" s="58" customFormat="1" ht="23.25" customHeight="1">
      <c r="A96" s="630" t="s">
        <v>324</v>
      </c>
      <c r="B96" s="630" t="s">
        <v>325</v>
      </c>
      <c r="C96" s="807" t="s">
        <v>326</v>
      </c>
      <c r="D96" s="808" t="s">
        <v>327</v>
      </c>
      <c r="E96" s="72" t="s">
        <v>171</v>
      </c>
      <c r="F96" s="72" t="s">
        <v>196</v>
      </c>
      <c r="G96" s="809" t="s">
        <v>328</v>
      </c>
      <c r="H96" s="801" t="s">
        <v>1913</v>
      </c>
      <c r="I96" s="810"/>
      <c r="J96" s="669">
        <v>3541.67</v>
      </c>
      <c r="K96" s="804">
        <f>K95-Table13[[#This Row],[مدين]]+Table13[[#This Row],[دائن]]</f>
        <v>1072072.25</v>
      </c>
      <c r="L96" s="62"/>
    </row>
    <row r="97" spans="1:12" s="58" customFormat="1" ht="23.25" customHeight="1">
      <c r="A97" s="630" t="s">
        <v>324</v>
      </c>
      <c r="B97" s="630" t="s">
        <v>325</v>
      </c>
      <c r="C97" s="807" t="s">
        <v>326</v>
      </c>
      <c r="D97" s="808" t="s">
        <v>327</v>
      </c>
      <c r="E97" s="72" t="s">
        <v>171</v>
      </c>
      <c r="F97" s="72" t="s">
        <v>196</v>
      </c>
      <c r="G97" s="809" t="s">
        <v>328</v>
      </c>
      <c r="H97" s="801" t="s">
        <v>1913</v>
      </c>
      <c r="I97" s="810"/>
      <c r="J97" s="669">
        <v>2883.34</v>
      </c>
      <c r="K97" s="804">
        <f>K96-Table13[[#This Row],[مدين]]+Table13[[#This Row],[دائن]]</f>
        <v>1074955.5900000001</v>
      </c>
      <c r="L97" s="62"/>
    </row>
    <row r="98" spans="1:12" s="58" customFormat="1" ht="23.25" customHeight="1">
      <c r="A98" s="630" t="s">
        <v>324</v>
      </c>
      <c r="B98" s="630" t="s">
        <v>325</v>
      </c>
      <c r="C98" s="807" t="s">
        <v>326</v>
      </c>
      <c r="D98" s="808" t="s">
        <v>327</v>
      </c>
      <c r="E98" s="72" t="s">
        <v>171</v>
      </c>
      <c r="F98" s="72" t="s">
        <v>196</v>
      </c>
      <c r="G98" s="809" t="s">
        <v>328</v>
      </c>
      <c r="H98" s="801" t="s">
        <v>1913</v>
      </c>
      <c r="I98" s="810"/>
      <c r="J98" s="669">
        <v>3375</v>
      </c>
      <c r="K98" s="804">
        <f>K97-Table13[[#This Row],[مدين]]+Table13[[#This Row],[دائن]]</f>
        <v>1078330.5900000001</v>
      </c>
      <c r="L98" s="62"/>
    </row>
    <row r="99" spans="1:12" s="58" customFormat="1" ht="23.25" customHeight="1">
      <c r="A99" s="630" t="s">
        <v>324</v>
      </c>
      <c r="B99" s="630" t="s">
        <v>325</v>
      </c>
      <c r="C99" s="807" t="s">
        <v>326</v>
      </c>
      <c r="D99" s="808" t="s">
        <v>327</v>
      </c>
      <c r="E99" s="72" t="s">
        <v>171</v>
      </c>
      <c r="F99" s="72" t="s">
        <v>196</v>
      </c>
      <c r="G99" s="809" t="s">
        <v>328</v>
      </c>
      <c r="H99" s="801" t="s">
        <v>1913</v>
      </c>
      <c r="I99" s="810"/>
      <c r="J99" s="669">
        <v>8741.25</v>
      </c>
      <c r="K99" s="804">
        <f>K98-Table13[[#This Row],[مدين]]+Table13[[#This Row],[دائن]]</f>
        <v>1087071.8400000001</v>
      </c>
      <c r="L99" s="62"/>
    </row>
    <row r="100" spans="1:12" s="58" customFormat="1" ht="23.25" customHeight="1">
      <c r="A100" s="630" t="s">
        <v>324</v>
      </c>
      <c r="B100" s="630" t="s">
        <v>325</v>
      </c>
      <c r="C100" s="807" t="s">
        <v>326</v>
      </c>
      <c r="D100" s="808" t="s">
        <v>327</v>
      </c>
      <c r="E100" s="72" t="s">
        <v>171</v>
      </c>
      <c r="F100" s="72" t="s">
        <v>196</v>
      </c>
      <c r="G100" s="809" t="s">
        <v>328</v>
      </c>
      <c r="H100" s="801" t="s">
        <v>1913</v>
      </c>
      <c r="I100" s="810"/>
      <c r="J100" s="669">
        <v>166.67</v>
      </c>
      <c r="K100" s="804">
        <f>K99-Table13[[#This Row],[مدين]]+Table13[[#This Row],[دائن]]</f>
        <v>1087238.51</v>
      </c>
      <c r="L100" s="62"/>
    </row>
    <row r="101" spans="1:12" s="58" customFormat="1" ht="23.25" customHeight="1">
      <c r="A101" s="630" t="s">
        <v>324</v>
      </c>
      <c r="B101" s="630" t="s">
        <v>325</v>
      </c>
      <c r="C101" s="807" t="s">
        <v>326</v>
      </c>
      <c r="D101" s="808" t="s">
        <v>327</v>
      </c>
      <c r="E101" s="72" t="s">
        <v>171</v>
      </c>
      <c r="F101" s="72" t="s">
        <v>196</v>
      </c>
      <c r="G101" s="809" t="s">
        <v>328</v>
      </c>
      <c r="H101" s="801" t="s">
        <v>1913</v>
      </c>
      <c r="I101" s="810"/>
      <c r="J101" s="669">
        <v>15250</v>
      </c>
      <c r="K101" s="804">
        <f>K100-Table13[[#This Row],[مدين]]+Table13[[#This Row],[دائن]]</f>
        <v>1102488.51</v>
      </c>
      <c r="L101" s="62"/>
    </row>
    <row r="102" spans="1:12" s="58" customFormat="1" ht="23.25" customHeight="1">
      <c r="A102" s="630" t="s">
        <v>324</v>
      </c>
      <c r="B102" s="630" t="s">
        <v>325</v>
      </c>
      <c r="C102" s="807" t="s">
        <v>326</v>
      </c>
      <c r="D102" s="808" t="s">
        <v>327</v>
      </c>
      <c r="E102" s="72" t="s">
        <v>171</v>
      </c>
      <c r="F102" s="72" t="s">
        <v>196</v>
      </c>
      <c r="G102" s="809" t="s">
        <v>328</v>
      </c>
      <c r="H102" s="801" t="s">
        <v>1913</v>
      </c>
      <c r="I102" s="810"/>
      <c r="J102" s="669">
        <v>15841.68</v>
      </c>
      <c r="K102" s="804">
        <f>K101-Table13[[#This Row],[مدين]]+Table13[[#This Row],[دائن]]</f>
        <v>1118330.19</v>
      </c>
      <c r="L102" s="62"/>
    </row>
    <row r="103" spans="1:12" s="58" customFormat="1" ht="23.25" customHeight="1">
      <c r="A103" s="630" t="s">
        <v>324</v>
      </c>
      <c r="B103" s="630" t="s">
        <v>325</v>
      </c>
      <c r="C103" s="807" t="s">
        <v>326</v>
      </c>
      <c r="D103" s="808" t="s">
        <v>327</v>
      </c>
      <c r="E103" s="72" t="s">
        <v>171</v>
      </c>
      <c r="F103" s="72" t="s">
        <v>196</v>
      </c>
      <c r="G103" s="809" t="s">
        <v>328</v>
      </c>
      <c r="H103" s="801" t="s">
        <v>1913</v>
      </c>
      <c r="I103" s="810"/>
      <c r="J103" s="669">
        <v>83499.759999999995</v>
      </c>
      <c r="K103" s="804">
        <f>K102-Table13[[#This Row],[مدين]]+Table13[[#This Row],[دائن]]</f>
        <v>1201829.95</v>
      </c>
      <c r="L103" s="62"/>
    </row>
    <row r="104" spans="1:12" s="58" customFormat="1" ht="23.25" customHeight="1">
      <c r="A104" s="630" t="s">
        <v>324</v>
      </c>
      <c r="B104" s="630" t="s">
        <v>329</v>
      </c>
      <c r="C104" s="807" t="s">
        <v>326</v>
      </c>
      <c r="D104" s="808" t="s">
        <v>330</v>
      </c>
      <c r="E104" s="72" t="s">
        <v>171</v>
      </c>
      <c r="F104" s="72" t="s">
        <v>196</v>
      </c>
      <c r="G104" s="809" t="s">
        <v>328</v>
      </c>
      <c r="H104" s="801" t="s">
        <v>1913</v>
      </c>
      <c r="I104" s="810"/>
      <c r="J104" s="669">
        <v>250</v>
      </c>
      <c r="K104" s="804">
        <f>K103-Table13[[#This Row],[مدين]]+Table13[[#This Row],[دائن]]</f>
        <v>1202079.95</v>
      </c>
      <c r="L104" s="62"/>
    </row>
    <row r="105" spans="1:12" s="58" customFormat="1" ht="23.25" customHeight="1">
      <c r="A105" s="630" t="s">
        <v>324</v>
      </c>
      <c r="B105" s="630" t="s">
        <v>329</v>
      </c>
      <c r="C105" s="807" t="s">
        <v>326</v>
      </c>
      <c r="D105" s="808" t="s">
        <v>330</v>
      </c>
      <c r="E105" s="72" t="s">
        <v>171</v>
      </c>
      <c r="F105" s="72" t="s">
        <v>196</v>
      </c>
      <c r="G105" s="809" t="s">
        <v>328</v>
      </c>
      <c r="H105" s="801" t="s">
        <v>1913</v>
      </c>
      <c r="I105" s="810"/>
      <c r="J105" s="669">
        <v>300</v>
      </c>
      <c r="K105" s="804">
        <f>K104-Table13[[#This Row],[مدين]]+Table13[[#This Row],[دائن]]</f>
        <v>1202379.95</v>
      </c>
      <c r="L105" s="62"/>
    </row>
    <row r="106" spans="1:12" s="58" customFormat="1" ht="23.25" customHeight="1">
      <c r="A106" s="630" t="s">
        <v>324</v>
      </c>
      <c r="B106" s="630" t="s">
        <v>329</v>
      </c>
      <c r="C106" s="807" t="s">
        <v>326</v>
      </c>
      <c r="D106" s="808" t="s">
        <v>330</v>
      </c>
      <c r="E106" s="72" t="s">
        <v>171</v>
      </c>
      <c r="F106" s="72" t="s">
        <v>196</v>
      </c>
      <c r="G106" s="809" t="s">
        <v>328</v>
      </c>
      <c r="H106" s="801" t="s">
        <v>1913</v>
      </c>
      <c r="I106" s="810"/>
      <c r="J106" s="669">
        <v>450</v>
      </c>
      <c r="K106" s="804">
        <f>K105-Table13[[#This Row],[مدين]]+Table13[[#This Row],[دائن]]</f>
        <v>1202829.95</v>
      </c>
      <c r="L106" s="62"/>
    </row>
    <row r="107" spans="1:12" s="58" customFormat="1" ht="23.25" customHeight="1">
      <c r="A107" s="630" t="s">
        <v>324</v>
      </c>
      <c r="B107" s="630" t="s">
        <v>329</v>
      </c>
      <c r="C107" s="807" t="s">
        <v>326</v>
      </c>
      <c r="D107" s="808" t="s">
        <v>330</v>
      </c>
      <c r="E107" s="72" t="s">
        <v>171</v>
      </c>
      <c r="F107" s="72" t="s">
        <v>196</v>
      </c>
      <c r="G107" s="809" t="s">
        <v>328</v>
      </c>
      <c r="H107" s="801" t="s">
        <v>1913</v>
      </c>
      <c r="I107" s="810"/>
      <c r="J107" s="669">
        <v>1800</v>
      </c>
      <c r="K107" s="804">
        <f>K106-Table13[[#This Row],[مدين]]+Table13[[#This Row],[دائن]]</f>
        <v>1204629.95</v>
      </c>
      <c r="L107" s="62"/>
    </row>
    <row r="108" spans="1:12" s="58" customFormat="1" ht="23.25" customHeight="1">
      <c r="A108" s="630" t="s">
        <v>324</v>
      </c>
      <c r="B108" s="630" t="s">
        <v>329</v>
      </c>
      <c r="C108" s="807" t="s">
        <v>326</v>
      </c>
      <c r="D108" s="808" t="s">
        <v>330</v>
      </c>
      <c r="E108" s="72" t="s">
        <v>171</v>
      </c>
      <c r="F108" s="72" t="s">
        <v>196</v>
      </c>
      <c r="G108" s="809" t="s">
        <v>328</v>
      </c>
      <c r="H108" s="801" t="s">
        <v>1913</v>
      </c>
      <c r="I108" s="810"/>
      <c r="J108" s="669">
        <v>450</v>
      </c>
      <c r="K108" s="804">
        <f>K107-Table13[[#This Row],[مدين]]+Table13[[#This Row],[دائن]]</f>
        <v>1205079.95</v>
      </c>
      <c r="L108" s="62"/>
    </row>
    <row r="109" spans="1:12" s="58" customFormat="1" ht="23.25" customHeight="1">
      <c r="A109" s="630" t="s">
        <v>324</v>
      </c>
      <c r="B109" s="630" t="s">
        <v>329</v>
      </c>
      <c r="C109" s="807" t="s">
        <v>326</v>
      </c>
      <c r="D109" s="808" t="s">
        <v>330</v>
      </c>
      <c r="E109" s="72" t="s">
        <v>171</v>
      </c>
      <c r="F109" s="72" t="s">
        <v>196</v>
      </c>
      <c r="G109" s="809" t="s">
        <v>328</v>
      </c>
      <c r="H109" s="801" t="s">
        <v>1913</v>
      </c>
      <c r="I109" s="810"/>
      <c r="J109" s="669">
        <v>1800</v>
      </c>
      <c r="K109" s="804">
        <f>K108-Table13[[#This Row],[مدين]]+Table13[[#This Row],[دائن]]</f>
        <v>1206879.95</v>
      </c>
      <c r="L109" s="62"/>
    </row>
    <row r="110" spans="1:12" s="58" customFormat="1" ht="23.25" customHeight="1">
      <c r="A110" s="630" t="s">
        <v>324</v>
      </c>
      <c r="B110" s="630" t="s">
        <v>329</v>
      </c>
      <c r="C110" s="807" t="s">
        <v>326</v>
      </c>
      <c r="D110" s="808" t="s">
        <v>330</v>
      </c>
      <c r="E110" s="72" t="s">
        <v>171</v>
      </c>
      <c r="F110" s="72" t="s">
        <v>196</v>
      </c>
      <c r="G110" s="809" t="s">
        <v>328</v>
      </c>
      <c r="H110" s="801" t="s">
        <v>1913</v>
      </c>
      <c r="I110" s="810"/>
      <c r="J110" s="669">
        <v>20</v>
      </c>
      <c r="K110" s="804">
        <f>K109-Table13[[#This Row],[مدين]]+Table13[[#This Row],[دائن]]</f>
        <v>1206899.95</v>
      </c>
      <c r="L110" s="62"/>
    </row>
    <row r="111" spans="1:12" s="58" customFormat="1" ht="23.25" customHeight="1">
      <c r="A111" s="630" t="s">
        <v>324</v>
      </c>
      <c r="B111" s="630" t="s">
        <v>329</v>
      </c>
      <c r="C111" s="807" t="s">
        <v>326</v>
      </c>
      <c r="D111" s="808" t="s">
        <v>330</v>
      </c>
      <c r="E111" s="72" t="s">
        <v>171</v>
      </c>
      <c r="F111" s="72" t="s">
        <v>196</v>
      </c>
      <c r="G111" s="809" t="s">
        <v>328</v>
      </c>
      <c r="H111" s="801" t="s">
        <v>1913</v>
      </c>
      <c r="I111" s="810"/>
      <c r="J111" s="669">
        <v>100</v>
      </c>
      <c r="K111" s="804">
        <f>K110-Table13[[#This Row],[مدين]]+Table13[[#This Row],[دائن]]</f>
        <v>1206999.95</v>
      </c>
      <c r="L111" s="62"/>
    </row>
    <row r="112" spans="1:12" s="58" customFormat="1" ht="23.25" customHeight="1">
      <c r="A112" s="70" t="s">
        <v>324</v>
      </c>
      <c r="B112" s="70" t="s">
        <v>331</v>
      </c>
      <c r="C112" s="71" t="s">
        <v>2086</v>
      </c>
      <c r="D112" s="685" t="s">
        <v>227</v>
      </c>
      <c r="E112" s="72" t="s">
        <v>171</v>
      </c>
      <c r="F112" s="72" t="s">
        <v>181</v>
      </c>
      <c r="G112" s="72" t="s">
        <v>1657</v>
      </c>
      <c r="H112" s="801" t="s">
        <v>1913</v>
      </c>
      <c r="I112" s="674"/>
      <c r="J112" s="657">
        <v>5663</v>
      </c>
      <c r="K112" s="800">
        <f>K111-Table13[[#This Row],[مدين]]+Table13[[#This Row],[دائن]]</f>
        <v>1212662.95</v>
      </c>
      <c r="L112" s="62"/>
    </row>
    <row r="113" spans="1:12" s="58" customFormat="1" ht="23.25" customHeight="1">
      <c r="A113" s="70" t="s">
        <v>324</v>
      </c>
      <c r="B113" s="70" t="s">
        <v>332</v>
      </c>
      <c r="C113" s="71" t="s">
        <v>2086</v>
      </c>
      <c r="D113" s="685" t="s">
        <v>229</v>
      </c>
      <c r="E113" s="72" t="s">
        <v>171</v>
      </c>
      <c r="F113" s="72" t="s">
        <v>181</v>
      </c>
      <c r="G113" s="72" t="s">
        <v>1676</v>
      </c>
      <c r="H113" s="801" t="s">
        <v>1913</v>
      </c>
      <c r="I113" s="674"/>
      <c r="J113" s="657">
        <v>27202</v>
      </c>
      <c r="K113" s="800">
        <f>K112-Table13[[#This Row],[مدين]]+Table13[[#This Row],[دائن]]</f>
        <v>1239864.95</v>
      </c>
      <c r="L113" s="62"/>
    </row>
    <row r="114" spans="1:12" s="58" customFormat="1" ht="23.25" customHeight="1">
      <c r="A114" s="70" t="s">
        <v>324</v>
      </c>
      <c r="B114" s="70" t="s">
        <v>333</v>
      </c>
      <c r="C114" s="71" t="s">
        <v>2086</v>
      </c>
      <c r="D114" s="685" t="s">
        <v>231</v>
      </c>
      <c r="E114" s="72" t="s">
        <v>171</v>
      </c>
      <c r="F114" s="72" t="s">
        <v>181</v>
      </c>
      <c r="G114" s="72" t="s">
        <v>1658</v>
      </c>
      <c r="H114" s="801" t="s">
        <v>1913</v>
      </c>
      <c r="I114" s="674"/>
      <c r="J114" s="657">
        <v>6267</v>
      </c>
      <c r="K114" s="800">
        <f>K113-Table13[[#This Row],[مدين]]+Table13[[#This Row],[دائن]]</f>
        <v>1246131.95</v>
      </c>
      <c r="L114" s="62"/>
    </row>
    <row r="115" spans="1:12" s="58" customFormat="1" ht="23.25" customHeight="1">
      <c r="A115" s="70" t="s">
        <v>324</v>
      </c>
      <c r="B115" s="70" t="s">
        <v>334</v>
      </c>
      <c r="C115" s="71" t="s">
        <v>2105</v>
      </c>
      <c r="D115" s="685" t="s">
        <v>335</v>
      </c>
      <c r="E115" s="72" t="s">
        <v>171</v>
      </c>
      <c r="F115" s="72" t="s">
        <v>196</v>
      </c>
      <c r="G115" s="72" t="s">
        <v>64</v>
      </c>
      <c r="H115" s="801" t="s">
        <v>1913</v>
      </c>
      <c r="I115" s="674"/>
      <c r="J115" s="657">
        <v>1330</v>
      </c>
      <c r="K115" s="800">
        <f>K114-Table13[[#This Row],[مدين]]+Table13[[#This Row],[دائن]]</f>
        <v>1247461.95</v>
      </c>
      <c r="L115" s="62"/>
    </row>
    <row r="116" spans="1:12" s="58" customFormat="1" ht="23.25" customHeight="1">
      <c r="A116" s="70" t="s">
        <v>324</v>
      </c>
      <c r="B116" s="70" t="s">
        <v>334</v>
      </c>
      <c r="C116" s="71" t="s">
        <v>2105</v>
      </c>
      <c r="D116" s="685" t="s">
        <v>336</v>
      </c>
      <c r="E116" s="72" t="s">
        <v>1655</v>
      </c>
      <c r="F116" s="72" t="s">
        <v>2078</v>
      </c>
      <c r="G116" s="72" t="s">
        <v>64</v>
      </c>
      <c r="H116" s="801" t="s">
        <v>1913</v>
      </c>
      <c r="I116" s="674"/>
      <c r="J116" s="657">
        <v>414</v>
      </c>
      <c r="K116" s="800">
        <f>K115-Table13[[#This Row],[مدين]]+Table13[[#This Row],[دائن]]</f>
        <v>1247875.95</v>
      </c>
      <c r="L116" s="62"/>
    </row>
    <row r="117" spans="1:12" s="58" customFormat="1" ht="23.25" customHeight="1">
      <c r="A117" s="70" t="s">
        <v>324</v>
      </c>
      <c r="B117" s="70" t="s">
        <v>334</v>
      </c>
      <c r="C117" s="71" t="s">
        <v>2102</v>
      </c>
      <c r="D117" s="685" t="s">
        <v>337</v>
      </c>
      <c r="E117" s="72" t="s">
        <v>171</v>
      </c>
      <c r="F117" s="72" t="s">
        <v>1696</v>
      </c>
      <c r="G117" s="72"/>
      <c r="H117" s="801" t="s">
        <v>1913</v>
      </c>
      <c r="I117" s="674"/>
      <c r="J117" s="657">
        <v>133</v>
      </c>
      <c r="K117" s="800">
        <f>K116-Table13[[#This Row],[مدين]]+Table13[[#This Row],[دائن]]</f>
        <v>1248008.95</v>
      </c>
      <c r="L117" s="62"/>
    </row>
    <row r="118" spans="1:12" s="58" customFormat="1" ht="23.25" customHeight="1">
      <c r="A118" s="70" t="s">
        <v>324</v>
      </c>
      <c r="B118" s="70" t="s">
        <v>334</v>
      </c>
      <c r="C118" s="71" t="s">
        <v>2102</v>
      </c>
      <c r="D118" s="685" t="s">
        <v>338</v>
      </c>
      <c r="E118" s="72" t="s">
        <v>171</v>
      </c>
      <c r="F118" s="72" t="s">
        <v>1691</v>
      </c>
      <c r="G118" s="72"/>
      <c r="H118" s="801" t="s">
        <v>1913</v>
      </c>
      <c r="I118" s="674"/>
      <c r="J118" s="657">
        <v>134955</v>
      </c>
      <c r="K118" s="800">
        <f>K117-Table13[[#This Row],[مدين]]+Table13[[#This Row],[دائن]]</f>
        <v>1382963.95</v>
      </c>
      <c r="L118" s="62"/>
    </row>
    <row r="119" spans="1:12" s="58" customFormat="1" ht="23.25" customHeight="1">
      <c r="A119" s="70" t="s">
        <v>324</v>
      </c>
      <c r="B119" s="70" t="s">
        <v>339</v>
      </c>
      <c r="C119" s="71" t="s">
        <v>2102</v>
      </c>
      <c r="D119" s="685" t="s">
        <v>2147</v>
      </c>
      <c r="E119" s="72" t="s">
        <v>176</v>
      </c>
      <c r="F119" s="811">
        <v>80972</v>
      </c>
      <c r="G119" s="72"/>
      <c r="H119" s="801" t="s">
        <v>1913</v>
      </c>
      <c r="I119" s="674"/>
      <c r="J119" s="657">
        <v>1400</v>
      </c>
      <c r="K119" s="800">
        <f>K118-Table13[[#This Row],[مدين]]+Table13[[#This Row],[دائن]]</f>
        <v>1384363.95</v>
      </c>
      <c r="L119" s="62"/>
    </row>
    <row r="120" spans="1:12" s="58" customFormat="1" ht="23.25" customHeight="1">
      <c r="A120" s="70" t="s">
        <v>324</v>
      </c>
      <c r="B120" s="70" t="s">
        <v>340</v>
      </c>
      <c r="C120" s="641" t="s">
        <v>1661</v>
      </c>
      <c r="D120" s="685" t="s">
        <v>341</v>
      </c>
      <c r="E120" s="72" t="s">
        <v>1667</v>
      </c>
      <c r="F120" s="72" t="s">
        <v>168</v>
      </c>
      <c r="G120" s="72" t="s">
        <v>1668</v>
      </c>
      <c r="H120" s="801" t="s">
        <v>1913</v>
      </c>
      <c r="I120" s="858">
        <v>83087</v>
      </c>
      <c r="J120" s="802"/>
      <c r="K120" s="804">
        <f>K119-Table13[[#This Row],[مدين]]+Table13[[#This Row],[دائن]]</f>
        <v>1301276.95</v>
      </c>
      <c r="L120" s="62"/>
    </row>
    <row r="121" spans="1:12" s="58" customFormat="1" ht="23.25" customHeight="1">
      <c r="A121" s="70" t="s">
        <v>324</v>
      </c>
      <c r="B121" s="70" t="s">
        <v>342</v>
      </c>
      <c r="C121" s="71" t="s">
        <v>2105</v>
      </c>
      <c r="D121" s="685">
        <v>1003</v>
      </c>
      <c r="E121" s="72" t="s">
        <v>1655</v>
      </c>
      <c r="F121" s="72" t="s">
        <v>2072</v>
      </c>
      <c r="G121" s="72" t="s">
        <v>2073</v>
      </c>
      <c r="H121" s="801" t="s">
        <v>1913</v>
      </c>
      <c r="I121" s="674"/>
      <c r="J121" s="657">
        <v>1100</v>
      </c>
      <c r="K121" s="800">
        <f>K120-Table13[[#This Row],[مدين]]+Table13[[#This Row],[دائن]]</f>
        <v>1302376.95</v>
      </c>
      <c r="L121" s="62"/>
    </row>
    <row r="122" spans="1:12" s="58" customFormat="1" ht="23.25" customHeight="1">
      <c r="A122" s="70" t="s">
        <v>324</v>
      </c>
      <c r="B122" s="70" t="s">
        <v>343</v>
      </c>
      <c r="C122" s="641" t="s">
        <v>1724</v>
      </c>
      <c r="D122" s="685" t="s">
        <v>344</v>
      </c>
      <c r="E122" s="72" t="s">
        <v>1667</v>
      </c>
      <c r="F122" s="72" t="s">
        <v>168</v>
      </c>
      <c r="G122" s="72" t="s">
        <v>1678</v>
      </c>
      <c r="H122" s="801" t="s">
        <v>1913</v>
      </c>
      <c r="I122" s="802">
        <v>95850</v>
      </c>
      <c r="J122" s="802"/>
      <c r="K122" s="804">
        <f>K121-Table13[[#This Row],[مدين]]+Table13[[#This Row],[دائن]]</f>
        <v>1206526.95</v>
      </c>
      <c r="L122" s="62"/>
    </row>
    <row r="123" spans="1:12" s="58" customFormat="1" ht="23.25" customHeight="1" thickBot="1">
      <c r="A123" s="70" t="s">
        <v>324</v>
      </c>
      <c r="B123" s="70" t="s">
        <v>345</v>
      </c>
      <c r="C123" s="641" t="s">
        <v>1724</v>
      </c>
      <c r="D123" s="685" t="s">
        <v>346</v>
      </c>
      <c r="E123" s="72" t="s">
        <v>1667</v>
      </c>
      <c r="F123" s="72" t="s">
        <v>168</v>
      </c>
      <c r="G123" s="72" t="s">
        <v>1679</v>
      </c>
      <c r="H123" s="801" t="s">
        <v>1913</v>
      </c>
      <c r="I123" s="674"/>
      <c r="J123" s="709">
        <v>24227</v>
      </c>
      <c r="K123" s="804">
        <f>K122-Table13[[#This Row],[مدين]]+Table13[[#This Row],[دائن]]</f>
        <v>1230753.95</v>
      </c>
      <c r="L123" s="62"/>
    </row>
    <row r="124" spans="1:12" s="58" customFormat="1" ht="23.25" customHeight="1">
      <c r="A124" s="70" t="s">
        <v>347</v>
      </c>
      <c r="B124" s="70" t="s">
        <v>348</v>
      </c>
      <c r="C124" s="836" t="s">
        <v>2105</v>
      </c>
      <c r="D124" s="685" t="s">
        <v>349</v>
      </c>
      <c r="E124" s="806" t="s">
        <v>1655</v>
      </c>
      <c r="F124" s="806" t="s">
        <v>1686</v>
      </c>
      <c r="G124" s="806">
        <v>512</v>
      </c>
      <c r="H124" s="801" t="s">
        <v>1913</v>
      </c>
      <c r="I124" s="674"/>
      <c r="J124" s="657">
        <v>1060.6199999999999</v>
      </c>
      <c r="K124" s="800">
        <f>K123-Table13[[#This Row],[مدين]]+Table13[[#This Row],[دائن]]</f>
        <v>1231814.57</v>
      </c>
      <c r="L124" s="62"/>
    </row>
    <row r="125" spans="1:12" s="58" customFormat="1" ht="23.25" customHeight="1">
      <c r="A125" s="70" t="s">
        <v>350</v>
      </c>
      <c r="B125" s="70" t="s">
        <v>351</v>
      </c>
      <c r="C125" s="71" t="s">
        <v>2086</v>
      </c>
      <c r="D125" s="685" t="s">
        <v>180</v>
      </c>
      <c r="E125" s="72" t="s">
        <v>171</v>
      </c>
      <c r="F125" s="72" t="s">
        <v>181</v>
      </c>
      <c r="G125" s="72" t="s">
        <v>1657</v>
      </c>
      <c r="H125" s="801" t="s">
        <v>1913</v>
      </c>
      <c r="I125" s="674"/>
      <c r="J125" s="657">
        <v>11512.92</v>
      </c>
      <c r="K125" s="800">
        <f>K124-Table13[[#This Row],[مدين]]+Table13[[#This Row],[دائن]]</f>
        <v>1243327.49</v>
      </c>
      <c r="L125" s="62"/>
    </row>
    <row r="126" spans="1:12" s="58" customFormat="1" ht="23.25" customHeight="1">
      <c r="A126" s="70" t="s">
        <v>350</v>
      </c>
      <c r="B126" s="70" t="s">
        <v>352</v>
      </c>
      <c r="C126" s="71" t="s">
        <v>2199</v>
      </c>
      <c r="D126" s="685" t="s">
        <v>353</v>
      </c>
      <c r="E126" s="72" t="s">
        <v>1697</v>
      </c>
      <c r="F126" s="72" t="s">
        <v>195</v>
      </c>
      <c r="G126" s="72"/>
      <c r="H126" s="801" t="s">
        <v>1913</v>
      </c>
      <c r="I126" s="802">
        <v>3660</v>
      </c>
      <c r="J126" s="802"/>
      <c r="K126" s="800">
        <f>K125-Table13[[#This Row],[مدين]]+Table13[[#This Row],[دائن]]</f>
        <v>1239667.49</v>
      </c>
      <c r="L126" s="62"/>
    </row>
    <row r="127" spans="1:12" s="58" customFormat="1" ht="23.25" customHeight="1">
      <c r="A127" s="70" t="s">
        <v>354</v>
      </c>
      <c r="B127" s="70" t="s">
        <v>355</v>
      </c>
      <c r="C127" s="641" t="s">
        <v>2086</v>
      </c>
      <c r="D127" s="685" t="s">
        <v>356</v>
      </c>
      <c r="E127" s="72" t="s">
        <v>171</v>
      </c>
      <c r="F127" s="72" t="s">
        <v>69</v>
      </c>
      <c r="G127" s="72" t="s">
        <v>994</v>
      </c>
      <c r="H127" s="801" t="s">
        <v>1913</v>
      </c>
      <c r="I127" s="674"/>
      <c r="J127" s="657">
        <v>222.28</v>
      </c>
      <c r="K127" s="800">
        <f>K126-Table13[[#This Row],[مدين]]+Table13[[#This Row],[دائن]]</f>
        <v>1239889.77</v>
      </c>
      <c r="L127" s="62"/>
    </row>
    <row r="128" spans="1:12" s="58" customFormat="1" ht="23.25" customHeight="1" thickBot="1">
      <c r="A128" s="70" t="s">
        <v>357</v>
      </c>
      <c r="B128" s="70" t="s">
        <v>358</v>
      </c>
      <c r="C128" s="71" t="s">
        <v>2105</v>
      </c>
      <c r="D128" s="685" t="s">
        <v>2148</v>
      </c>
      <c r="E128" s="801" t="s">
        <v>171</v>
      </c>
      <c r="F128" s="801" t="s">
        <v>196</v>
      </c>
      <c r="G128" s="72" t="s">
        <v>1007</v>
      </c>
      <c r="H128" s="801" t="s">
        <v>1913</v>
      </c>
      <c r="I128" s="674"/>
      <c r="J128" s="657">
        <v>186.66</v>
      </c>
      <c r="K128" s="800">
        <f>K127-Table13[[#This Row],[مدين]]+Table13[[#This Row],[دائن]]</f>
        <v>1240076.43</v>
      </c>
      <c r="L128" s="62"/>
    </row>
    <row r="129" spans="1:12" s="58" customFormat="1" ht="23.25" customHeight="1">
      <c r="A129" s="77" t="s">
        <v>357</v>
      </c>
      <c r="B129" s="77" t="s">
        <v>359</v>
      </c>
      <c r="C129" s="71" t="s">
        <v>2086</v>
      </c>
      <c r="D129" s="686" t="s">
        <v>205</v>
      </c>
      <c r="E129" s="72" t="s">
        <v>1655</v>
      </c>
      <c r="F129" s="72" t="s">
        <v>205</v>
      </c>
      <c r="G129" s="806"/>
      <c r="H129" s="805" t="s">
        <v>1913</v>
      </c>
      <c r="I129" s="675"/>
      <c r="J129" s="658">
        <v>388</v>
      </c>
      <c r="K129" s="800">
        <f>K128-Table13[[#This Row],[مدين]]+Table13[[#This Row],[دائن]]</f>
        <v>1240464.43</v>
      </c>
      <c r="L129" s="62"/>
    </row>
    <row r="130" spans="1:12" s="58" customFormat="1" ht="23.25" customHeight="1" thickBot="1">
      <c r="A130" s="70" t="s">
        <v>360</v>
      </c>
      <c r="B130" s="70" t="s">
        <v>361</v>
      </c>
      <c r="C130" s="71" t="s">
        <v>2200</v>
      </c>
      <c r="D130" s="685" t="s">
        <v>362</v>
      </c>
      <c r="E130" s="72" t="s">
        <v>171</v>
      </c>
      <c r="F130" s="72" t="s">
        <v>196</v>
      </c>
      <c r="G130" s="72" t="s">
        <v>1612</v>
      </c>
      <c r="H130" s="801" t="s">
        <v>1913</v>
      </c>
      <c r="I130" s="802">
        <v>9119.16</v>
      </c>
      <c r="J130" s="802"/>
      <c r="K130" s="800">
        <f>K129-Table13[[#This Row],[مدين]]+Table13[[#This Row],[دائن]]</f>
        <v>1231345.27</v>
      </c>
      <c r="L130" s="62"/>
    </row>
    <row r="131" spans="1:12" s="58" customFormat="1" ht="23.25" customHeight="1">
      <c r="A131" s="70" t="s">
        <v>363</v>
      </c>
      <c r="B131" s="70" t="s">
        <v>364</v>
      </c>
      <c r="C131" s="836" t="s">
        <v>2105</v>
      </c>
      <c r="D131" s="685" t="s">
        <v>365</v>
      </c>
      <c r="E131" s="806" t="s">
        <v>1655</v>
      </c>
      <c r="F131" s="806" t="s">
        <v>1686</v>
      </c>
      <c r="G131" s="806">
        <v>512</v>
      </c>
      <c r="H131" s="801" t="s">
        <v>1913</v>
      </c>
      <c r="I131" s="674"/>
      <c r="J131" s="657">
        <v>458.52</v>
      </c>
      <c r="K131" s="800">
        <f>K130-Table13[[#This Row],[مدين]]+Table13[[#This Row],[دائن]]</f>
        <v>1231803.79</v>
      </c>
      <c r="L131" s="62"/>
    </row>
    <row r="132" spans="1:12" s="58" customFormat="1" ht="23.25" customHeight="1">
      <c r="A132" s="70" t="s">
        <v>366</v>
      </c>
      <c r="B132" s="70" t="s">
        <v>367</v>
      </c>
      <c r="C132" s="71" t="s">
        <v>2105</v>
      </c>
      <c r="D132" s="685" t="s">
        <v>2149</v>
      </c>
      <c r="E132" s="72" t="s">
        <v>171</v>
      </c>
      <c r="F132" s="72" t="s">
        <v>196</v>
      </c>
      <c r="G132" s="72" t="s">
        <v>63</v>
      </c>
      <c r="H132" s="801" t="s">
        <v>1913</v>
      </c>
      <c r="I132" s="674"/>
      <c r="J132" s="657">
        <v>906.67</v>
      </c>
      <c r="K132" s="800">
        <f>K131-Table13[[#This Row],[مدين]]+Table13[[#This Row],[دائن]]</f>
        <v>1232710.46</v>
      </c>
      <c r="L132" s="62"/>
    </row>
    <row r="133" spans="1:12" s="58" customFormat="1" ht="23.25" customHeight="1">
      <c r="A133" s="70" t="s">
        <v>368</v>
      </c>
      <c r="B133" s="70" t="s">
        <v>369</v>
      </c>
      <c r="C133" s="71" t="s">
        <v>2105</v>
      </c>
      <c r="D133" s="685" t="s">
        <v>2150</v>
      </c>
      <c r="E133" s="72" t="s">
        <v>171</v>
      </c>
      <c r="F133" s="72" t="s">
        <v>196</v>
      </c>
      <c r="G133" s="72" t="s">
        <v>64</v>
      </c>
      <c r="H133" s="801" t="s">
        <v>1913</v>
      </c>
      <c r="I133" s="674"/>
      <c r="J133" s="657">
        <v>720</v>
      </c>
      <c r="K133" s="800">
        <f>K132-Table13[[#This Row],[مدين]]+Table13[[#This Row],[دائن]]</f>
        <v>1233430.46</v>
      </c>
      <c r="L133" s="62"/>
    </row>
    <row r="134" spans="1:12" s="58" customFormat="1" ht="23.25" customHeight="1">
      <c r="A134" s="70" t="s">
        <v>370</v>
      </c>
      <c r="B134" s="70" t="s">
        <v>371</v>
      </c>
      <c r="C134" s="71" t="s">
        <v>2086</v>
      </c>
      <c r="D134" s="685" t="s">
        <v>372</v>
      </c>
      <c r="E134" s="72" t="s">
        <v>171</v>
      </c>
      <c r="F134" s="72" t="s">
        <v>181</v>
      </c>
      <c r="G134" s="72" t="s">
        <v>1659</v>
      </c>
      <c r="H134" s="801" t="s">
        <v>1913</v>
      </c>
      <c r="I134" s="674"/>
      <c r="J134" s="657">
        <v>1836</v>
      </c>
      <c r="K134" s="800">
        <f>K133-Table13[[#This Row],[مدين]]+Table13[[#This Row],[دائن]]</f>
        <v>1235266.46</v>
      </c>
      <c r="L134" s="62"/>
    </row>
    <row r="135" spans="1:12" s="58" customFormat="1" ht="23.25" customHeight="1">
      <c r="A135" s="70" t="s">
        <v>370</v>
      </c>
      <c r="B135" s="70" t="s">
        <v>373</v>
      </c>
      <c r="C135" s="71" t="s">
        <v>2086</v>
      </c>
      <c r="D135" s="685" t="s">
        <v>372</v>
      </c>
      <c r="E135" s="72" t="s">
        <v>171</v>
      </c>
      <c r="F135" s="72" t="s">
        <v>181</v>
      </c>
      <c r="G135" s="72" t="s">
        <v>1659</v>
      </c>
      <c r="H135" s="801" t="s">
        <v>1913</v>
      </c>
      <c r="I135" s="674"/>
      <c r="J135" s="657">
        <v>5065</v>
      </c>
      <c r="K135" s="800">
        <f>K134-Table13[[#This Row],[مدين]]+Table13[[#This Row],[دائن]]</f>
        <v>1240331.46</v>
      </c>
      <c r="L135" s="62"/>
    </row>
    <row r="136" spans="1:12" s="58" customFormat="1" ht="23.25" customHeight="1">
      <c r="A136" s="70" t="s">
        <v>370</v>
      </c>
      <c r="B136" s="70" t="s">
        <v>374</v>
      </c>
      <c r="C136" s="71" t="s">
        <v>2086</v>
      </c>
      <c r="D136" s="685" t="s">
        <v>372</v>
      </c>
      <c r="E136" s="72" t="s">
        <v>171</v>
      </c>
      <c r="F136" s="72" t="s">
        <v>181</v>
      </c>
      <c r="G136" s="72" t="s">
        <v>1659</v>
      </c>
      <c r="H136" s="801" t="s">
        <v>1913</v>
      </c>
      <c r="I136" s="674"/>
      <c r="J136" s="657">
        <v>2103</v>
      </c>
      <c r="K136" s="800">
        <f>K135-Table13[[#This Row],[مدين]]+Table13[[#This Row],[دائن]]</f>
        <v>1242434.46</v>
      </c>
      <c r="L136" s="62"/>
    </row>
    <row r="137" spans="1:12" s="58" customFormat="1" ht="23.25" customHeight="1">
      <c r="A137" s="70" t="s">
        <v>370</v>
      </c>
      <c r="B137" s="70" t="s">
        <v>375</v>
      </c>
      <c r="C137" s="71" t="s">
        <v>2105</v>
      </c>
      <c r="D137" s="685" t="s">
        <v>376</v>
      </c>
      <c r="E137" s="72" t="s">
        <v>171</v>
      </c>
      <c r="F137" s="72" t="s">
        <v>1675</v>
      </c>
      <c r="G137" s="72" t="s">
        <v>113</v>
      </c>
      <c r="H137" s="801" t="s">
        <v>1913</v>
      </c>
      <c r="I137" s="674"/>
      <c r="J137" s="657">
        <v>899.29</v>
      </c>
      <c r="K137" s="800">
        <f>K136-Table13[[#This Row],[مدين]]+Table13[[#This Row],[دائن]]</f>
        <v>1243333.75</v>
      </c>
      <c r="L137" s="62"/>
    </row>
    <row r="138" spans="1:12" s="58" customFormat="1" ht="23.25" customHeight="1">
      <c r="A138" s="70" t="s">
        <v>377</v>
      </c>
      <c r="B138" s="70" t="s">
        <v>378</v>
      </c>
      <c r="C138" s="71" t="s">
        <v>2086</v>
      </c>
      <c r="D138" s="685" t="s">
        <v>205</v>
      </c>
      <c r="E138" s="72" t="s">
        <v>1655</v>
      </c>
      <c r="F138" s="72" t="s">
        <v>205</v>
      </c>
      <c r="G138" s="72"/>
      <c r="H138" s="801" t="s">
        <v>1913</v>
      </c>
      <c r="I138" s="674"/>
      <c r="J138" s="657">
        <v>8</v>
      </c>
      <c r="K138" s="800">
        <f>K137-Table13[[#This Row],[مدين]]+Table13[[#This Row],[دائن]]</f>
        <v>1243341.75</v>
      </c>
      <c r="L138" s="62"/>
    </row>
    <row r="139" spans="1:12" s="58" customFormat="1" ht="23.25" customHeight="1">
      <c r="A139" s="70" t="s">
        <v>377</v>
      </c>
      <c r="B139" s="70" t="s">
        <v>378</v>
      </c>
      <c r="C139" s="71" t="s">
        <v>2086</v>
      </c>
      <c r="D139" s="685" t="s">
        <v>205</v>
      </c>
      <c r="E139" s="72" t="s">
        <v>1655</v>
      </c>
      <c r="F139" s="72" t="s">
        <v>205</v>
      </c>
      <c r="G139" s="72"/>
      <c r="H139" s="801" t="s">
        <v>1913</v>
      </c>
      <c r="I139" s="674"/>
      <c r="J139" s="657">
        <v>376</v>
      </c>
      <c r="K139" s="800">
        <f>K138-Table13[[#This Row],[مدين]]+Table13[[#This Row],[دائن]]</f>
        <v>1243717.75</v>
      </c>
      <c r="L139" s="62"/>
    </row>
    <row r="140" spans="1:12" s="58" customFormat="1" ht="23.25" customHeight="1">
      <c r="A140" s="70" t="s">
        <v>379</v>
      </c>
      <c r="B140" s="70" t="s">
        <v>380</v>
      </c>
      <c r="C140" s="71" t="s">
        <v>2105</v>
      </c>
      <c r="D140" s="685" t="s">
        <v>376</v>
      </c>
      <c r="E140" s="72" t="s">
        <v>171</v>
      </c>
      <c r="F140" s="72" t="s">
        <v>1675</v>
      </c>
      <c r="G140" s="72" t="s">
        <v>113</v>
      </c>
      <c r="H140" s="801" t="s">
        <v>1913</v>
      </c>
      <c r="I140" s="674"/>
      <c r="J140" s="657">
        <v>1828.74</v>
      </c>
      <c r="K140" s="800">
        <f>K139-Table13[[#This Row],[مدين]]+Table13[[#This Row],[دائن]]</f>
        <v>1245546.49</v>
      </c>
      <c r="L140" s="62"/>
    </row>
    <row r="141" spans="1:12" s="58" customFormat="1" ht="23.25" customHeight="1">
      <c r="A141" s="70" t="s">
        <v>381</v>
      </c>
      <c r="B141" s="70" t="s">
        <v>382</v>
      </c>
      <c r="C141" s="71" t="s">
        <v>2200</v>
      </c>
      <c r="D141" s="685" t="s">
        <v>383</v>
      </c>
      <c r="E141" s="72" t="s">
        <v>171</v>
      </c>
      <c r="F141" s="72" t="s">
        <v>196</v>
      </c>
      <c r="G141" s="72" t="s">
        <v>328</v>
      </c>
      <c r="H141" s="801" t="s">
        <v>1913</v>
      </c>
      <c r="I141" s="802">
        <v>22262.5</v>
      </c>
      <c r="J141" s="802"/>
      <c r="K141" s="800">
        <f>K140-Table13[[#This Row],[مدين]]+Table13[[#This Row],[دائن]]</f>
        <v>1223283.99</v>
      </c>
      <c r="L141" s="62"/>
    </row>
    <row r="142" spans="1:12" s="58" customFormat="1" ht="23.25" customHeight="1">
      <c r="A142" s="70" t="s">
        <v>381</v>
      </c>
      <c r="B142" s="70" t="s">
        <v>384</v>
      </c>
      <c r="C142" s="641" t="s">
        <v>2105</v>
      </c>
      <c r="D142" s="685" t="s">
        <v>385</v>
      </c>
      <c r="E142" s="72" t="s">
        <v>1655</v>
      </c>
      <c r="F142" s="72" t="s">
        <v>181</v>
      </c>
      <c r="G142" s="72" t="s">
        <v>1682</v>
      </c>
      <c r="H142" s="801" t="s">
        <v>1913</v>
      </c>
      <c r="I142" s="674"/>
      <c r="J142" s="657">
        <v>62425.78</v>
      </c>
      <c r="K142" s="800">
        <f>K141-Table13[[#This Row],[مدين]]+Table13[[#This Row],[دائن]]</f>
        <v>1285709.77</v>
      </c>
      <c r="L142" s="62"/>
    </row>
    <row r="143" spans="1:12" s="58" customFormat="1" ht="23.25" customHeight="1">
      <c r="A143" s="70" t="s">
        <v>381</v>
      </c>
      <c r="B143" s="70" t="s">
        <v>386</v>
      </c>
      <c r="C143" s="71" t="s">
        <v>2086</v>
      </c>
      <c r="D143" s="685" t="s">
        <v>205</v>
      </c>
      <c r="E143" s="72" t="s">
        <v>1655</v>
      </c>
      <c r="F143" s="72" t="s">
        <v>205</v>
      </c>
      <c r="G143" s="72"/>
      <c r="H143" s="801" t="s">
        <v>1913</v>
      </c>
      <c r="I143" s="674"/>
      <c r="J143" s="657">
        <v>12</v>
      </c>
      <c r="K143" s="800">
        <f>K142-Table13[[#This Row],[مدين]]+Table13[[#This Row],[دائن]]</f>
        <v>1285721.77</v>
      </c>
      <c r="L143" s="62"/>
    </row>
    <row r="144" spans="1:12" s="529" customFormat="1" ht="23.25" customHeight="1">
      <c r="A144" s="625" t="s">
        <v>387</v>
      </c>
      <c r="B144" s="625" t="s">
        <v>388</v>
      </c>
      <c r="C144" s="812" t="s">
        <v>1565</v>
      </c>
      <c r="D144" s="813" t="s">
        <v>389</v>
      </c>
      <c r="E144" s="72" t="s">
        <v>171</v>
      </c>
      <c r="F144" s="72" t="s">
        <v>196</v>
      </c>
      <c r="G144" s="814" t="s">
        <v>390</v>
      </c>
      <c r="H144" s="801" t="s">
        <v>1913</v>
      </c>
      <c r="I144" s="815"/>
      <c r="J144" s="669">
        <v>4091.67</v>
      </c>
      <c r="K144" s="804">
        <f>K143-Table13[[#This Row],[مدين]]+Table13[[#This Row],[دائن]]</f>
        <v>1289813.44</v>
      </c>
      <c r="L144" s="530"/>
    </row>
    <row r="145" spans="1:12" s="529" customFormat="1" ht="23.25" customHeight="1">
      <c r="A145" s="625" t="s">
        <v>387</v>
      </c>
      <c r="B145" s="625" t="s">
        <v>388</v>
      </c>
      <c r="C145" s="812" t="s">
        <v>1565</v>
      </c>
      <c r="D145" s="813" t="s">
        <v>389</v>
      </c>
      <c r="E145" s="72" t="s">
        <v>171</v>
      </c>
      <c r="F145" s="72" t="s">
        <v>196</v>
      </c>
      <c r="G145" s="814" t="s">
        <v>390</v>
      </c>
      <c r="H145" s="801" t="s">
        <v>1913</v>
      </c>
      <c r="I145" s="815"/>
      <c r="J145" s="669">
        <v>7641.67</v>
      </c>
      <c r="K145" s="804">
        <f>K144-Table13[[#This Row],[مدين]]+Table13[[#This Row],[دائن]]</f>
        <v>1297455.1099999999</v>
      </c>
      <c r="L145" s="530"/>
    </row>
    <row r="146" spans="1:12" s="529" customFormat="1" ht="23.25" customHeight="1">
      <c r="A146" s="625" t="s">
        <v>387</v>
      </c>
      <c r="B146" s="625" t="s">
        <v>388</v>
      </c>
      <c r="C146" s="812" t="s">
        <v>1565</v>
      </c>
      <c r="D146" s="813" t="s">
        <v>389</v>
      </c>
      <c r="E146" s="72" t="s">
        <v>171</v>
      </c>
      <c r="F146" s="72" t="s">
        <v>196</v>
      </c>
      <c r="G146" s="814" t="s">
        <v>390</v>
      </c>
      <c r="H146" s="801" t="s">
        <v>1913</v>
      </c>
      <c r="I146" s="815"/>
      <c r="J146" s="669">
        <v>2883.34</v>
      </c>
      <c r="K146" s="804">
        <f>K145-Table13[[#This Row],[مدين]]+Table13[[#This Row],[دائن]]</f>
        <v>1300338.45</v>
      </c>
      <c r="L146" s="530"/>
    </row>
    <row r="147" spans="1:12" s="529" customFormat="1" ht="23.25" customHeight="1">
      <c r="A147" s="625" t="s">
        <v>387</v>
      </c>
      <c r="B147" s="625" t="s">
        <v>388</v>
      </c>
      <c r="C147" s="812" t="s">
        <v>1565</v>
      </c>
      <c r="D147" s="813" t="s">
        <v>389</v>
      </c>
      <c r="E147" s="72" t="s">
        <v>171</v>
      </c>
      <c r="F147" s="72" t="s">
        <v>196</v>
      </c>
      <c r="G147" s="814" t="s">
        <v>390</v>
      </c>
      <c r="H147" s="801" t="s">
        <v>1913</v>
      </c>
      <c r="I147" s="815"/>
      <c r="J147" s="669">
        <v>4366.67</v>
      </c>
      <c r="K147" s="804">
        <f>K146-Table13[[#This Row],[مدين]]+Table13[[#This Row],[دائن]]</f>
        <v>1304705.1199999999</v>
      </c>
      <c r="L147" s="530"/>
    </row>
    <row r="148" spans="1:12" s="529" customFormat="1" ht="23.25" customHeight="1">
      <c r="A148" s="625" t="s">
        <v>387</v>
      </c>
      <c r="B148" s="625" t="s">
        <v>388</v>
      </c>
      <c r="C148" s="812" t="s">
        <v>1565</v>
      </c>
      <c r="D148" s="813" t="s">
        <v>389</v>
      </c>
      <c r="E148" s="72" t="s">
        <v>171</v>
      </c>
      <c r="F148" s="72" t="s">
        <v>196</v>
      </c>
      <c r="G148" s="814" t="s">
        <v>390</v>
      </c>
      <c r="H148" s="801" t="s">
        <v>1913</v>
      </c>
      <c r="I148" s="815"/>
      <c r="J148" s="669">
        <v>8741.25</v>
      </c>
      <c r="K148" s="804">
        <f>K147-Table13[[#This Row],[مدين]]+Table13[[#This Row],[دائن]]</f>
        <v>1313446.3699999999</v>
      </c>
      <c r="L148" s="530"/>
    </row>
    <row r="149" spans="1:12" s="529" customFormat="1" ht="23.25" customHeight="1">
      <c r="A149" s="625" t="s">
        <v>387</v>
      </c>
      <c r="B149" s="625" t="s">
        <v>388</v>
      </c>
      <c r="C149" s="812" t="s">
        <v>1565</v>
      </c>
      <c r="D149" s="813" t="s">
        <v>389</v>
      </c>
      <c r="E149" s="72" t="s">
        <v>171</v>
      </c>
      <c r="F149" s="72" t="s">
        <v>196</v>
      </c>
      <c r="G149" s="814" t="s">
        <v>390</v>
      </c>
      <c r="H149" s="801" t="s">
        <v>1913</v>
      </c>
      <c r="I149" s="815"/>
      <c r="J149" s="669">
        <v>1333.33</v>
      </c>
      <c r="K149" s="804">
        <f>K148-Table13[[#This Row],[مدين]]+Table13[[#This Row],[دائن]]</f>
        <v>1314779.7</v>
      </c>
      <c r="L149" s="530"/>
    </row>
    <row r="150" spans="1:12" s="529" customFormat="1" ht="23.25" customHeight="1">
      <c r="A150" s="625" t="s">
        <v>387</v>
      </c>
      <c r="B150" s="625" t="s">
        <v>388</v>
      </c>
      <c r="C150" s="812" t="s">
        <v>1565</v>
      </c>
      <c r="D150" s="813" t="s">
        <v>389</v>
      </c>
      <c r="E150" s="72" t="s">
        <v>171</v>
      </c>
      <c r="F150" s="72" t="s">
        <v>196</v>
      </c>
      <c r="G150" s="814" t="s">
        <v>390</v>
      </c>
      <c r="H150" s="801" t="s">
        <v>1913</v>
      </c>
      <c r="I150" s="815"/>
      <c r="J150" s="669">
        <v>14825</v>
      </c>
      <c r="K150" s="804">
        <f>K149-Table13[[#This Row],[مدين]]+Table13[[#This Row],[دائن]]</f>
        <v>1329604.7</v>
      </c>
      <c r="L150" s="530"/>
    </row>
    <row r="151" spans="1:12" s="529" customFormat="1" ht="23.25" customHeight="1">
      <c r="A151" s="625" t="s">
        <v>387</v>
      </c>
      <c r="B151" s="625" t="s">
        <v>388</v>
      </c>
      <c r="C151" s="812" t="s">
        <v>1565</v>
      </c>
      <c r="D151" s="813" t="s">
        <v>389</v>
      </c>
      <c r="E151" s="72" t="s">
        <v>171</v>
      </c>
      <c r="F151" s="72" t="s">
        <v>196</v>
      </c>
      <c r="G151" s="814" t="s">
        <v>390</v>
      </c>
      <c r="H151" s="801" t="s">
        <v>1913</v>
      </c>
      <c r="I151" s="815"/>
      <c r="J151" s="669">
        <v>12375</v>
      </c>
      <c r="K151" s="804">
        <f>K150-Table13[[#This Row],[مدين]]+Table13[[#This Row],[دائن]]</f>
        <v>1341979.7</v>
      </c>
      <c r="L151" s="530"/>
    </row>
    <row r="152" spans="1:12" s="529" customFormat="1" ht="23.25" customHeight="1">
      <c r="A152" s="625" t="s">
        <v>387</v>
      </c>
      <c r="B152" s="625" t="s">
        <v>388</v>
      </c>
      <c r="C152" s="812" t="s">
        <v>1565</v>
      </c>
      <c r="D152" s="813" t="s">
        <v>389</v>
      </c>
      <c r="E152" s="72" t="s">
        <v>171</v>
      </c>
      <c r="F152" s="72" t="s">
        <v>196</v>
      </c>
      <c r="G152" s="814" t="s">
        <v>390</v>
      </c>
      <c r="H152" s="801" t="s">
        <v>1913</v>
      </c>
      <c r="I152" s="815"/>
      <c r="J152" s="669">
        <v>95097.09</v>
      </c>
      <c r="K152" s="804">
        <f>K151-Table13[[#This Row],[مدين]]+Table13[[#This Row],[دائن]]</f>
        <v>1437076.79</v>
      </c>
      <c r="L152" s="530"/>
    </row>
    <row r="153" spans="1:12" s="58" customFormat="1" ht="23.25" customHeight="1">
      <c r="A153" s="70" t="s">
        <v>387</v>
      </c>
      <c r="B153" s="70" t="s">
        <v>391</v>
      </c>
      <c r="C153" s="71" t="s">
        <v>2086</v>
      </c>
      <c r="D153" s="685" t="s">
        <v>227</v>
      </c>
      <c r="E153" s="72" t="s">
        <v>171</v>
      </c>
      <c r="F153" s="72" t="s">
        <v>181</v>
      </c>
      <c r="G153" s="72" t="s">
        <v>1657</v>
      </c>
      <c r="H153" s="801" t="s">
        <v>1913</v>
      </c>
      <c r="I153" s="674"/>
      <c r="J153" s="657">
        <v>6899</v>
      </c>
      <c r="K153" s="800">
        <f>K152-Table13[[#This Row],[مدين]]+Table13[[#This Row],[دائن]]</f>
        <v>1443975.79</v>
      </c>
      <c r="L153" s="62"/>
    </row>
    <row r="154" spans="1:12" s="58" customFormat="1" ht="23.25" customHeight="1">
      <c r="A154" s="70" t="s">
        <v>387</v>
      </c>
      <c r="B154" s="70" t="s">
        <v>392</v>
      </c>
      <c r="C154" s="71" t="s">
        <v>2086</v>
      </c>
      <c r="D154" s="685" t="s">
        <v>229</v>
      </c>
      <c r="E154" s="72" t="s">
        <v>171</v>
      </c>
      <c r="F154" s="72" t="s">
        <v>181</v>
      </c>
      <c r="G154" s="72" t="s">
        <v>1676</v>
      </c>
      <c r="H154" s="801" t="s">
        <v>1913</v>
      </c>
      <c r="I154" s="674"/>
      <c r="J154" s="657">
        <v>32218</v>
      </c>
      <c r="K154" s="800">
        <f>K153-Table13[[#This Row],[مدين]]+Table13[[#This Row],[دائن]]</f>
        <v>1476193.79</v>
      </c>
      <c r="L154" s="62"/>
    </row>
    <row r="155" spans="1:12" s="58" customFormat="1" ht="23.25" customHeight="1">
      <c r="A155" s="70" t="s">
        <v>387</v>
      </c>
      <c r="B155" s="70" t="s">
        <v>393</v>
      </c>
      <c r="C155" s="71" t="s">
        <v>2086</v>
      </c>
      <c r="D155" s="685" t="s">
        <v>231</v>
      </c>
      <c r="E155" s="72" t="s">
        <v>171</v>
      </c>
      <c r="F155" s="72" t="s">
        <v>181</v>
      </c>
      <c r="G155" s="72" t="s">
        <v>1658</v>
      </c>
      <c r="H155" s="801" t="s">
        <v>1913</v>
      </c>
      <c r="I155" s="674"/>
      <c r="J155" s="657">
        <v>7422</v>
      </c>
      <c r="K155" s="800">
        <f>K154-Table13[[#This Row],[مدين]]+Table13[[#This Row],[دائن]]</f>
        <v>1483615.79</v>
      </c>
      <c r="L155" s="62"/>
    </row>
    <row r="156" spans="1:12" s="58" customFormat="1" ht="23.25" customHeight="1">
      <c r="A156" s="70" t="s">
        <v>387</v>
      </c>
      <c r="B156" s="70" t="s">
        <v>394</v>
      </c>
      <c r="C156" s="71" t="s">
        <v>2086</v>
      </c>
      <c r="D156" s="685" t="s">
        <v>395</v>
      </c>
      <c r="E156" s="72" t="s">
        <v>171</v>
      </c>
      <c r="F156" s="72" t="s">
        <v>170</v>
      </c>
      <c r="G156" s="801" t="s">
        <v>1913</v>
      </c>
      <c r="H156" s="801" t="s">
        <v>1913</v>
      </c>
      <c r="I156" s="674"/>
      <c r="J156" s="657">
        <v>400</v>
      </c>
      <c r="K156" s="800">
        <f>K155-Table13[[#This Row],[مدين]]+Table13[[#This Row],[دائن]]</f>
        <v>1484015.79</v>
      </c>
      <c r="L156" s="62"/>
    </row>
    <row r="157" spans="1:12" s="58" customFormat="1" ht="23.25" customHeight="1">
      <c r="A157" s="70" t="s">
        <v>387</v>
      </c>
      <c r="B157" s="70" t="s">
        <v>396</v>
      </c>
      <c r="C157" s="71" t="s">
        <v>2102</v>
      </c>
      <c r="D157" s="685" t="s">
        <v>233</v>
      </c>
      <c r="E157" s="72" t="s">
        <v>171</v>
      </c>
      <c r="F157" s="72" t="s">
        <v>1677</v>
      </c>
      <c r="G157" s="72"/>
      <c r="H157" s="801" t="s">
        <v>1913</v>
      </c>
      <c r="I157" s="674"/>
      <c r="J157" s="657">
        <v>45</v>
      </c>
      <c r="K157" s="800">
        <f>K156-Table13[[#This Row],[مدين]]+Table13[[#This Row],[دائن]]</f>
        <v>1484060.79</v>
      </c>
      <c r="L157" s="62"/>
    </row>
    <row r="158" spans="1:12" s="58" customFormat="1" ht="23.25" customHeight="1">
      <c r="A158" s="70" t="s">
        <v>387</v>
      </c>
      <c r="B158" s="70" t="s">
        <v>397</v>
      </c>
      <c r="C158" s="641" t="s">
        <v>1662</v>
      </c>
      <c r="D158" s="685" t="s">
        <v>398</v>
      </c>
      <c r="E158" s="72" t="s">
        <v>1667</v>
      </c>
      <c r="F158" s="72" t="s">
        <v>168</v>
      </c>
      <c r="G158" s="72" t="s">
        <v>1668</v>
      </c>
      <c r="H158" s="801" t="s">
        <v>1913</v>
      </c>
      <c r="I158" s="802">
        <v>58806</v>
      </c>
      <c r="J158" s="802"/>
      <c r="K158" s="804">
        <f>K157-Table13[[#This Row],[مدين]]+Table13[[#This Row],[دائن]]</f>
        <v>1425254.79</v>
      </c>
      <c r="L158" s="62"/>
    </row>
    <row r="159" spans="1:12" s="58" customFormat="1" ht="23.25" customHeight="1">
      <c r="A159" s="70" t="s">
        <v>387</v>
      </c>
      <c r="B159" s="70" t="s">
        <v>399</v>
      </c>
      <c r="C159" s="641" t="s">
        <v>1726</v>
      </c>
      <c r="D159" s="685" t="s">
        <v>400</v>
      </c>
      <c r="E159" s="72" t="s">
        <v>1667</v>
      </c>
      <c r="F159" s="72" t="s">
        <v>168</v>
      </c>
      <c r="G159" s="72" t="s">
        <v>1678</v>
      </c>
      <c r="H159" s="801" t="s">
        <v>1913</v>
      </c>
      <c r="I159" s="802">
        <v>102250</v>
      </c>
      <c r="J159" s="802"/>
      <c r="K159" s="804">
        <f>K158-Table13[[#This Row],[مدين]]+Table13[[#This Row],[دائن]]</f>
        <v>1323004.79</v>
      </c>
      <c r="L159" s="62"/>
    </row>
    <row r="160" spans="1:12" s="58" customFormat="1" ht="23.25" customHeight="1">
      <c r="A160" s="70" t="s">
        <v>387</v>
      </c>
      <c r="B160" s="70" t="s">
        <v>401</v>
      </c>
      <c r="C160" s="641" t="s">
        <v>1726</v>
      </c>
      <c r="D160" s="685" t="s">
        <v>402</v>
      </c>
      <c r="E160" s="72" t="s">
        <v>1667</v>
      </c>
      <c r="F160" s="72" t="s">
        <v>168</v>
      </c>
      <c r="G160" s="72" t="s">
        <v>1679</v>
      </c>
      <c r="H160" s="801" t="s">
        <v>1913</v>
      </c>
      <c r="I160" s="674"/>
      <c r="J160" s="709">
        <v>22672</v>
      </c>
      <c r="K160" s="804">
        <f>K159-Table13[[#This Row],[مدين]]+Table13[[#This Row],[دائن]]</f>
        <v>1345676.79</v>
      </c>
      <c r="L160" s="62"/>
    </row>
    <row r="161" spans="1:12" s="58" customFormat="1" ht="23.25" customHeight="1">
      <c r="A161" s="70" t="s">
        <v>403</v>
      </c>
      <c r="B161" s="70" t="s">
        <v>404</v>
      </c>
      <c r="C161" s="71" t="s">
        <v>2105</v>
      </c>
      <c r="D161" s="685" t="s">
        <v>405</v>
      </c>
      <c r="E161" s="72" t="s">
        <v>1655</v>
      </c>
      <c r="F161" s="72" t="s">
        <v>2072</v>
      </c>
      <c r="G161" s="72" t="s">
        <v>2073</v>
      </c>
      <c r="H161" s="801" t="s">
        <v>1913</v>
      </c>
      <c r="I161" s="674"/>
      <c r="J161" s="657">
        <v>56</v>
      </c>
      <c r="K161" s="800">
        <f>K160-Table13[[#This Row],[مدين]]+Table13[[#This Row],[دائن]]</f>
        <v>1345732.79</v>
      </c>
      <c r="L161" s="62"/>
    </row>
    <row r="162" spans="1:12" s="58" customFormat="1" ht="23.25" customHeight="1">
      <c r="A162" s="70" t="s">
        <v>406</v>
      </c>
      <c r="B162" s="70" t="s">
        <v>407</v>
      </c>
      <c r="C162" s="71" t="s">
        <v>2105</v>
      </c>
      <c r="D162" s="685" t="s">
        <v>376</v>
      </c>
      <c r="E162" s="72" t="s">
        <v>171</v>
      </c>
      <c r="F162" s="72" t="s">
        <v>1675</v>
      </c>
      <c r="G162" s="72" t="s">
        <v>113</v>
      </c>
      <c r="H162" s="801" t="s">
        <v>1913</v>
      </c>
      <c r="I162" s="674"/>
      <c r="J162" s="657">
        <v>1828.74</v>
      </c>
      <c r="K162" s="800">
        <f>K161-Table13[[#This Row],[مدين]]+Table13[[#This Row],[دائن]]</f>
        <v>1347561.53</v>
      </c>
      <c r="L162" s="62"/>
    </row>
    <row r="163" spans="1:12" s="58" customFormat="1" ht="23.25" customHeight="1">
      <c r="A163" s="70" t="s">
        <v>408</v>
      </c>
      <c r="B163" s="70" t="s">
        <v>409</v>
      </c>
      <c r="C163" s="71" t="s">
        <v>2105</v>
      </c>
      <c r="D163" s="685" t="s">
        <v>2151</v>
      </c>
      <c r="E163" s="801" t="s">
        <v>171</v>
      </c>
      <c r="F163" s="801" t="s">
        <v>196</v>
      </c>
      <c r="G163" s="72" t="s">
        <v>64</v>
      </c>
      <c r="H163" s="801" t="s">
        <v>1913</v>
      </c>
      <c r="I163" s="674"/>
      <c r="J163" s="657">
        <v>10077</v>
      </c>
      <c r="K163" s="800">
        <f>K162-Table13[[#This Row],[مدين]]+Table13[[#This Row],[دائن]]</f>
        <v>1357638.53</v>
      </c>
      <c r="L163" s="62"/>
    </row>
    <row r="164" spans="1:12" s="58" customFormat="1" ht="23.25" customHeight="1">
      <c r="A164" s="70" t="s">
        <v>410</v>
      </c>
      <c r="B164" s="70" t="s">
        <v>411</v>
      </c>
      <c r="C164" s="71" t="s">
        <v>2105</v>
      </c>
      <c r="D164" s="685">
        <v>21111</v>
      </c>
      <c r="E164" s="72" t="s">
        <v>1655</v>
      </c>
      <c r="F164" s="72" t="s">
        <v>2072</v>
      </c>
      <c r="G164" s="72" t="s">
        <v>2073</v>
      </c>
      <c r="H164" s="801" t="s">
        <v>1913</v>
      </c>
      <c r="I164" s="674"/>
      <c r="J164" s="657">
        <v>900</v>
      </c>
      <c r="K164" s="800">
        <f>K163-Table13[[#This Row],[مدين]]+Table13[[#This Row],[دائن]]</f>
        <v>1358538.53</v>
      </c>
      <c r="L164" s="62"/>
    </row>
    <row r="165" spans="1:12" s="58" customFormat="1" ht="23.25" customHeight="1">
      <c r="A165" s="70" t="s">
        <v>412</v>
      </c>
      <c r="B165" s="70" t="s">
        <v>413</v>
      </c>
      <c r="C165" s="71" t="s">
        <v>2105</v>
      </c>
      <c r="D165" s="685" t="s">
        <v>2152</v>
      </c>
      <c r="E165" s="72" t="s">
        <v>171</v>
      </c>
      <c r="F165" s="72" t="s">
        <v>196</v>
      </c>
      <c r="G165" s="72" t="s">
        <v>1007</v>
      </c>
      <c r="H165" s="801" t="s">
        <v>1913</v>
      </c>
      <c r="I165" s="674"/>
      <c r="J165" s="657">
        <v>750</v>
      </c>
      <c r="K165" s="800">
        <f>K164-Table13[[#This Row],[مدين]]+Table13[[#This Row],[دائن]]</f>
        <v>1359288.53</v>
      </c>
      <c r="L165" s="62"/>
    </row>
    <row r="166" spans="1:12" s="58" customFormat="1" ht="23.25" customHeight="1">
      <c r="A166" s="70" t="s">
        <v>414</v>
      </c>
      <c r="B166" s="70" t="s">
        <v>415</v>
      </c>
      <c r="C166" s="71" t="s">
        <v>2086</v>
      </c>
      <c r="D166" s="685" t="s">
        <v>205</v>
      </c>
      <c r="E166" s="72" t="s">
        <v>1655</v>
      </c>
      <c r="F166" s="72" t="s">
        <v>205</v>
      </c>
      <c r="G166" s="72"/>
      <c r="H166" s="801" t="s">
        <v>1913</v>
      </c>
      <c r="I166" s="674"/>
      <c r="J166" s="657">
        <v>380</v>
      </c>
      <c r="K166" s="800">
        <f>K165-Table13[[#This Row],[مدين]]+Table13[[#This Row],[دائن]]</f>
        <v>1359668.53</v>
      </c>
      <c r="L166" s="62"/>
    </row>
    <row r="167" spans="1:12" s="58" customFormat="1" ht="23.25" customHeight="1">
      <c r="A167" s="70" t="s">
        <v>416</v>
      </c>
      <c r="B167" s="70" t="s">
        <v>417</v>
      </c>
      <c r="C167" s="71" t="s">
        <v>2105</v>
      </c>
      <c r="D167" s="685">
        <v>2705</v>
      </c>
      <c r="E167" s="72" t="s">
        <v>1655</v>
      </c>
      <c r="F167" s="72" t="s">
        <v>2072</v>
      </c>
      <c r="G167" s="72" t="s">
        <v>2073</v>
      </c>
      <c r="H167" s="801" t="s">
        <v>1913</v>
      </c>
      <c r="I167" s="674"/>
      <c r="J167" s="657">
        <v>311</v>
      </c>
      <c r="K167" s="800">
        <f>K166-Table13[[#This Row],[مدين]]+Table13[[#This Row],[دائن]]</f>
        <v>1359979.53</v>
      </c>
      <c r="L167" s="62"/>
    </row>
    <row r="168" spans="1:12" s="58" customFormat="1" ht="23.25" customHeight="1" thickBot="1">
      <c r="A168" s="70" t="s">
        <v>416</v>
      </c>
      <c r="B168" s="70" t="s">
        <v>418</v>
      </c>
      <c r="C168" s="641" t="s">
        <v>2086</v>
      </c>
      <c r="D168" s="685" t="s">
        <v>419</v>
      </c>
      <c r="E168" s="72" t="s">
        <v>171</v>
      </c>
      <c r="F168" s="72" t="s">
        <v>69</v>
      </c>
      <c r="G168" s="72" t="s">
        <v>113</v>
      </c>
      <c r="H168" s="801" t="s">
        <v>1913</v>
      </c>
      <c r="I168" s="674"/>
      <c r="J168" s="657">
        <v>921</v>
      </c>
      <c r="K168" s="800">
        <f>K167-Table13[[#This Row],[مدين]]+Table13[[#This Row],[دائن]]</f>
        <v>1360900.53</v>
      </c>
      <c r="L168" s="62"/>
    </row>
    <row r="169" spans="1:12" s="58" customFormat="1" ht="23.25" customHeight="1">
      <c r="A169" s="70" t="s">
        <v>416</v>
      </c>
      <c r="B169" s="70" t="s">
        <v>420</v>
      </c>
      <c r="C169" s="836" t="s">
        <v>2105</v>
      </c>
      <c r="D169" s="685" t="s">
        <v>421</v>
      </c>
      <c r="E169" s="806" t="s">
        <v>1655</v>
      </c>
      <c r="F169" s="806" t="s">
        <v>1686</v>
      </c>
      <c r="G169" s="806">
        <v>512</v>
      </c>
      <c r="H169" s="801" t="s">
        <v>1913</v>
      </c>
      <c r="I169" s="674"/>
      <c r="J169" s="657">
        <v>1109.75</v>
      </c>
      <c r="K169" s="800">
        <f>K168-Table13[[#This Row],[مدين]]+Table13[[#This Row],[دائن]]</f>
        <v>1362010.28</v>
      </c>
      <c r="L169" s="62"/>
    </row>
    <row r="170" spans="1:12" s="58" customFormat="1" ht="23.25" customHeight="1" thickBot="1">
      <c r="A170" s="70" t="s">
        <v>422</v>
      </c>
      <c r="B170" s="70" t="s">
        <v>423</v>
      </c>
      <c r="C170" s="71" t="s">
        <v>2105</v>
      </c>
      <c r="D170" s="685" t="s">
        <v>2153</v>
      </c>
      <c r="E170" s="72" t="s">
        <v>171</v>
      </c>
      <c r="F170" s="72" t="s">
        <v>196</v>
      </c>
      <c r="G170" s="72" t="s">
        <v>1007</v>
      </c>
      <c r="H170" s="801" t="s">
        <v>1913</v>
      </c>
      <c r="I170" s="674"/>
      <c r="J170" s="657">
        <v>300</v>
      </c>
      <c r="K170" s="800">
        <f>K169-Table13[[#This Row],[مدين]]+Table13[[#This Row],[دائن]]</f>
        <v>1362310.28</v>
      </c>
      <c r="L170" s="62"/>
    </row>
    <row r="171" spans="1:12" s="58" customFormat="1" ht="23.25" customHeight="1">
      <c r="A171" s="77" t="s">
        <v>424</v>
      </c>
      <c r="B171" s="77" t="s">
        <v>425</v>
      </c>
      <c r="C171" s="71" t="s">
        <v>2200</v>
      </c>
      <c r="D171" s="686" t="s">
        <v>426</v>
      </c>
      <c r="E171" s="72" t="s">
        <v>171</v>
      </c>
      <c r="F171" s="72" t="s">
        <v>196</v>
      </c>
      <c r="G171" s="816" t="s">
        <v>390</v>
      </c>
      <c r="H171" s="817" t="s">
        <v>1913</v>
      </c>
      <c r="I171" s="802">
        <v>29759.16</v>
      </c>
      <c r="J171" s="837"/>
      <c r="K171" s="800">
        <f>K170-Table13[[#This Row],[مدين]]+Table13[[#This Row],[دائن]]</f>
        <v>1332551.1200000001</v>
      </c>
      <c r="L171" s="62"/>
    </row>
    <row r="172" spans="1:12" s="58" customFormat="1" ht="23.25" customHeight="1">
      <c r="A172" s="70" t="s">
        <v>424</v>
      </c>
      <c r="B172" s="70" t="s">
        <v>427</v>
      </c>
      <c r="C172" s="71" t="s">
        <v>2200</v>
      </c>
      <c r="D172" s="685" t="s">
        <v>426</v>
      </c>
      <c r="E172" s="72" t="s">
        <v>171</v>
      </c>
      <c r="F172" s="72" t="s">
        <v>196</v>
      </c>
      <c r="G172" s="72" t="s">
        <v>444</v>
      </c>
      <c r="H172" s="801" t="s">
        <v>1913</v>
      </c>
      <c r="I172" s="802">
        <v>4500</v>
      </c>
      <c r="J172" s="802"/>
      <c r="K172" s="800">
        <f>K171-Table13[[#This Row],[مدين]]+Table13[[#This Row],[دائن]]</f>
        <v>1328051.1200000001</v>
      </c>
      <c r="L172" s="62"/>
    </row>
    <row r="173" spans="1:12" s="58" customFormat="1" ht="23.25" customHeight="1">
      <c r="A173" s="70" t="s">
        <v>424</v>
      </c>
      <c r="B173" s="70" t="s">
        <v>428</v>
      </c>
      <c r="C173" s="641" t="s">
        <v>2086</v>
      </c>
      <c r="D173" s="685" t="s">
        <v>419</v>
      </c>
      <c r="E173" s="72" t="s">
        <v>171</v>
      </c>
      <c r="F173" s="72" t="s">
        <v>69</v>
      </c>
      <c r="G173" s="72" t="s">
        <v>113</v>
      </c>
      <c r="H173" s="801" t="s">
        <v>1913</v>
      </c>
      <c r="I173" s="674"/>
      <c r="J173" s="657">
        <v>972.72</v>
      </c>
      <c r="K173" s="800">
        <f>K172-Table13[[#This Row],[مدين]]+Table13[[#This Row],[دائن]]</f>
        <v>1329023.8400000001</v>
      </c>
      <c r="L173" s="62"/>
    </row>
    <row r="174" spans="1:12" s="58" customFormat="1" ht="23.25" customHeight="1">
      <c r="A174" s="70" t="s">
        <v>429</v>
      </c>
      <c r="B174" s="70" t="s">
        <v>430</v>
      </c>
      <c r="C174" s="71" t="s">
        <v>2102</v>
      </c>
      <c r="D174" s="685" t="s">
        <v>186</v>
      </c>
      <c r="E174" s="72" t="s">
        <v>1655</v>
      </c>
      <c r="F174" s="72" t="s">
        <v>186</v>
      </c>
      <c r="G174" s="72"/>
      <c r="H174" s="801" t="s">
        <v>1913</v>
      </c>
      <c r="I174" s="674"/>
      <c r="J174" s="657">
        <v>25</v>
      </c>
      <c r="K174" s="800">
        <f>K173-Table13[[#This Row],[مدين]]+Table13[[#This Row],[دائن]]</f>
        <v>1329048.8400000001</v>
      </c>
      <c r="L174" s="62"/>
    </row>
    <row r="175" spans="1:12" s="58" customFormat="1" ht="23.25" customHeight="1">
      <c r="A175" s="70" t="s">
        <v>431</v>
      </c>
      <c r="B175" s="70" t="s">
        <v>432</v>
      </c>
      <c r="C175" s="641" t="s">
        <v>2086</v>
      </c>
      <c r="D175" s="685" t="s">
        <v>433</v>
      </c>
      <c r="E175" s="72" t="s">
        <v>171</v>
      </c>
      <c r="F175" s="72" t="s">
        <v>69</v>
      </c>
      <c r="G175" s="72" t="s">
        <v>64</v>
      </c>
      <c r="H175" s="801" t="s">
        <v>1913</v>
      </c>
      <c r="I175" s="674"/>
      <c r="J175" s="657">
        <v>500</v>
      </c>
      <c r="K175" s="800">
        <f>K174-Table13[[#This Row],[مدين]]+Table13[[#This Row],[دائن]]</f>
        <v>1329548.8400000001</v>
      </c>
      <c r="L175" s="62"/>
    </row>
    <row r="176" spans="1:12" s="58" customFormat="1" ht="23.25" customHeight="1">
      <c r="A176" s="70" t="s">
        <v>431</v>
      </c>
      <c r="B176" s="70" t="s">
        <v>434</v>
      </c>
      <c r="C176" s="641" t="s">
        <v>2086</v>
      </c>
      <c r="D176" s="685" t="s">
        <v>435</v>
      </c>
      <c r="E176" s="72" t="s">
        <v>171</v>
      </c>
      <c r="F176" s="72" t="s">
        <v>69</v>
      </c>
      <c r="G176" s="72" t="s">
        <v>64</v>
      </c>
      <c r="H176" s="801" t="s">
        <v>1913</v>
      </c>
      <c r="I176" s="674"/>
      <c r="J176" s="657">
        <v>10000</v>
      </c>
      <c r="K176" s="800">
        <f>K175-Table13[[#This Row],[مدين]]+Table13[[#This Row],[دائن]]</f>
        <v>1339548.8400000001</v>
      </c>
      <c r="L176" s="62"/>
    </row>
    <row r="177" spans="1:12" s="58" customFormat="1" ht="23.25" customHeight="1">
      <c r="A177" s="70" t="s">
        <v>431</v>
      </c>
      <c r="B177" s="70" t="s">
        <v>436</v>
      </c>
      <c r="C177" s="641" t="s">
        <v>2086</v>
      </c>
      <c r="D177" s="685" t="s">
        <v>433</v>
      </c>
      <c r="E177" s="72" t="s">
        <v>171</v>
      </c>
      <c r="F177" s="72" t="s">
        <v>69</v>
      </c>
      <c r="G177" s="72" t="s">
        <v>64</v>
      </c>
      <c r="H177" s="801" t="s">
        <v>1913</v>
      </c>
      <c r="I177" s="674"/>
      <c r="J177" s="657">
        <v>50</v>
      </c>
      <c r="K177" s="800">
        <f>K176-Table13[[#This Row],[مدين]]+Table13[[#This Row],[دائن]]</f>
        <v>1339598.8400000001</v>
      </c>
      <c r="L177" s="62"/>
    </row>
    <row r="178" spans="1:12" s="58" customFormat="1" ht="23.25" customHeight="1">
      <c r="A178" s="70" t="s">
        <v>431</v>
      </c>
      <c r="B178" s="70" t="s">
        <v>437</v>
      </c>
      <c r="C178" s="641" t="s">
        <v>2086</v>
      </c>
      <c r="D178" s="685" t="s">
        <v>438</v>
      </c>
      <c r="E178" s="72" t="s">
        <v>171</v>
      </c>
      <c r="F178" s="72" t="s">
        <v>69</v>
      </c>
      <c r="G178" s="72" t="s">
        <v>64</v>
      </c>
      <c r="H178" s="801" t="s">
        <v>1913</v>
      </c>
      <c r="I178" s="674"/>
      <c r="J178" s="657">
        <v>2900</v>
      </c>
      <c r="K178" s="800">
        <f>K177-Table13[[#This Row],[مدين]]+Table13[[#This Row],[دائن]]</f>
        <v>1342498.84</v>
      </c>
      <c r="L178" s="62"/>
    </row>
    <row r="179" spans="1:12" s="58" customFormat="1" ht="23.25" customHeight="1">
      <c r="A179" s="70" t="s">
        <v>439</v>
      </c>
      <c r="B179" s="70" t="s">
        <v>440</v>
      </c>
      <c r="C179" s="71" t="s">
        <v>2086</v>
      </c>
      <c r="D179" s="685" t="s">
        <v>180</v>
      </c>
      <c r="E179" s="72" t="s">
        <v>171</v>
      </c>
      <c r="F179" s="72" t="s">
        <v>181</v>
      </c>
      <c r="G179" s="72" t="s">
        <v>1657</v>
      </c>
      <c r="H179" s="801" t="s">
        <v>1913</v>
      </c>
      <c r="I179" s="674"/>
      <c r="J179" s="657">
        <v>6273.51</v>
      </c>
      <c r="K179" s="800">
        <f>K178-Table13[[#This Row],[مدين]]+Table13[[#This Row],[دائن]]</f>
        <v>1348772.35</v>
      </c>
      <c r="L179" s="62"/>
    </row>
    <row r="180" spans="1:12" s="531" customFormat="1" ht="23.25" customHeight="1">
      <c r="A180" s="631" t="s">
        <v>441</v>
      </c>
      <c r="B180" s="631" t="s">
        <v>442</v>
      </c>
      <c r="C180" s="818" t="s">
        <v>1566</v>
      </c>
      <c r="D180" s="819" t="s">
        <v>443</v>
      </c>
      <c r="E180" s="72" t="s">
        <v>171</v>
      </c>
      <c r="F180" s="72" t="s">
        <v>196</v>
      </c>
      <c r="G180" s="820" t="s">
        <v>444</v>
      </c>
      <c r="H180" s="801" t="s">
        <v>1913</v>
      </c>
      <c r="I180" s="821"/>
      <c r="J180" s="670">
        <v>5039.59</v>
      </c>
      <c r="K180" s="804">
        <f>K179-Table13[[#This Row],[مدين]]+Table13[[#This Row],[دائن]]</f>
        <v>1353811.9400000002</v>
      </c>
      <c r="L180" s="532"/>
    </row>
    <row r="181" spans="1:12" s="531" customFormat="1" ht="23.25" customHeight="1">
      <c r="A181" s="631" t="s">
        <v>441</v>
      </c>
      <c r="B181" s="631" t="s">
        <v>442</v>
      </c>
      <c r="C181" s="818" t="s">
        <v>1566</v>
      </c>
      <c r="D181" s="819" t="s">
        <v>443</v>
      </c>
      <c r="E181" s="72" t="s">
        <v>171</v>
      </c>
      <c r="F181" s="72" t="s">
        <v>196</v>
      </c>
      <c r="G181" s="820" t="s">
        <v>444</v>
      </c>
      <c r="H181" s="801" t="s">
        <v>1913</v>
      </c>
      <c r="I181" s="821"/>
      <c r="J181" s="670">
        <v>7641.67</v>
      </c>
      <c r="K181" s="804">
        <f>K180-Table13[[#This Row],[مدين]]+Table13[[#This Row],[دائن]]</f>
        <v>1361453.61</v>
      </c>
      <c r="L181" s="532"/>
    </row>
    <row r="182" spans="1:12" s="531" customFormat="1" ht="23.25" customHeight="1">
      <c r="A182" s="631" t="s">
        <v>441</v>
      </c>
      <c r="B182" s="631" t="s">
        <v>442</v>
      </c>
      <c r="C182" s="818" t="s">
        <v>1566</v>
      </c>
      <c r="D182" s="819" t="s">
        <v>443</v>
      </c>
      <c r="E182" s="72" t="s">
        <v>171</v>
      </c>
      <c r="F182" s="72" t="s">
        <v>196</v>
      </c>
      <c r="G182" s="820" t="s">
        <v>444</v>
      </c>
      <c r="H182" s="801" t="s">
        <v>1913</v>
      </c>
      <c r="I182" s="821"/>
      <c r="J182" s="670">
        <v>3266.66</v>
      </c>
      <c r="K182" s="804">
        <f>K181-Table13[[#This Row],[مدين]]+Table13[[#This Row],[دائن]]</f>
        <v>1364720.27</v>
      </c>
      <c r="L182" s="532"/>
    </row>
    <row r="183" spans="1:12" s="531" customFormat="1" ht="23.25" customHeight="1">
      <c r="A183" s="631" t="s">
        <v>441</v>
      </c>
      <c r="B183" s="631" t="s">
        <v>442</v>
      </c>
      <c r="C183" s="818" t="s">
        <v>1566</v>
      </c>
      <c r="D183" s="819" t="s">
        <v>443</v>
      </c>
      <c r="E183" s="72" t="s">
        <v>171</v>
      </c>
      <c r="F183" s="72" t="s">
        <v>196</v>
      </c>
      <c r="G183" s="820" t="s">
        <v>444</v>
      </c>
      <c r="H183" s="801" t="s">
        <v>1913</v>
      </c>
      <c r="I183" s="821"/>
      <c r="J183" s="670">
        <v>5265.42</v>
      </c>
      <c r="K183" s="804">
        <f>K182-Table13[[#This Row],[مدين]]+Table13[[#This Row],[دائن]]</f>
        <v>1369985.69</v>
      </c>
      <c r="L183" s="532"/>
    </row>
    <row r="184" spans="1:12" s="531" customFormat="1" ht="23.25" customHeight="1">
      <c r="A184" s="631" t="s">
        <v>441</v>
      </c>
      <c r="B184" s="631" t="s">
        <v>442</v>
      </c>
      <c r="C184" s="818" t="s">
        <v>1566</v>
      </c>
      <c r="D184" s="819" t="s">
        <v>443</v>
      </c>
      <c r="E184" s="72" t="s">
        <v>171</v>
      </c>
      <c r="F184" s="72" t="s">
        <v>196</v>
      </c>
      <c r="G184" s="820" t="s">
        <v>444</v>
      </c>
      <c r="H184" s="801" t="s">
        <v>1913</v>
      </c>
      <c r="I184" s="821"/>
      <c r="J184" s="670">
        <v>8995.42</v>
      </c>
      <c r="K184" s="804">
        <f>K183-Table13[[#This Row],[مدين]]+Table13[[#This Row],[دائن]]</f>
        <v>1378981.1099999999</v>
      </c>
      <c r="L184" s="532"/>
    </row>
    <row r="185" spans="1:12" s="531" customFormat="1" ht="23.25" customHeight="1">
      <c r="A185" s="631" t="s">
        <v>441</v>
      </c>
      <c r="B185" s="631" t="s">
        <v>442</v>
      </c>
      <c r="C185" s="818" t="s">
        <v>1566</v>
      </c>
      <c r="D185" s="819" t="s">
        <v>443</v>
      </c>
      <c r="E185" s="72" t="s">
        <v>171</v>
      </c>
      <c r="F185" s="72" t="s">
        <v>196</v>
      </c>
      <c r="G185" s="820" t="s">
        <v>444</v>
      </c>
      <c r="H185" s="801" t="s">
        <v>1913</v>
      </c>
      <c r="I185" s="821"/>
      <c r="J185" s="670">
        <v>1333.33</v>
      </c>
      <c r="K185" s="804">
        <f>K184-Table13[[#This Row],[مدين]]+Table13[[#This Row],[دائن]]</f>
        <v>1380314.44</v>
      </c>
      <c r="L185" s="532"/>
    </row>
    <row r="186" spans="1:12" s="531" customFormat="1" ht="23.25" customHeight="1">
      <c r="A186" s="631" t="s">
        <v>441</v>
      </c>
      <c r="B186" s="631" t="s">
        <v>442</v>
      </c>
      <c r="C186" s="818" t="s">
        <v>1566</v>
      </c>
      <c r="D186" s="819" t="s">
        <v>443</v>
      </c>
      <c r="E186" s="72" t="s">
        <v>171</v>
      </c>
      <c r="F186" s="72" t="s">
        <v>196</v>
      </c>
      <c r="G186" s="820" t="s">
        <v>444</v>
      </c>
      <c r="H186" s="801" t="s">
        <v>1913</v>
      </c>
      <c r="I186" s="821"/>
      <c r="J186" s="670">
        <v>15437.51</v>
      </c>
      <c r="K186" s="804">
        <f>K185-Table13[[#This Row],[مدين]]+Table13[[#This Row],[دائن]]</f>
        <v>1395751.95</v>
      </c>
      <c r="L186" s="532"/>
    </row>
    <row r="187" spans="1:12" s="531" customFormat="1" ht="23.25" customHeight="1">
      <c r="A187" s="631" t="s">
        <v>441</v>
      </c>
      <c r="B187" s="631" t="s">
        <v>442</v>
      </c>
      <c r="C187" s="818" t="s">
        <v>1566</v>
      </c>
      <c r="D187" s="819" t="s">
        <v>443</v>
      </c>
      <c r="E187" s="72" t="s">
        <v>171</v>
      </c>
      <c r="F187" s="72" t="s">
        <v>196</v>
      </c>
      <c r="G187" s="820" t="s">
        <v>444</v>
      </c>
      <c r="H187" s="801" t="s">
        <v>1913</v>
      </c>
      <c r="I187" s="821"/>
      <c r="J187" s="670">
        <v>12595.87</v>
      </c>
      <c r="K187" s="804">
        <f>K186-Table13[[#This Row],[مدين]]+Table13[[#This Row],[دائن]]</f>
        <v>1408347.82</v>
      </c>
      <c r="L187" s="532"/>
    </row>
    <row r="188" spans="1:12" s="531" customFormat="1" ht="23.25" customHeight="1">
      <c r="A188" s="631" t="s">
        <v>441</v>
      </c>
      <c r="B188" s="631" t="s">
        <v>442</v>
      </c>
      <c r="C188" s="818" t="s">
        <v>1566</v>
      </c>
      <c r="D188" s="819" t="s">
        <v>443</v>
      </c>
      <c r="E188" s="72" t="s">
        <v>171</v>
      </c>
      <c r="F188" s="72" t="s">
        <v>196</v>
      </c>
      <c r="G188" s="820" t="s">
        <v>444</v>
      </c>
      <c r="H188" s="801" t="s">
        <v>1913</v>
      </c>
      <c r="I188" s="821"/>
      <c r="J188" s="670">
        <v>108136.48</v>
      </c>
      <c r="K188" s="804">
        <f>K187-Table13[[#This Row],[مدين]]+Table13[[#This Row],[دائن]]</f>
        <v>1516484.3</v>
      </c>
      <c r="L188" s="532"/>
    </row>
    <row r="189" spans="1:12" s="58" customFormat="1" ht="23.25" customHeight="1">
      <c r="A189" s="70" t="s">
        <v>441</v>
      </c>
      <c r="B189" s="70" t="s">
        <v>445</v>
      </c>
      <c r="C189" s="71" t="s">
        <v>2086</v>
      </c>
      <c r="D189" s="685" t="s">
        <v>227</v>
      </c>
      <c r="E189" s="72" t="s">
        <v>171</v>
      </c>
      <c r="F189" s="72" t="s">
        <v>181</v>
      </c>
      <c r="G189" s="72" t="s">
        <v>1657</v>
      </c>
      <c r="H189" s="801" t="s">
        <v>1913</v>
      </c>
      <c r="I189" s="674"/>
      <c r="J189" s="657">
        <v>6899</v>
      </c>
      <c r="K189" s="800">
        <f>K188-Table13[[#This Row],[مدين]]+Table13[[#This Row],[دائن]]</f>
        <v>1523383.3</v>
      </c>
      <c r="L189" s="62"/>
    </row>
    <row r="190" spans="1:12" s="58" customFormat="1" ht="23.25" customHeight="1">
      <c r="A190" s="70" t="s">
        <v>441</v>
      </c>
      <c r="B190" s="70" t="s">
        <v>446</v>
      </c>
      <c r="C190" s="71" t="s">
        <v>2086</v>
      </c>
      <c r="D190" s="685" t="s">
        <v>229</v>
      </c>
      <c r="E190" s="72" t="s">
        <v>171</v>
      </c>
      <c r="F190" s="72" t="s">
        <v>181</v>
      </c>
      <c r="G190" s="72" t="s">
        <v>1676</v>
      </c>
      <c r="H190" s="801" t="s">
        <v>1913</v>
      </c>
      <c r="I190" s="674"/>
      <c r="J190" s="657">
        <v>32218</v>
      </c>
      <c r="K190" s="800">
        <f>K189-Table13[[#This Row],[مدين]]+Table13[[#This Row],[دائن]]</f>
        <v>1555601.3</v>
      </c>
      <c r="L190" s="62"/>
    </row>
    <row r="191" spans="1:12" s="58" customFormat="1" ht="23.25" customHeight="1">
      <c r="A191" s="70" t="s">
        <v>441</v>
      </c>
      <c r="B191" s="70" t="s">
        <v>447</v>
      </c>
      <c r="C191" s="71" t="s">
        <v>2086</v>
      </c>
      <c r="D191" s="685" t="s">
        <v>231</v>
      </c>
      <c r="E191" s="72" t="s">
        <v>171</v>
      </c>
      <c r="F191" s="72" t="s">
        <v>181</v>
      </c>
      <c r="G191" s="72" t="s">
        <v>1658</v>
      </c>
      <c r="H191" s="801" t="s">
        <v>1913</v>
      </c>
      <c r="I191" s="674"/>
      <c r="J191" s="657">
        <v>7422</v>
      </c>
      <c r="K191" s="800">
        <f>K190-Table13[[#This Row],[مدين]]+Table13[[#This Row],[دائن]]</f>
        <v>1563023.3</v>
      </c>
      <c r="L191" s="62"/>
    </row>
    <row r="192" spans="1:12" s="58" customFormat="1" ht="23.25" customHeight="1">
      <c r="A192" s="70" t="s">
        <v>441</v>
      </c>
      <c r="B192" s="70" t="s">
        <v>448</v>
      </c>
      <c r="C192" s="71" t="s">
        <v>2102</v>
      </c>
      <c r="D192" s="685" t="s">
        <v>233</v>
      </c>
      <c r="E192" s="72" t="s">
        <v>171</v>
      </c>
      <c r="F192" s="72" t="s">
        <v>1677</v>
      </c>
      <c r="G192" s="72"/>
      <c r="H192" s="801" t="s">
        <v>1913</v>
      </c>
      <c r="I192" s="674"/>
      <c r="J192" s="657">
        <v>45</v>
      </c>
      <c r="K192" s="800">
        <f>K191-Table13[[#This Row],[مدين]]+Table13[[#This Row],[دائن]]</f>
        <v>1563068.3</v>
      </c>
      <c r="L192" s="62"/>
    </row>
    <row r="193" spans="1:12" s="58" customFormat="1" ht="23.25" customHeight="1">
      <c r="A193" s="70" t="s">
        <v>441</v>
      </c>
      <c r="B193" s="70" t="s">
        <v>449</v>
      </c>
      <c r="C193" s="71" t="s">
        <v>2199</v>
      </c>
      <c r="D193" s="685" t="s">
        <v>450</v>
      </c>
      <c r="E193" s="72" t="s">
        <v>1694</v>
      </c>
      <c r="F193" s="72" t="s">
        <v>1698</v>
      </c>
      <c r="G193" s="72"/>
      <c r="H193" s="801" t="s">
        <v>1913</v>
      </c>
      <c r="I193" s="802">
        <v>60000</v>
      </c>
      <c r="J193" s="802"/>
      <c r="K193" s="800">
        <f>K192-Table13[[#This Row],[مدين]]+Table13[[#This Row],[دائن]]</f>
        <v>1503068.3</v>
      </c>
      <c r="L193" s="62"/>
    </row>
    <row r="194" spans="1:12" s="58" customFormat="1" ht="23.25" customHeight="1">
      <c r="A194" s="70" t="s">
        <v>441</v>
      </c>
      <c r="B194" s="70" t="s">
        <v>451</v>
      </c>
      <c r="C194" s="641" t="s">
        <v>1728</v>
      </c>
      <c r="D194" s="685" t="s">
        <v>452</v>
      </c>
      <c r="E194" s="72" t="s">
        <v>1667</v>
      </c>
      <c r="F194" s="72" t="s">
        <v>168</v>
      </c>
      <c r="G194" s="72" t="s">
        <v>1678</v>
      </c>
      <c r="H194" s="801" t="s">
        <v>1913</v>
      </c>
      <c r="I194" s="802">
        <v>96650</v>
      </c>
      <c r="J194" s="802"/>
      <c r="K194" s="804">
        <f>K193-Table13[[#This Row],[مدين]]+Table13[[#This Row],[دائن]]</f>
        <v>1406418.3</v>
      </c>
      <c r="L194" s="62"/>
    </row>
    <row r="195" spans="1:12" s="58" customFormat="1" ht="23.25" customHeight="1">
      <c r="A195" s="70" t="s">
        <v>441</v>
      </c>
      <c r="B195" s="70" t="s">
        <v>453</v>
      </c>
      <c r="C195" s="641" t="s">
        <v>1728</v>
      </c>
      <c r="D195" s="685" t="s">
        <v>454</v>
      </c>
      <c r="E195" s="72" t="s">
        <v>1667</v>
      </c>
      <c r="F195" s="72" t="s">
        <v>168</v>
      </c>
      <c r="G195" s="72" t="s">
        <v>1679</v>
      </c>
      <c r="H195" s="801" t="s">
        <v>1913</v>
      </c>
      <c r="I195" s="674"/>
      <c r="J195" s="709">
        <v>19915</v>
      </c>
      <c r="K195" s="804">
        <f>K194-Table13[[#This Row],[مدين]]+Table13[[#This Row],[دائن]]</f>
        <v>1426333.3</v>
      </c>
      <c r="L195" s="62"/>
    </row>
    <row r="196" spans="1:12" s="58" customFormat="1" ht="23.25" customHeight="1">
      <c r="A196" s="70" t="s">
        <v>455</v>
      </c>
      <c r="B196" s="70" t="s">
        <v>456</v>
      </c>
      <c r="C196" s="71" t="s">
        <v>2105</v>
      </c>
      <c r="D196" s="685" t="s">
        <v>457</v>
      </c>
      <c r="E196" s="72" t="s">
        <v>171</v>
      </c>
      <c r="F196" s="72" t="s">
        <v>181</v>
      </c>
      <c r="G196" s="72" t="s">
        <v>1685</v>
      </c>
      <c r="H196" s="801" t="s">
        <v>1913</v>
      </c>
      <c r="I196" s="674"/>
      <c r="J196" s="657">
        <v>10000</v>
      </c>
      <c r="K196" s="800">
        <f>K195-Table13[[#This Row],[مدين]]+Table13[[#This Row],[دائن]]</f>
        <v>1436333.3</v>
      </c>
      <c r="L196" s="62"/>
    </row>
    <row r="197" spans="1:12" s="58" customFormat="1" ht="23.25" customHeight="1">
      <c r="A197" s="70" t="s">
        <v>459</v>
      </c>
      <c r="B197" s="70" t="s">
        <v>460</v>
      </c>
      <c r="C197" s="71" t="s">
        <v>2105</v>
      </c>
      <c r="D197" s="685" t="s">
        <v>461</v>
      </c>
      <c r="E197" s="72" t="s">
        <v>1655</v>
      </c>
      <c r="F197" s="72" t="s">
        <v>2078</v>
      </c>
      <c r="G197" s="72" t="s">
        <v>64</v>
      </c>
      <c r="H197" s="801" t="s">
        <v>1913</v>
      </c>
      <c r="I197" s="674"/>
      <c r="J197" s="657">
        <v>304</v>
      </c>
      <c r="K197" s="800">
        <f>K196-Table13[[#This Row],[مدين]]+Table13[[#This Row],[دائن]]</f>
        <v>1436637.3</v>
      </c>
      <c r="L197" s="62"/>
    </row>
    <row r="198" spans="1:12" s="58" customFormat="1" ht="23.25" customHeight="1">
      <c r="A198" s="70" t="s">
        <v>459</v>
      </c>
      <c r="B198" s="70" t="s">
        <v>462</v>
      </c>
      <c r="C198" s="71" t="s">
        <v>2086</v>
      </c>
      <c r="D198" s="685" t="s">
        <v>463</v>
      </c>
      <c r="E198" s="72" t="s">
        <v>171</v>
      </c>
      <c r="F198" s="72" t="s">
        <v>181</v>
      </c>
      <c r="G198" s="72" t="s">
        <v>1676</v>
      </c>
      <c r="H198" s="801" t="s">
        <v>1913</v>
      </c>
      <c r="I198" s="674"/>
      <c r="J198" s="657">
        <v>2000</v>
      </c>
      <c r="K198" s="800">
        <f>K197-Table13[[#This Row],[مدين]]+Table13[[#This Row],[دائن]]</f>
        <v>1438637.3</v>
      </c>
      <c r="L198" s="62"/>
    </row>
    <row r="199" spans="1:12" s="58" customFormat="1" ht="23.25" customHeight="1">
      <c r="A199" s="70" t="s">
        <v>464</v>
      </c>
      <c r="B199" s="70" t="s">
        <v>465</v>
      </c>
      <c r="C199" s="71" t="s">
        <v>2105</v>
      </c>
      <c r="D199" s="685" t="s">
        <v>2154</v>
      </c>
      <c r="E199" s="72" t="s">
        <v>171</v>
      </c>
      <c r="F199" s="72" t="s">
        <v>196</v>
      </c>
      <c r="G199" s="72" t="s">
        <v>64</v>
      </c>
      <c r="H199" s="801" t="s">
        <v>1913</v>
      </c>
      <c r="I199" s="674"/>
      <c r="J199" s="657">
        <v>960</v>
      </c>
      <c r="K199" s="800">
        <f>K198-Table13[[#This Row],[مدين]]+Table13[[#This Row],[دائن]]</f>
        <v>1439597.3</v>
      </c>
      <c r="L199" s="62"/>
    </row>
    <row r="200" spans="1:12" s="58" customFormat="1" ht="23.25" customHeight="1">
      <c r="A200" s="70" t="s">
        <v>466</v>
      </c>
      <c r="B200" s="70" t="s">
        <v>467</v>
      </c>
      <c r="C200" s="71" t="s">
        <v>2105</v>
      </c>
      <c r="D200" s="685" t="s">
        <v>2155</v>
      </c>
      <c r="E200" s="72" t="s">
        <v>171</v>
      </c>
      <c r="F200" s="72" t="s">
        <v>196</v>
      </c>
      <c r="G200" s="72" t="s">
        <v>63</v>
      </c>
      <c r="H200" s="801" t="s">
        <v>1913</v>
      </c>
      <c r="I200" s="674"/>
      <c r="J200" s="657">
        <v>2323.33</v>
      </c>
      <c r="K200" s="800">
        <f>K199-Table13[[#This Row],[مدين]]+Table13[[#This Row],[دائن]]</f>
        <v>1441920.6300000001</v>
      </c>
      <c r="L200" s="62"/>
    </row>
    <row r="201" spans="1:12" s="58" customFormat="1" ht="23.25" customHeight="1">
      <c r="A201" s="70" t="s">
        <v>466</v>
      </c>
      <c r="B201" s="70" t="s">
        <v>468</v>
      </c>
      <c r="C201" s="71" t="s">
        <v>2105</v>
      </c>
      <c r="D201" s="685" t="s">
        <v>469</v>
      </c>
      <c r="E201" s="72" t="s">
        <v>171</v>
      </c>
      <c r="F201" s="72" t="s">
        <v>1675</v>
      </c>
      <c r="G201" s="72" t="s">
        <v>996</v>
      </c>
      <c r="H201" s="801" t="s">
        <v>1913</v>
      </c>
      <c r="I201" s="674"/>
      <c r="J201" s="657">
        <v>2763</v>
      </c>
      <c r="K201" s="800">
        <f>K200-Table13[[#This Row],[مدين]]+Table13[[#This Row],[دائن]]</f>
        <v>1444683.6300000001</v>
      </c>
      <c r="L201" s="62"/>
    </row>
    <row r="202" spans="1:12" s="58" customFormat="1" ht="23.25" customHeight="1">
      <c r="A202" s="70" t="s">
        <v>470</v>
      </c>
      <c r="B202" s="70" t="s">
        <v>471</v>
      </c>
      <c r="C202" s="71" t="s">
        <v>2200</v>
      </c>
      <c r="D202" s="685" t="s">
        <v>472</v>
      </c>
      <c r="E202" s="72" t="s">
        <v>171</v>
      </c>
      <c r="F202" s="72" t="s">
        <v>196</v>
      </c>
      <c r="G202" s="72" t="s">
        <v>481</v>
      </c>
      <c r="H202" s="801" t="s">
        <v>1913</v>
      </c>
      <c r="I202" s="802">
        <v>39069.980000000003</v>
      </c>
      <c r="J202" s="802"/>
      <c r="K202" s="800">
        <f>K201-Table13[[#This Row],[مدين]]+Table13[[#This Row],[دائن]]</f>
        <v>1405613.6500000001</v>
      </c>
      <c r="L202" s="62"/>
    </row>
    <row r="203" spans="1:12" s="58" customFormat="1" ht="23.25" customHeight="1">
      <c r="A203" s="70" t="s">
        <v>470</v>
      </c>
      <c r="B203" s="70" t="s">
        <v>473</v>
      </c>
      <c r="C203" s="71" t="s">
        <v>2086</v>
      </c>
      <c r="D203" s="685" t="s">
        <v>474</v>
      </c>
      <c r="E203" s="72" t="s">
        <v>1655</v>
      </c>
      <c r="F203" s="72" t="s">
        <v>205</v>
      </c>
      <c r="G203" s="72" t="s">
        <v>990</v>
      </c>
      <c r="H203" s="801" t="s">
        <v>1913</v>
      </c>
      <c r="I203" s="674"/>
      <c r="J203" s="657">
        <v>280</v>
      </c>
      <c r="K203" s="800">
        <f>K202-Table13[[#This Row],[مدين]]+Table13[[#This Row],[دائن]]</f>
        <v>1405893.6500000001</v>
      </c>
      <c r="L203" s="62"/>
    </row>
    <row r="204" spans="1:12" s="58" customFormat="1" ht="23.25" customHeight="1">
      <c r="A204" s="70" t="s">
        <v>475</v>
      </c>
      <c r="B204" s="70" t="s">
        <v>476</v>
      </c>
      <c r="C204" s="71" t="s">
        <v>2086</v>
      </c>
      <c r="D204" s="685" t="s">
        <v>205</v>
      </c>
      <c r="E204" s="72" t="s">
        <v>1655</v>
      </c>
      <c r="F204" s="72" t="s">
        <v>205</v>
      </c>
      <c r="G204" s="72"/>
      <c r="H204" s="801" t="s">
        <v>1913</v>
      </c>
      <c r="I204" s="674"/>
      <c r="J204" s="657">
        <v>376</v>
      </c>
      <c r="K204" s="800">
        <f>K203-Table13[[#This Row],[مدين]]+Table13[[#This Row],[دائن]]</f>
        <v>1406269.6500000001</v>
      </c>
      <c r="L204" s="62"/>
    </row>
    <row r="205" spans="1:12" s="58" customFormat="1" ht="23.25" customHeight="1">
      <c r="A205" s="632" t="s">
        <v>477</v>
      </c>
      <c r="B205" s="632" t="s">
        <v>478</v>
      </c>
      <c r="C205" s="822" t="s">
        <v>479</v>
      </c>
      <c r="D205" s="823" t="s">
        <v>480</v>
      </c>
      <c r="E205" s="72" t="s">
        <v>171</v>
      </c>
      <c r="F205" s="72" t="s">
        <v>196</v>
      </c>
      <c r="G205" s="824" t="s">
        <v>481</v>
      </c>
      <c r="H205" s="801" t="s">
        <v>1913</v>
      </c>
      <c r="I205" s="825"/>
      <c r="J205" s="671">
        <v>1500</v>
      </c>
      <c r="K205" s="804">
        <f>K204-Table13[[#This Row],[مدين]]+Table13[[#This Row],[دائن]]</f>
        <v>1407769.6500000001</v>
      </c>
      <c r="L205" s="62"/>
    </row>
    <row r="206" spans="1:12" s="58" customFormat="1" ht="23.25" customHeight="1">
      <c r="A206" s="632" t="s">
        <v>477</v>
      </c>
      <c r="B206" s="632" t="s">
        <v>482</v>
      </c>
      <c r="C206" s="822" t="s">
        <v>479</v>
      </c>
      <c r="D206" s="823" t="s">
        <v>483</v>
      </c>
      <c r="E206" s="72" t="s">
        <v>171</v>
      </c>
      <c r="F206" s="72" t="s">
        <v>196</v>
      </c>
      <c r="G206" s="824" t="s">
        <v>481</v>
      </c>
      <c r="H206" s="801" t="s">
        <v>1913</v>
      </c>
      <c r="I206" s="825"/>
      <c r="J206" s="671">
        <v>6833.76</v>
      </c>
      <c r="K206" s="804">
        <f>K205-Table13[[#This Row],[مدين]]+Table13[[#This Row],[دائن]]</f>
        <v>1414603.4100000001</v>
      </c>
      <c r="L206" s="62"/>
    </row>
    <row r="207" spans="1:12" s="58" customFormat="1" ht="23.25" customHeight="1">
      <c r="A207" s="632" t="s">
        <v>477</v>
      </c>
      <c r="B207" s="632" t="s">
        <v>482</v>
      </c>
      <c r="C207" s="822" t="s">
        <v>479</v>
      </c>
      <c r="D207" s="823" t="s">
        <v>483</v>
      </c>
      <c r="E207" s="72" t="s">
        <v>171</v>
      </c>
      <c r="F207" s="72" t="s">
        <v>196</v>
      </c>
      <c r="G207" s="824" t="s">
        <v>481</v>
      </c>
      <c r="H207" s="801" t="s">
        <v>1913</v>
      </c>
      <c r="I207" s="825"/>
      <c r="J207" s="671">
        <v>3951.67</v>
      </c>
      <c r="K207" s="804">
        <f>K206-Table13[[#This Row],[مدين]]+Table13[[#This Row],[دائن]]</f>
        <v>1418555.08</v>
      </c>
      <c r="L207" s="62"/>
    </row>
    <row r="208" spans="1:12" s="58" customFormat="1" ht="23.25" customHeight="1">
      <c r="A208" s="632" t="s">
        <v>477</v>
      </c>
      <c r="B208" s="632" t="s">
        <v>482</v>
      </c>
      <c r="C208" s="822" t="s">
        <v>479</v>
      </c>
      <c r="D208" s="823" t="s">
        <v>483</v>
      </c>
      <c r="E208" s="72" t="s">
        <v>171</v>
      </c>
      <c r="F208" s="72" t="s">
        <v>196</v>
      </c>
      <c r="G208" s="824" t="s">
        <v>481</v>
      </c>
      <c r="H208" s="801" t="s">
        <v>1913</v>
      </c>
      <c r="I208" s="825"/>
      <c r="J208" s="671">
        <v>3266.66</v>
      </c>
      <c r="K208" s="804">
        <f>K207-Table13[[#This Row],[مدين]]+Table13[[#This Row],[دائن]]</f>
        <v>1421821.74</v>
      </c>
      <c r="L208" s="62"/>
    </row>
    <row r="209" spans="1:14" s="58" customFormat="1" ht="23.25" customHeight="1">
      <c r="A209" s="632" t="s">
        <v>477</v>
      </c>
      <c r="B209" s="632" t="s">
        <v>482</v>
      </c>
      <c r="C209" s="822" t="s">
        <v>479</v>
      </c>
      <c r="D209" s="823" t="s">
        <v>483</v>
      </c>
      <c r="E209" s="72" t="s">
        <v>171</v>
      </c>
      <c r="F209" s="72" t="s">
        <v>196</v>
      </c>
      <c r="G209" s="824" t="s">
        <v>481</v>
      </c>
      <c r="H209" s="801" t="s">
        <v>1913</v>
      </c>
      <c r="I209" s="825"/>
      <c r="J209" s="671">
        <v>5296.67</v>
      </c>
      <c r="K209" s="804">
        <f>K208-Table13[[#This Row],[مدين]]+Table13[[#This Row],[دائن]]</f>
        <v>1427118.41</v>
      </c>
      <c r="L209" s="62"/>
    </row>
    <row r="210" spans="1:14" s="58" customFormat="1" ht="23.25" customHeight="1">
      <c r="A210" s="632" t="s">
        <v>477</v>
      </c>
      <c r="B210" s="632" t="s">
        <v>482</v>
      </c>
      <c r="C210" s="822" t="s">
        <v>479</v>
      </c>
      <c r="D210" s="823" t="s">
        <v>483</v>
      </c>
      <c r="E210" s="72" t="s">
        <v>171</v>
      </c>
      <c r="F210" s="72" t="s">
        <v>196</v>
      </c>
      <c r="G210" s="824" t="s">
        <v>481</v>
      </c>
      <c r="H210" s="801" t="s">
        <v>1913</v>
      </c>
      <c r="I210" s="825"/>
      <c r="J210" s="671">
        <v>9010.42</v>
      </c>
      <c r="K210" s="804">
        <f>K209-Table13[[#This Row],[مدين]]+Table13[[#This Row],[دائن]]</f>
        <v>1436128.8299999998</v>
      </c>
      <c r="L210" s="62"/>
    </row>
    <row r="211" spans="1:14" s="58" customFormat="1" ht="23.25" customHeight="1">
      <c r="A211" s="632" t="s">
        <v>477</v>
      </c>
      <c r="B211" s="632" t="s">
        <v>482</v>
      </c>
      <c r="C211" s="822" t="s">
        <v>479</v>
      </c>
      <c r="D211" s="823" t="s">
        <v>483</v>
      </c>
      <c r="E211" s="72" t="s">
        <v>171</v>
      </c>
      <c r="F211" s="72" t="s">
        <v>196</v>
      </c>
      <c r="G211" s="824" t="s">
        <v>481</v>
      </c>
      <c r="H211" s="801" t="s">
        <v>1913</v>
      </c>
      <c r="I211" s="825"/>
      <c r="J211" s="671">
        <v>1333.33</v>
      </c>
      <c r="K211" s="804">
        <f>K210-Table13[[#This Row],[مدين]]+Table13[[#This Row],[دائن]]</f>
        <v>1437462.16</v>
      </c>
      <c r="L211" s="62"/>
    </row>
    <row r="212" spans="1:14" s="58" customFormat="1" ht="23.25" customHeight="1" thickBot="1">
      <c r="A212" s="632" t="s">
        <v>477</v>
      </c>
      <c r="B212" s="632" t="s">
        <v>482</v>
      </c>
      <c r="C212" s="822" t="s">
        <v>479</v>
      </c>
      <c r="D212" s="823" t="s">
        <v>483</v>
      </c>
      <c r="E212" s="72" t="s">
        <v>171</v>
      </c>
      <c r="F212" s="72" t="s">
        <v>196</v>
      </c>
      <c r="G212" s="824" t="s">
        <v>481</v>
      </c>
      <c r="H212" s="801" t="s">
        <v>1913</v>
      </c>
      <c r="I212" s="825"/>
      <c r="J212" s="671">
        <v>14254.17</v>
      </c>
      <c r="K212" s="804">
        <f>K211-Table13[[#This Row],[مدين]]+Table13[[#This Row],[دائن]]</f>
        <v>1451716.3299999998</v>
      </c>
      <c r="L212" s="62"/>
    </row>
    <row r="213" spans="1:14" s="58" customFormat="1" ht="23.25" customHeight="1">
      <c r="A213" s="633" t="s">
        <v>477</v>
      </c>
      <c r="B213" s="633" t="s">
        <v>482</v>
      </c>
      <c r="C213" s="822" t="s">
        <v>479</v>
      </c>
      <c r="D213" s="823" t="s">
        <v>483</v>
      </c>
      <c r="E213" s="72" t="s">
        <v>171</v>
      </c>
      <c r="F213" s="72" t="s">
        <v>196</v>
      </c>
      <c r="G213" s="824" t="s">
        <v>481</v>
      </c>
      <c r="H213" s="801" t="s">
        <v>1913</v>
      </c>
      <c r="I213" s="826"/>
      <c r="J213" s="672">
        <v>12062.54</v>
      </c>
      <c r="K213" s="804">
        <f>K212-Table13[[#This Row],[مدين]]+Table13[[#This Row],[دائن]]</f>
        <v>1463778.8699999999</v>
      </c>
      <c r="L213" s="62"/>
    </row>
    <row r="214" spans="1:14" s="58" customFormat="1" ht="23.25" customHeight="1">
      <c r="A214" s="632" t="s">
        <v>477</v>
      </c>
      <c r="B214" s="632" t="s">
        <v>482</v>
      </c>
      <c r="C214" s="822" t="s">
        <v>479</v>
      </c>
      <c r="D214" s="823" t="s">
        <v>483</v>
      </c>
      <c r="E214" s="72" t="s">
        <v>171</v>
      </c>
      <c r="F214" s="72" t="s">
        <v>196</v>
      </c>
      <c r="G214" s="824" t="s">
        <v>481</v>
      </c>
      <c r="H214" s="801" t="s">
        <v>1913</v>
      </c>
      <c r="I214" s="825"/>
      <c r="J214" s="671">
        <v>92145.85</v>
      </c>
      <c r="K214" s="804">
        <f>K213-Table13[[#This Row],[مدين]]+Table13[[#This Row],[دائن]]</f>
        <v>1555924.72</v>
      </c>
      <c r="L214" s="62"/>
    </row>
    <row r="215" spans="1:14" s="58" customFormat="1" ht="23.25" customHeight="1">
      <c r="A215" s="70" t="s">
        <v>477</v>
      </c>
      <c r="B215" s="70" t="s">
        <v>484</v>
      </c>
      <c r="C215" s="71" t="s">
        <v>2102</v>
      </c>
      <c r="D215" s="685" t="s">
        <v>485</v>
      </c>
      <c r="E215" s="72" t="s">
        <v>171</v>
      </c>
      <c r="F215" s="72" t="s">
        <v>1683</v>
      </c>
      <c r="G215" s="72" t="s">
        <v>1684</v>
      </c>
      <c r="H215" s="801" t="s">
        <v>1913</v>
      </c>
      <c r="I215" s="674"/>
      <c r="J215" s="657">
        <v>1709</v>
      </c>
      <c r="K215" s="800">
        <f>K214-Table13[[#This Row],[مدين]]+Table13[[#This Row],[دائن]]</f>
        <v>1557633.72</v>
      </c>
      <c r="L215" s="62"/>
    </row>
    <row r="216" spans="1:14" s="58" customFormat="1" ht="23.25" customHeight="1">
      <c r="A216" s="70" t="s">
        <v>477</v>
      </c>
      <c r="B216" s="70" t="s">
        <v>486</v>
      </c>
      <c r="C216" s="71" t="s">
        <v>2086</v>
      </c>
      <c r="D216" s="685" t="s">
        <v>227</v>
      </c>
      <c r="E216" s="72" t="s">
        <v>171</v>
      </c>
      <c r="F216" s="72" t="s">
        <v>181</v>
      </c>
      <c r="G216" s="72" t="s">
        <v>1657</v>
      </c>
      <c r="H216" s="801" t="s">
        <v>1913</v>
      </c>
      <c r="I216" s="674"/>
      <c r="J216" s="657">
        <v>6899</v>
      </c>
      <c r="K216" s="800">
        <f>K215-Table13[[#This Row],[مدين]]+Table13[[#This Row],[دائن]]</f>
        <v>1564532.72</v>
      </c>
      <c r="L216" s="62"/>
    </row>
    <row r="217" spans="1:14" s="58" customFormat="1" ht="23.25" customHeight="1">
      <c r="A217" s="70" t="s">
        <v>477</v>
      </c>
      <c r="B217" s="70" t="s">
        <v>487</v>
      </c>
      <c r="C217" s="71" t="s">
        <v>2086</v>
      </c>
      <c r="D217" s="685" t="s">
        <v>229</v>
      </c>
      <c r="E217" s="72" t="s">
        <v>171</v>
      </c>
      <c r="F217" s="72" t="s">
        <v>181</v>
      </c>
      <c r="G217" s="72" t="s">
        <v>1676</v>
      </c>
      <c r="H217" s="801" t="s">
        <v>1913</v>
      </c>
      <c r="I217" s="674"/>
      <c r="J217" s="657">
        <v>32218</v>
      </c>
      <c r="K217" s="800">
        <f>K216-Table13[[#This Row],[مدين]]+Table13[[#This Row],[دائن]]</f>
        <v>1596750.72</v>
      </c>
      <c r="L217" s="62"/>
    </row>
    <row r="218" spans="1:14" s="58" customFormat="1" ht="23.25" customHeight="1">
      <c r="A218" s="70" t="s">
        <v>477</v>
      </c>
      <c r="B218" s="70" t="s">
        <v>488</v>
      </c>
      <c r="C218" s="71" t="s">
        <v>2086</v>
      </c>
      <c r="D218" s="685" t="s">
        <v>231</v>
      </c>
      <c r="E218" s="72" t="s">
        <v>171</v>
      </c>
      <c r="F218" s="72" t="s">
        <v>181</v>
      </c>
      <c r="G218" s="72" t="s">
        <v>1658</v>
      </c>
      <c r="H218" s="801" t="s">
        <v>1913</v>
      </c>
      <c r="I218" s="674"/>
      <c r="J218" s="657">
        <v>7422</v>
      </c>
      <c r="K218" s="800">
        <f>K217-Table13[[#This Row],[مدين]]+Table13[[#This Row],[دائن]]</f>
        <v>1604172.72</v>
      </c>
      <c r="L218" s="62"/>
    </row>
    <row r="219" spans="1:14" s="58" customFormat="1" ht="23.25" customHeight="1">
      <c r="A219" s="70" t="s">
        <v>477</v>
      </c>
      <c r="B219" s="70" t="s">
        <v>489</v>
      </c>
      <c r="C219" s="71" t="s">
        <v>2102</v>
      </c>
      <c r="D219" s="685" t="s">
        <v>490</v>
      </c>
      <c r="E219" s="72" t="s">
        <v>171</v>
      </c>
      <c r="F219" s="72" t="s">
        <v>1691</v>
      </c>
      <c r="G219" s="72"/>
      <c r="H219" s="801" t="s">
        <v>1913</v>
      </c>
      <c r="I219" s="674"/>
      <c r="J219" s="657">
        <v>134482</v>
      </c>
      <c r="K219" s="800">
        <f>K218-Table13[[#This Row],[مدين]]+Table13[[#This Row],[دائن]]</f>
        <v>1738654.72</v>
      </c>
      <c r="L219" s="62"/>
      <c r="N219" s="58">
        <v>7614751</v>
      </c>
    </row>
    <row r="220" spans="1:14" s="58" customFormat="1" ht="23.25" customHeight="1">
      <c r="A220" s="70" t="s">
        <v>477</v>
      </c>
      <c r="B220" s="70" t="s">
        <v>491</v>
      </c>
      <c r="C220" s="71" t="s">
        <v>2102</v>
      </c>
      <c r="D220" s="685" t="s">
        <v>233</v>
      </c>
      <c r="E220" s="72" t="s">
        <v>171</v>
      </c>
      <c r="F220" s="72" t="s">
        <v>1677</v>
      </c>
      <c r="G220" s="72"/>
      <c r="H220" s="801" t="s">
        <v>1913</v>
      </c>
      <c r="I220" s="674"/>
      <c r="J220" s="657">
        <v>45</v>
      </c>
      <c r="K220" s="800">
        <f>K219-Table13[[#This Row],[مدين]]+Table13[[#This Row],[دائن]]</f>
        <v>1738699.72</v>
      </c>
      <c r="L220" s="62"/>
    </row>
    <row r="221" spans="1:14" s="58" customFormat="1" ht="23.25" customHeight="1">
      <c r="A221" s="70" t="s">
        <v>477</v>
      </c>
      <c r="B221" s="70" t="s">
        <v>492</v>
      </c>
      <c r="C221" s="641" t="s">
        <v>1665</v>
      </c>
      <c r="D221" s="685" t="s">
        <v>493</v>
      </c>
      <c r="E221" s="72" t="s">
        <v>1667</v>
      </c>
      <c r="F221" s="72" t="s">
        <v>168</v>
      </c>
      <c r="G221" s="72" t="s">
        <v>1668</v>
      </c>
      <c r="H221" s="801" t="s">
        <v>1913</v>
      </c>
      <c r="I221" s="802">
        <v>55154</v>
      </c>
      <c r="J221" s="802"/>
      <c r="K221" s="804">
        <f>K220-Table13[[#This Row],[مدين]]+Table13[[#This Row],[دائن]]</f>
        <v>1683545.72</v>
      </c>
      <c r="L221" s="62"/>
    </row>
    <row r="222" spans="1:14" s="58" customFormat="1" ht="23.25" customHeight="1">
      <c r="A222" s="70" t="s">
        <v>477</v>
      </c>
      <c r="B222" s="70" t="s">
        <v>494</v>
      </c>
      <c r="C222" s="641" t="s">
        <v>1906</v>
      </c>
      <c r="D222" s="685" t="s">
        <v>495</v>
      </c>
      <c r="E222" s="72" t="s">
        <v>1667</v>
      </c>
      <c r="F222" s="72" t="s">
        <v>168</v>
      </c>
      <c r="G222" s="72" t="s">
        <v>1678</v>
      </c>
      <c r="H222" s="801" t="s">
        <v>1913</v>
      </c>
      <c r="I222" s="802">
        <v>101600</v>
      </c>
      <c r="J222" s="802"/>
      <c r="K222" s="804">
        <f>K221-Table13[[#This Row],[مدين]]+Table13[[#This Row],[دائن]]</f>
        <v>1581945.72</v>
      </c>
      <c r="L222" s="62"/>
    </row>
    <row r="223" spans="1:14" s="58" customFormat="1" ht="23.25" customHeight="1">
      <c r="A223" s="70" t="s">
        <v>477</v>
      </c>
      <c r="B223" s="70" t="s">
        <v>496</v>
      </c>
      <c r="C223" s="641" t="s">
        <v>1906</v>
      </c>
      <c r="D223" s="685" t="s">
        <v>497</v>
      </c>
      <c r="E223" s="72" t="s">
        <v>1667</v>
      </c>
      <c r="F223" s="72" t="s">
        <v>168</v>
      </c>
      <c r="G223" s="72" t="s">
        <v>1679</v>
      </c>
      <c r="H223" s="801" t="s">
        <v>1913</v>
      </c>
      <c r="I223" s="674"/>
      <c r="J223" s="709">
        <v>19802</v>
      </c>
      <c r="K223" s="804">
        <f>K222-Table13[[#This Row],[مدين]]+Table13[[#This Row],[دائن]]</f>
        <v>1601747.72</v>
      </c>
      <c r="L223" s="62"/>
    </row>
    <row r="224" spans="1:14" s="58" customFormat="1" ht="23.25" customHeight="1">
      <c r="A224" s="70" t="s">
        <v>498</v>
      </c>
      <c r="B224" s="70" t="s">
        <v>499</v>
      </c>
      <c r="C224" s="71" t="s">
        <v>2105</v>
      </c>
      <c r="D224" s="685" t="s">
        <v>2156</v>
      </c>
      <c r="E224" s="72" t="s">
        <v>171</v>
      </c>
      <c r="F224" s="72" t="s">
        <v>196</v>
      </c>
      <c r="G224" s="72" t="s">
        <v>63</v>
      </c>
      <c r="H224" s="801" t="s">
        <v>1913</v>
      </c>
      <c r="I224" s="674"/>
      <c r="J224" s="657">
        <v>550</v>
      </c>
      <c r="K224" s="800">
        <f>K223-Table13[[#This Row],[مدين]]+Table13[[#This Row],[دائن]]</f>
        <v>1602297.72</v>
      </c>
      <c r="L224" s="62"/>
    </row>
    <row r="225" spans="1:12" s="58" customFormat="1" ht="23.25" customHeight="1">
      <c r="A225" s="70" t="s">
        <v>498</v>
      </c>
      <c r="B225" s="70" t="s">
        <v>500</v>
      </c>
      <c r="C225" s="641" t="s">
        <v>2086</v>
      </c>
      <c r="D225" s="685" t="s">
        <v>419</v>
      </c>
      <c r="E225" s="72" t="s">
        <v>171</v>
      </c>
      <c r="F225" s="72" t="s">
        <v>69</v>
      </c>
      <c r="G225" s="72" t="s">
        <v>113</v>
      </c>
      <c r="H225" s="801" t="s">
        <v>1913</v>
      </c>
      <c r="I225" s="674"/>
      <c r="J225" s="657">
        <v>921</v>
      </c>
      <c r="K225" s="800">
        <f>K224-Table13[[#This Row],[مدين]]+Table13[[#This Row],[دائن]]</f>
        <v>1603218.72</v>
      </c>
      <c r="L225" s="62"/>
    </row>
    <row r="226" spans="1:12" s="58" customFormat="1" ht="23.25" customHeight="1">
      <c r="A226" s="70" t="s">
        <v>501</v>
      </c>
      <c r="B226" s="70" t="s">
        <v>502</v>
      </c>
      <c r="C226" s="71" t="s">
        <v>2105</v>
      </c>
      <c r="D226" s="685" t="s">
        <v>2157</v>
      </c>
      <c r="E226" s="72" t="s">
        <v>171</v>
      </c>
      <c r="F226" s="72" t="s">
        <v>196</v>
      </c>
      <c r="G226" s="72" t="s">
        <v>64</v>
      </c>
      <c r="H226" s="801" t="s">
        <v>1913</v>
      </c>
      <c r="I226" s="674"/>
      <c r="J226" s="657">
        <v>100</v>
      </c>
      <c r="K226" s="800">
        <f>K225-Table13[[#This Row],[مدين]]+Table13[[#This Row],[دائن]]</f>
        <v>1603318.72</v>
      </c>
      <c r="L226" s="62"/>
    </row>
    <row r="227" spans="1:12" s="58" customFormat="1" ht="23.25" customHeight="1">
      <c r="A227" s="70" t="s">
        <v>501</v>
      </c>
      <c r="B227" s="70" t="s">
        <v>503</v>
      </c>
      <c r="C227" s="71" t="s">
        <v>2102</v>
      </c>
      <c r="D227" s="685" t="s">
        <v>186</v>
      </c>
      <c r="E227" s="72" t="s">
        <v>1655</v>
      </c>
      <c r="F227" s="72" t="s">
        <v>186</v>
      </c>
      <c r="G227" s="72"/>
      <c r="H227" s="801" t="s">
        <v>1913</v>
      </c>
      <c r="I227" s="674"/>
      <c r="J227" s="657">
        <v>25</v>
      </c>
      <c r="K227" s="800">
        <f>K226-Table13[[#This Row],[مدين]]+Table13[[#This Row],[دائن]]</f>
        <v>1603343.72</v>
      </c>
      <c r="L227" s="62"/>
    </row>
    <row r="228" spans="1:12" s="58" customFormat="1" ht="23.25" customHeight="1">
      <c r="A228" s="70" t="s">
        <v>504</v>
      </c>
      <c r="B228" s="70" t="s">
        <v>505</v>
      </c>
      <c r="C228" s="641" t="s">
        <v>2086</v>
      </c>
      <c r="D228" s="685" t="s">
        <v>506</v>
      </c>
      <c r="E228" s="72" t="s">
        <v>171</v>
      </c>
      <c r="F228" s="72" t="s">
        <v>69</v>
      </c>
      <c r="G228" s="72" t="s">
        <v>113</v>
      </c>
      <c r="H228" s="801" t="s">
        <v>1913</v>
      </c>
      <c r="I228" s="674"/>
      <c r="J228" s="657">
        <v>373.85</v>
      </c>
      <c r="K228" s="800">
        <f>K227-Table13[[#This Row],[مدين]]+Table13[[#This Row],[دائن]]</f>
        <v>1603717.57</v>
      </c>
      <c r="L228" s="62"/>
    </row>
    <row r="229" spans="1:12" s="58" customFormat="1" ht="23.25" customHeight="1">
      <c r="A229" s="70" t="s">
        <v>507</v>
      </c>
      <c r="B229" s="70" t="s">
        <v>508</v>
      </c>
      <c r="C229" s="71" t="s">
        <v>2102</v>
      </c>
      <c r="D229" s="685" t="s">
        <v>186</v>
      </c>
      <c r="E229" s="72" t="s">
        <v>1655</v>
      </c>
      <c r="F229" s="72" t="s">
        <v>186</v>
      </c>
      <c r="G229" s="72"/>
      <c r="H229" s="801" t="s">
        <v>1913</v>
      </c>
      <c r="I229" s="674"/>
      <c r="J229" s="657">
        <v>200</v>
      </c>
      <c r="K229" s="800">
        <f>K228-Table13[[#This Row],[مدين]]+Table13[[#This Row],[دائن]]</f>
        <v>1603917.57</v>
      </c>
      <c r="L229" s="62"/>
    </row>
    <row r="230" spans="1:12" s="58" customFormat="1" ht="23.25" customHeight="1">
      <c r="A230" s="70" t="s">
        <v>509</v>
      </c>
      <c r="B230" s="70" t="s">
        <v>510</v>
      </c>
      <c r="C230" s="71" t="s">
        <v>2105</v>
      </c>
      <c r="D230" s="685" t="s">
        <v>511</v>
      </c>
      <c r="E230" s="72" t="s">
        <v>171</v>
      </c>
      <c r="F230" s="72" t="s">
        <v>1675</v>
      </c>
      <c r="G230" s="72" t="s">
        <v>113</v>
      </c>
      <c r="H230" s="801" t="s">
        <v>1913</v>
      </c>
      <c r="I230" s="674"/>
      <c r="J230" s="657">
        <v>921</v>
      </c>
      <c r="K230" s="800">
        <f>K229-Table13[[#This Row],[مدين]]+Table13[[#This Row],[دائن]]</f>
        <v>1604838.57</v>
      </c>
      <c r="L230" s="62"/>
    </row>
    <row r="231" spans="1:12" s="58" customFormat="1" ht="23.25" customHeight="1">
      <c r="A231" s="70" t="s">
        <v>512</v>
      </c>
      <c r="B231" s="70" t="s">
        <v>513</v>
      </c>
      <c r="C231" s="71" t="s">
        <v>2105</v>
      </c>
      <c r="D231" s="685" t="s">
        <v>514</v>
      </c>
      <c r="E231" s="72" t="s">
        <v>171</v>
      </c>
      <c r="F231" s="72" t="s">
        <v>1675</v>
      </c>
      <c r="G231" s="72" t="s">
        <v>996</v>
      </c>
      <c r="H231" s="801" t="s">
        <v>1913</v>
      </c>
      <c r="I231" s="674"/>
      <c r="J231" s="657">
        <v>2763</v>
      </c>
      <c r="K231" s="800">
        <f>K230-Table13[[#This Row],[مدين]]+Table13[[#This Row],[دائن]]</f>
        <v>1607601.57</v>
      </c>
      <c r="L231" s="62"/>
    </row>
    <row r="232" spans="1:12" s="58" customFormat="1" ht="23.25" customHeight="1">
      <c r="A232" s="70" t="s">
        <v>515</v>
      </c>
      <c r="B232" s="70" t="s">
        <v>516</v>
      </c>
      <c r="C232" s="71" t="s">
        <v>2105</v>
      </c>
      <c r="D232" s="685">
        <v>83671</v>
      </c>
      <c r="E232" s="72" t="s">
        <v>1655</v>
      </c>
      <c r="F232" s="72" t="s">
        <v>2072</v>
      </c>
      <c r="G232" s="72" t="s">
        <v>2073</v>
      </c>
      <c r="H232" s="801" t="s">
        <v>1913</v>
      </c>
      <c r="I232" s="674"/>
      <c r="J232" s="657">
        <v>933</v>
      </c>
      <c r="K232" s="800">
        <f>K231-Table13[[#This Row],[مدين]]+Table13[[#This Row],[دائن]]</f>
        <v>1608534.57</v>
      </c>
      <c r="L232" s="62"/>
    </row>
    <row r="233" spans="1:12" s="58" customFormat="1" ht="23.25" customHeight="1">
      <c r="A233" s="70" t="s">
        <v>517</v>
      </c>
      <c r="B233" s="70" t="s">
        <v>518</v>
      </c>
      <c r="C233" s="71" t="s">
        <v>2105</v>
      </c>
      <c r="D233" s="685">
        <v>85713</v>
      </c>
      <c r="E233" s="72" t="s">
        <v>1655</v>
      </c>
      <c r="F233" s="72" t="s">
        <v>2072</v>
      </c>
      <c r="G233" s="72" t="s">
        <v>2073</v>
      </c>
      <c r="H233" s="801" t="s">
        <v>1913</v>
      </c>
      <c r="I233" s="674"/>
      <c r="J233" s="657">
        <v>1150.8800000000001</v>
      </c>
      <c r="K233" s="800">
        <f>K232-Table13[[#This Row],[مدين]]+Table13[[#This Row],[دائن]]</f>
        <v>1609685.45</v>
      </c>
      <c r="L233" s="62"/>
    </row>
    <row r="234" spans="1:12" s="58" customFormat="1" ht="23.25" customHeight="1">
      <c r="A234" s="70" t="s">
        <v>519</v>
      </c>
      <c r="B234" s="70" t="s">
        <v>520</v>
      </c>
      <c r="C234" s="71" t="s">
        <v>2105</v>
      </c>
      <c r="D234" s="685" t="s">
        <v>2158</v>
      </c>
      <c r="E234" s="72" t="s">
        <v>171</v>
      </c>
      <c r="F234" s="72" t="s">
        <v>196</v>
      </c>
      <c r="G234" s="72" t="s">
        <v>64</v>
      </c>
      <c r="H234" s="801" t="s">
        <v>1913</v>
      </c>
      <c r="I234" s="674"/>
      <c r="J234" s="657">
        <v>1666.67</v>
      </c>
      <c r="K234" s="800">
        <f>K233-Table13[[#This Row],[مدين]]+Table13[[#This Row],[دائن]]</f>
        <v>1611352.1199999999</v>
      </c>
      <c r="L234" s="62"/>
    </row>
    <row r="235" spans="1:12" s="58" customFormat="1" ht="23.25" customHeight="1">
      <c r="A235" s="70" t="s">
        <v>521</v>
      </c>
      <c r="B235" s="70" t="s">
        <v>522</v>
      </c>
      <c r="C235" s="71" t="s">
        <v>2105</v>
      </c>
      <c r="D235" s="685"/>
      <c r="E235" s="72" t="s">
        <v>1655</v>
      </c>
      <c r="F235" s="72" t="s">
        <v>2072</v>
      </c>
      <c r="G235" s="72" t="s">
        <v>2073</v>
      </c>
      <c r="H235" s="801" t="s">
        <v>1913</v>
      </c>
      <c r="I235" s="674"/>
      <c r="J235" s="657">
        <v>50</v>
      </c>
      <c r="K235" s="800">
        <f>K234-Table13[[#This Row],[مدين]]+Table13[[#This Row],[دائن]]</f>
        <v>1611402.1199999999</v>
      </c>
      <c r="L235" s="62"/>
    </row>
    <row r="236" spans="1:12" s="58" customFormat="1" ht="23.25" customHeight="1">
      <c r="A236" s="70" t="s">
        <v>523</v>
      </c>
      <c r="B236" s="70" t="s">
        <v>524</v>
      </c>
      <c r="C236" s="71" t="s">
        <v>2105</v>
      </c>
      <c r="D236" s="685" t="s">
        <v>2159</v>
      </c>
      <c r="E236" s="72" t="s">
        <v>171</v>
      </c>
      <c r="F236" s="72" t="s">
        <v>196</v>
      </c>
      <c r="G236" s="72" t="s">
        <v>64</v>
      </c>
      <c r="H236" s="801" t="s">
        <v>1913</v>
      </c>
      <c r="I236" s="674"/>
      <c r="J236" s="657">
        <v>1187.5</v>
      </c>
      <c r="K236" s="800">
        <f>K235-Table13[[#This Row],[مدين]]+Table13[[#This Row],[دائن]]</f>
        <v>1612589.6199999999</v>
      </c>
      <c r="L236" s="62"/>
    </row>
    <row r="237" spans="1:12" s="58" customFormat="1" ht="23.25" customHeight="1">
      <c r="A237" s="70" t="s">
        <v>523</v>
      </c>
      <c r="B237" s="70" t="s">
        <v>525</v>
      </c>
      <c r="C237" s="71" t="s">
        <v>2106</v>
      </c>
      <c r="D237" s="685" t="s">
        <v>526</v>
      </c>
      <c r="E237" s="72" t="s">
        <v>1667</v>
      </c>
      <c r="F237" s="72" t="s">
        <v>168</v>
      </c>
      <c r="G237" s="72" t="s">
        <v>1706</v>
      </c>
      <c r="H237" s="801" t="s">
        <v>1913</v>
      </c>
      <c r="I237" s="674"/>
      <c r="J237" s="709">
        <v>90000</v>
      </c>
      <c r="K237" s="800">
        <f>K236-Table13[[#This Row],[مدين]]+Table13[[#This Row],[دائن]]</f>
        <v>1702589.6199999999</v>
      </c>
      <c r="L237" s="62"/>
    </row>
    <row r="238" spans="1:12" s="58" customFormat="1" ht="23.25" customHeight="1">
      <c r="A238" s="70" t="s">
        <v>523</v>
      </c>
      <c r="B238" s="70" t="s">
        <v>527</v>
      </c>
      <c r="C238" s="71" t="s">
        <v>2102</v>
      </c>
      <c r="D238" s="685" t="s">
        <v>186</v>
      </c>
      <c r="E238" s="72" t="s">
        <v>1655</v>
      </c>
      <c r="F238" s="72" t="s">
        <v>186</v>
      </c>
      <c r="G238" s="72"/>
      <c r="H238" s="801" t="s">
        <v>1913</v>
      </c>
      <c r="I238" s="674"/>
      <c r="J238" s="657">
        <v>75</v>
      </c>
      <c r="K238" s="800">
        <f>K237-Table13[[#This Row],[مدين]]+Table13[[#This Row],[دائن]]</f>
        <v>1702664.6199999999</v>
      </c>
      <c r="L238" s="62"/>
    </row>
    <row r="239" spans="1:12" s="58" customFormat="1" ht="23.25" customHeight="1">
      <c r="A239" s="70" t="s">
        <v>523</v>
      </c>
      <c r="B239" s="70" t="s">
        <v>528</v>
      </c>
      <c r="C239" s="641" t="s">
        <v>2086</v>
      </c>
      <c r="D239" s="685" t="s">
        <v>438</v>
      </c>
      <c r="E239" s="72" t="s">
        <v>171</v>
      </c>
      <c r="F239" s="72" t="s">
        <v>69</v>
      </c>
      <c r="G239" s="72" t="s">
        <v>64</v>
      </c>
      <c r="H239" s="801" t="s">
        <v>1913</v>
      </c>
      <c r="I239" s="674"/>
      <c r="J239" s="657">
        <v>10814.15</v>
      </c>
      <c r="K239" s="800">
        <f>K238-Table13[[#This Row],[مدين]]+Table13[[#This Row],[دائن]]</f>
        <v>1713478.7699999998</v>
      </c>
      <c r="L239" s="62"/>
    </row>
    <row r="240" spans="1:12" s="58" customFormat="1" ht="23.25" customHeight="1">
      <c r="A240" s="70" t="s">
        <v>523</v>
      </c>
      <c r="B240" s="70" t="s">
        <v>529</v>
      </c>
      <c r="C240" s="641" t="s">
        <v>2086</v>
      </c>
      <c r="D240" s="685" t="s">
        <v>438</v>
      </c>
      <c r="E240" s="72" t="s">
        <v>171</v>
      </c>
      <c r="F240" s="72" t="s">
        <v>69</v>
      </c>
      <c r="G240" s="72" t="s">
        <v>64</v>
      </c>
      <c r="H240" s="801" t="s">
        <v>1913</v>
      </c>
      <c r="I240" s="674"/>
      <c r="J240" s="657">
        <v>367.3</v>
      </c>
      <c r="K240" s="800">
        <f>K239-Table13[[#This Row],[مدين]]+Table13[[#This Row],[دائن]]</f>
        <v>1713846.0699999998</v>
      </c>
      <c r="L240" s="62"/>
    </row>
    <row r="241" spans="1:12" s="58" customFormat="1" ht="23.25" customHeight="1">
      <c r="A241" s="70" t="s">
        <v>530</v>
      </c>
      <c r="B241" s="70" t="s">
        <v>531</v>
      </c>
      <c r="C241" s="641" t="s">
        <v>2086</v>
      </c>
      <c r="D241" s="685" t="s">
        <v>419</v>
      </c>
      <c r="E241" s="72" t="s">
        <v>171</v>
      </c>
      <c r="F241" s="72" t="s">
        <v>69</v>
      </c>
      <c r="G241" s="72" t="s">
        <v>113</v>
      </c>
      <c r="H241" s="801" t="s">
        <v>1913</v>
      </c>
      <c r="I241" s="674"/>
      <c r="J241" s="657">
        <v>91.35</v>
      </c>
      <c r="K241" s="800">
        <f>K240-Table13[[#This Row],[مدين]]+Table13[[#This Row],[دائن]]</f>
        <v>1713937.42</v>
      </c>
      <c r="L241" s="62"/>
    </row>
    <row r="242" spans="1:12" s="58" customFormat="1" ht="23.25" customHeight="1">
      <c r="A242" s="70" t="s">
        <v>532</v>
      </c>
      <c r="B242" s="70" t="s">
        <v>533</v>
      </c>
      <c r="C242" s="71" t="s">
        <v>2102</v>
      </c>
      <c r="D242" s="685" t="s">
        <v>534</v>
      </c>
      <c r="E242" s="72" t="s">
        <v>171</v>
      </c>
      <c r="F242" s="72" t="s">
        <v>1683</v>
      </c>
      <c r="G242" s="72" t="s">
        <v>1684</v>
      </c>
      <c r="H242" s="801" t="s">
        <v>1913</v>
      </c>
      <c r="I242" s="674"/>
      <c r="J242" s="657">
        <v>1709</v>
      </c>
      <c r="K242" s="800">
        <f>K241-Table13[[#This Row],[مدين]]+Table13[[#This Row],[دائن]]</f>
        <v>1715646.42</v>
      </c>
      <c r="L242" s="62"/>
    </row>
    <row r="243" spans="1:12" s="58" customFormat="1" ht="23.25" customHeight="1">
      <c r="A243" s="634" t="s">
        <v>535</v>
      </c>
      <c r="B243" s="634" t="s">
        <v>536</v>
      </c>
      <c r="C243" s="827" t="s">
        <v>537</v>
      </c>
      <c r="D243" s="828" t="s">
        <v>538</v>
      </c>
      <c r="E243" s="72" t="s">
        <v>171</v>
      </c>
      <c r="F243" s="72" t="s">
        <v>196</v>
      </c>
      <c r="G243" s="829" t="s">
        <v>539</v>
      </c>
      <c r="H243" s="801" t="s">
        <v>1913</v>
      </c>
      <c r="I243" s="830"/>
      <c r="J243" s="673">
        <v>7300</v>
      </c>
      <c r="K243" s="804">
        <f>K242-Table13[[#This Row],[مدين]]+Table13[[#This Row],[دائن]]</f>
        <v>1722946.42</v>
      </c>
      <c r="L243" s="62"/>
    </row>
    <row r="244" spans="1:12" s="58" customFormat="1" ht="23.25" customHeight="1">
      <c r="A244" s="634" t="s">
        <v>535</v>
      </c>
      <c r="B244" s="634" t="s">
        <v>536</v>
      </c>
      <c r="C244" s="827" t="s">
        <v>537</v>
      </c>
      <c r="D244" s="828" t="s">
        <v>538</v>
      </c>
      <c r="E244" s="72" t="s">
        <v>171</v>
      </c>
      <c r="F244" s="72" t="s">
        <v>196</v>
      </c>
      <c r="G244" s="829" t="s">
        <v>539</v>
      </c>
      <c r="H244" s="801" t="s">
        <v>1913</v>
      </c>
      <c r="I244" s="830"/>
      <c r="J244" s="673">
        <v>7225</v>
      </c>
      <c r="K244" s="804">
        <f>K243-Table13[[#This Row],[مدين]]+Table13[[#This Row],[دائن]]</f>
        <v>1730171.42</v>
      </c>
      <c r="L244" s="62"/>
    </row>
    <row r="245" spans="1:12" s="58" customFormat="1" ht="23.25" customHeight="1">
      <c r="A245" s="634" t="s">
        <v>535</v>
      </c>
      <c r="B245" s="634" t="s">
        <v>536</v>
      </c>
      <c r="C245" s="827" t="s">
        <v>537</v>
      </c>
      <c r="D245" s="828" t="s">
        <v>538</v>
      </c>
      <c r="E245" s="72" t="s">
        <v>171</v>
      </c>
      <c r="F245" s="72" t="s">
        <v>196</v>
      </c>
      <c r="G245" s="829" t="s">
        <v>539</v>
      </c>
      <c r="H245" s="801" t="s">
        <v>1913</v>
      </c>
      <c r="I245" s="830"/>
      <c r="J245" s="673">
        <v>3075</v>
      </c>
      <c r="K245" s="804">
        <f>K244-Table13[[#This Row],[مدين]]+Table13[[#This Row],[دائن]]</f>
        <v>1733246.42</v>
      </c>
      <c r="L245" s="62"/>
    </row>
    <row r="246" spans="1:12" s="58" customFormat="1" ht="23.25" customHeight="1">
      <c r="A246" s="634" t="s">
        <v>535</v>
      </c>
      <c r="B246" s="634" t="s">
        <v>536</v>
      </c>
      <c r="C246" s="827" t="s">
        <v>537</v>
      </c>
      <c r="D246" s="828" t="s">
        <v>538</v>
      </c>
      <c r="E246" s="72" t="s">
        <v>171</v>
      </c>
      <c r="F246" s="72" t="s">
        <v>196</v>
      </c>
      <c r="G246" s="829" t="s">
        <v>539</v>
      </c>
      <c r="H246" s="801" t="s">
        <v>1913</v>
      </c>
      <c r="I246" s="830"/>
      <c r="J246" s="673">
        <v>4917.5</v>
      </c>
      <c r="K246" s="804">
        <f>K245-Table13[[#This Row],[مدين]]+Table13[[#This Row],[دائن]]</f>
        <v>1738163.92</v>
      </c>
      <c r="L246" s="62"/>
    </row>
    <row r="247" spans="1:12" s="58" customFormat="1" ht="23.25" customHeight="1">
      <c r="A247" s="634" t="s">
        <v>535</v>
      </c>
      <c r="B247" s="634" t="s">
        <v>536</v>
      </c>
      <c r="C247" s="827" t="s">
        <v>537</v>
      </c>
      <c r="D247" s="828" t="s">
        <v>538</v>
      </c>
      <c r="E247" s="72" t="s">
        <v>171</v>
      </c>
      <c r="F247" s="72" t="s">
        <v>196</v>
      </c>
      <c r="G247" s="829" t="s">
        <v>539</v>
      </c>
      <c r="H247" s="801" t="s">
        <v>1913</v>
      </c>
      <c r="I247" s="830"/>
      <c r="J247" s="673">
        <v>8100</v>
      </c>
      <c r="K247" s="804">
        <f>K246-Table13[[#This Row],[مدين]]+Table13[[#This Row],[دائن]]</f>
        <v>1746263.92</v>
      </c>
      <c r="L247" s="62"/>
    </row>
    <row r="248" spans="1:12" s="58" customFormat="1" ht="23.25" customHeight="1">
      <c r="A248" s="634" t="s">
        <v>535</v>
      </c>
      <c r="B248" s="634" t="s">
        <v>536</v>
      </c>
      <c r="C248" s="827" t="s">
        <v>537</v>
      </c>
      <c r="D248" s="828" t="s">
        <v>538</v>
      </c>
      <c r="E248" s="72" t="s">
        <v>171</v>
      </c>
      <c r="F248" s="72" t="s">
        <v>196</v>
      </c>
      <c r="G248" s="829" t="s">
        <v>539</v>
      </c>
      <c r="H248" s="801" t="s">
        <v>1913</v>
      </c>
      <c r="I248" s="830"/>
      <c r="J248" s="673">
        <v>1250</v>
      </c>
      <c r="K248" s="804">
        <f>K247-Table13[[#This Row],[مدين]]+Table13[[#This Row],[دائن]]</f>
        <v>1747513.92</v>
      </c>
      <c r="L248" s="62"/>
    </row>
    <row r="249" spans="1:12" s="58" customFormat="1" ht="23.25" customHeight="1">
      <c r="A249" s="634" t="s">
        <v>535</v>
      </c>
      <c r="B249" s="634" t="s">
        <v>536</v>
      </c>
      <c r="C249" s="827" t="s">
        <v>537</v>
      </c>
      <c r="D249" s="828" t="s">
        <v>538</v>
      </c>
      <c r="E249" s="72" t="s">
        <v>171</v>
      </c>
      <c r="F249" s="72" t="s">
        <v>196</v>
      </c>
      <c r="G249" s="829" t="s">
        <v>539</v>
      </c>
      <c r="H249" s="801" t="s">
        <v>1913</v>
      </c>
      <c r="I249" s="830"/>
      <c r="J249" s="673">
        <v>13875</v>
      </c>
      <c r="K249" s="804">
        <f>K248-Table13[[#This Row],[مدين]]+Table13[[#This Row],[دائن]]</f>
        <v>1761388.92</v>
      </c>
      <c r="L249" s="62"/>
    </row>
    <row r="250" spans="1:12" s="58" customFormat="1" ht="23.25" customHeight="1">
      <c r="A250" s="634" t="s">
        <v>535</v>
      </c>
      <c r="B250" s="634" t="s">
        <v>536</v>
      </c>
      <c r="C250" s="827" t="s">
        <v>537</v>
      </c>
      <c r="D250" s="828" t="s">
        <v>538</v>
      </c>
      <c r="E250" s="72" t="s">
        <v>171</v>
      </c>
      <c r="F250" s="72" t="s">
        <v>196</v>
      </c>
      <c r="G250" s="829" t="s">
        <v>539</v>
      </c>
      <c r="H250" s="801" t="s">
        <v>1913</v>
      </c>
      <c r="I250" s="830"/>
      <c r="J250" s="673">
        <v>11425</v>
      </c>
      <c r="K250" s="804">
        <f>K249-Table13[[#This Row],[مدين]]+Table13[[#This Row],[دائن]]</f>
        <v>1772813.92</v>
      </c>
      <c r="L250" s="62"/>
    </row>
    <row r="251" spans="1:12" s="58" customFormat="1" ht="23.25" customHeight="1">
      <c r="A251" s="634" t="s">
        <v>535</v>
      </c>
      <c r="B251" s="634" t="s">
        <v>536</v>
      </c>
      <c r="C251" s="827" t="s">
        <v>537</v>
      </c>
      <c r="D251" s="828" t="s">
        <v>538</v>
      </c>
      <c r="E251" s="72" t="s">
        <v>171</v>
      </c>
      <c r="F251" s="72" t="s">
        <v>196</v>
      </c>
      <c r="G251" s="829" t="s">
        <v>539</v>
      </c>
      <c r="H251" s="801" t="s">
        <v>1913</v>
      </c>
      <c r="I251" s="830"/>
      <c r="J251" s="673">
        <v>85268.75</v>
      </c>
      <c r="K251" s="804">
        <f>K250-Table13[[#This Row],[مدين]]+Table13[[#This Row],[دائن]]</f>
        <v>1858082.67</v>
      </c>
      <c r="L251" s="62"/>
    </row>
    <row r="252" spans="1:12" s="58" customFormat="1" ht="23.25" customHeight="1">
      <c r="A252" s="70" t="s">
        <v>535</v>
      </c>
      <c r="B252" s="70" t="s">
        <v>540</v>
      </c>
      <c r="C252" s="71" t="s">
        <v>2105</v>
      </c>
      <c r="D252" s="685" t="s">
        <v>541</v>
      </c>
      <c r="E252" s="72" t="s">
        <v>1655</v>
      </c>
      <c r="F252" s="72" t="s">
        <v>2078</v>
      </c>
      <c r="G252" s="72" t="s">
        <v>64</v>
      </c>
      <c r="H252" s="801" t="s">
        <v>1913</v>
      </c>
      <c r="I252" s="674"/>
      <c r="J252" s="657">
        <v>810</v>
      </c>
      <c r="K252" s="800">
        <f>K251-Table13[[#This Row],[مدين]]+Table13[[#This Row],[دائن]]</f>
        <v>1858892.67</v>
      </c>
      <c r="L252" s="62"/>
    </row>
    <row r="253" spans="1:12" s="58" customFormat="1" ht="23.25" customHeight="1">
      <c r="A253" s="70" t="s">
        <v>535</v>
      </c>
      <c r="B253" s="70" t="s">
        <v>542</v>
      </c>
      <c r="C253" s="71" t="s">
        <v>2086</v>
      </c>
      <c r="D253" s="685" t="s">
        <v>229</v>
      </c>
      <c r="E253" s="72" t="s">
        <v>171</v>
      </c>
      <c r="F253" s="72" t="s">
        <v>181</v>
      </c>
      <c r="G253" s="72" t="s">
        <v>1676</v>
      </c>
      <c r="H253" s="801" t="s">
        <v>1913</v>
      </c>
      <c r="I253" s="674"/>
      <c r="J253" s="657">
        <v>34243</v>
      </c>
      <c r="K253" s="800">
        <f>K252-Table13[[#This Row],[مدين]]+Table13[[#This Row],[دائن]]</f>
        <v>1893135.67</v>
      </c>
      <c r="L253" s="62"/>
    </row>
    <row r="254" spans="1:12" s="58" customFormat="1" ht="23.25" customHeight="1" thickBot="1">
      <c r="A254" s="70" t="s">
        <v>535</v>
      </c>
      <c r="B254" s="70" t="s">
        <v>543</v>
      </c>
      <c r="C254" s="71" t="s">
        <v>2086</v>
      </c>
      <c r="D254" s="685" t="s">
        <v>231</v>
      </c>
      <c r="E254" s="72" t="s">
        <v>171</v>
      </c>
      <c r="F254" s="72" t="s">
        <v>181</v>
      </c>
      <c r="G254" s="72" t="s">
        <v>1658</v>
      </c>
      <c r="H254" s="801" t="s">
        <v>1913</v>
      </c>
      <c r="I254" s="674"/>
      <c r="J254" s="657">
        <v>7889</v>
      </c>
      <c r="K254" s="800">
        <f>K253-Table13[[#This Row],[مدين]]+Table13[[#This Row],[دائن]]</f>
        <v>1901024.67</v>
      </c>
      <c r="L254" s="62"/>
    </row>
    <row r="255" spans="1:12" s="58" customFormat="1" ht="23.25" customHeight="1">
      <c r="A255" s="77" t="s">
        <v>535</v>
      </c>
      <c r="B255" s="77" t="s">
        <v>544</v>
      </c>
      <c r="C255" s="71" t="s">
        <v>2086</v>
      </c>
      <c r="D255" s="686" t="s">
        <v>227</v>
      </c>
      <c r="E255" s="72" t="s">
        <v>171</v>
      </c>
      <c r="F255" s="72" t="s">
        <v>181</v>
      </c>
      <c r="G255" s="72" t="s">
        <v>1657</v>
      </c>
      <c r="H255" s="801" t="s">
        <v>1913</v>
      </c>
      <c r="I255" s="675"/>
      <c r="J255" s="658">
        <v>6961</v>
      </c>
      <c r="K255" s="800">
        <f>K254-Table13[[#This Row],[مدين]]+Table13[[#This Row],[دائن]]</f>
        <v>1907985.67</v>
      </c>
      <c r="L255" s="62"/>
    </row>
    <row r="256" spans="1:12" s="58" customFormat="1" ht="23.25" customHeight="1">
      <c r="A256" s="70" t="s">
        <v>535</v>
      </c>
      <c r="B256" s="70" t="s">
        <v>545</v>
      </c>
      <c r="C256" s="71" t="s">
        <v>2102</v>
      </c>
      <c r="D256" s="685" t="s">
        <v>233</v>
      </c>
      <c r="E256" s="72" t="s">
        <v>171</v>
      </c>
      <c r="F256" s="72" t="s">
        <v>1677</v>
      </c>
      <c r="G256" s="72"/>
      <c r="H256" s="801" t="s">
        <v>1913</v>
      </c>
      <c r="I256" s="674"/>
      <c r="J256" s="657">
        <v>45</v>
      </c>
      <c r="K256" s="800">
        <f>K255-Table13[[#This Row],[مدين]]+Table13[[#This Row],[دائن]]</f>
        <v>1908030.67</v>
      </c>
      <c r="L256" s="62"/>
    </row>
    <row r="257" spans="1:12" s="58" customFormat="1" ht="23.25" customHeight="1">
      <c r="A257" s="70" t="s">
        <v>535</v>
      </c>
      <c r="B257" s="70" t="s">
        <v>546</v>
      </c>
      <c r="C257" s="641" t="s">
        <v>1664</v>
      </c>
      <c r="D257" s="685" t="s">
        <v>547</v>
      </c>
      <c r="E257" s="72" t="s">
        <v>1667</v>
      </c>
      <c r="F257" s="72" t="s">
        <v>168</v>
      </c>
      <c r="G257" s="72" t="s">
        <v>1668</v>
      </c>
      <c r="H257" s="801" t="s">
        <v>1913</v>
      </c>
      <c r="I257" s="802">
        <v>80835</v>
      </c>
      <c r="J257" s="802"/>
      <c r="K257" s="804">
        <f>K256-Table13[[#This Row],[مدين]]+Table13[[#This Row],[دائن]]</f>
        <v>1827195.67</v>
      </c>
      <c r="L257" s="62"/>
    </row>
    <row r="258" spans="1:12" s="58" customFormat="1" ht="23.25" customHeight="1">
      <c r="A258" s="70" t="s">
        <v>535</v>
      </c>
      <c r="B258" s="70" t="s">
        <v>548</v>
      </c>
      <c r="C258" s="71" t="s">
        <v>2199</v>
      </c>
      <c r="D258" s="685" t="s">
        <v>549</v>
      </c>
      <c r="E258" s="72" t="s">
        <v>1694</v>
      </c>
      <c r="F258" s="72" t="s">
        <v>1698</v>
      </c>
      <c r="G258" s="72"/>
      <c r="H258" s="801" t="s">
        <v>1913</v>
      </c>
      <c r="I258" s="802">
        <v>30000</v>
      </c>
      <c r="J258" s="802"/>
      <c r="K258" s="800">
        <f>K257-Table13[[#This Row],[مدين]]+Table13[[#This Row],[دائن]]</f>
        <v>1797195.67</v>
      </c>
      <c r="L258" s="62"/>
    </row>
    <row r="259" spans="1:12" s="58" customFormat="1" ht="23.25" customHeight="1">
      <c r="A259" s="70" t="s">
        <v>535</v>
      </c>
      <c r="B259" s="70" t="s">
        <v>550</v>
      </c>
      <c r="C259" s="641" t="s">
        <v>1910</v>
      </c>
      <c r="D259" s="685" t="s">
        <v>551</v>
      </c>
      <c r="E259" s="72" t="s">
        <v>1667</v>
      </c>
      <c r="F259" s="72" t="s">
        <v>168</v>
      </c>
      <c r="G259" s="72" t="s">
        <v>1678</v>
      </c>
      <c r="H259" s="801" t="s">
        <v>1913</v>
      </c>
      <c r="I259" s="802">
        <v>101050</v>
      </c>
      <c r="J259" s="802"/>
      <c r="K259" s="804">
        <f>K258-Table13[[#This Row],[مدين]]+Table13[[#This Row],[دائن]]</f>
        <v>1696145.67</v>
      </c>
      <c r="L259" s="62"/>
    </row>
    <row r="260" spans="1:12" s="58" customFormat="1" ht="23.25" customHeight="1">
      <c r="A260" s="70" t="s">
        <v>535</v>
      </c>
      <c r="B260" s="70" t="s">
        <v>552</v>
      </c>
      <c r="C260" s="641" t="s">
        <v>1910</v>
      </c>
      <c r="D260" s="685" t="s">
        <v>553</v>
      </c>
      <c r="E260" s="72" t="s">
        <v>1667</v>
      </c>
      <c r="F260" s="72" t="s">
        <v>168</v>
      </c>
      <c r="G260" s="72" t="s">
        <v>1679</v>
      </c>
      <c r="H260" s="801" t="s">
        <v>1913</v>
      </c>
      <c r="I260" s="674"/>
      <c r="J260" s="709">
        <v>21713</v>
      </c>
      <c r="K260" s="804">
        <f>K259-Table13[[#This Row],[مدين]]+Table13[[#This Row],[دائن]]</f>
        <v>1717858.67</v>
      </c>
      <c r="L260" s="62"/>
    </row>
    <row r="261" spans="1:12" s="58" customFormat="1" ht="23.25" customHeight="1">
      <c r="A261" s="70" t="s">
        <v>554</v>
      </c>
      <c r="B261" s="70" t="s">
        <v>555</v>
      </c>
      <c r="C261" s="71" t="s">
        <v>2105</v>
      </c>
      <c r="D261" s="685" t="s">
        <v>556</v>
      </c>
      <c r="E261" s="72" t="s">
        <v>1655</v>
      </c>
      <c r="F261" s="72" t="s">
        <v>2078</v>
      </c>
      <c r="G261" s="72" t="s">
        <v>64</v>
      </c>
      <c r="H261" s="801" t="s">
        <v>1913</v>
      </c>
      <c r="I261" s="674"/>
      <c r="J261" s="657">
        <v>500</v>
      </c>
      <c r="K261" s="800">
        <f>K260-Table13[[#This Row],[مدين]]+Table13[[#This Row],[دائن]]</f>
        <v>1718358.67</v>
      </c>
      <c r="L261" s="62"/>
    </row>
    <row r="262" spans="1:12" s="58" customFormat="1" ht="23.25" customHeight="1">
      <c r="A262" s="70" t="s">
        <v>557</v>
      </c>
      <c r="B262" s="70" t="s">
        <v>558</v>
      </c>
      <c r="C262" s="641" t="s">
        <v>1672</v>
      </c>
      <c r="D262" s="685" t="s">
        <v>559</v>
      </c>
      <c r="E262" s="72" t="s">
        <v>1694</v>
      </c>
      <c r="F262" s="72" t="s">
        <v>1695</v>
      </c>
      <c r="G262" s="72" t="s">
        <v>63</v>
      </c>
      <c r="H262" s="801" t="s">
        <v>1913</v>
      </c>
      <c r="I262" s="802">
        <v>10000</v>
      </c>
      <c r="J262" s="802"/>
      <c r="K262" s="804">
        <f>K261-Table13[[#This Row],[مدين]]+Table13[[#This Row],[دائن]]</f>
        <v>1708358.67</v>
      </c>
      <c r="L262" s="62"/>
    </row>
    <row r="263" spans="1:12" s="58" customFormat="1" ht="23.25" customHeight="1">
      <c r="A263" s="70" t="s">
        <v>557</v>
      </c>
      <c r="B263" s="70" t="s">
        <v>560</v>
      </c>
      <c r="C263" s="641" t="s">
        <v>2086</v>
      </c>
      <c r="D263" s="685" t="s">
        <v>438</v>
      </c>
      <c r="E263" s="72" t="s">
        <v>171</v>
      </c>
      <c r="F263" s="72" t="s">
        <v>69</v>
      </c>
      <c r="G263" s="72" t="s">
        <v>64</v>
      </c>
      <c r="H263" s="801" t="s">
        <v>1913</v>
      </c>
      <c r="I263" s="674"/>
      <c r="J263" s="657">
        <v>1740</v>
      </c>
      <c r="K263" s="800">
        <f>K262-Table13[[#This Row],[مدين]]+Table13[[#This Row],[دائن]]</f>
        <v>1710098.67</v>
      </c>
      <c r="L263" s="62"/>
    </row>
    <row r="264" spans="1:12" s="58" customFormat="1" ht="23.25" customHeight="1">
      <c r="A264" s="70" t="s">
        <v>561</v>
      </c>
      <c r="B264" s="70" t="s">
        <v>562</v>
      </c>
      <c r="C264" s="641" t="s">
        <v>2086</v>
      </c>
      <c r="D264" s="685" t="s">
        <v>438</v>
      </c>
      <c r="E264" s="72" t="s">
        <v>171</v>
      </c>
      <c r="F264" s="72" t="s">
        <v>69</v>
      </c>
      <c r="G264" s="72" t="s">
        <v>64</v>
      </c>
      <c r="H264" s="801" t="s">
        <v>1913</v>
      </c>
      <c r="I264" s="674"/>
      <c r="J264" s="657">
        <v>870</v>
      </c>
      <c r="K264" s="800">
        <f>K263-Table13[[#This Row],[مدين]]+Table13[[#This Row],[دائن]]</f>
        <v>1710968.67</v>
      </c>
      <c r="L264" s="62"/>
    </row>
    <row r="265" spans="1:12" s="58" customFormat="1" ht="23.25" customHeight="1">
      <c r="A265" s="70" t="s">
        <v>563</v>
      </c>
      <c r="B265" s="70" t="s">
        <v>564</v>
      </c>
      <c r="C265" s="71" t="s">
        <v>2102</v>
      </c>
      <c r="D265" s="685" t="s">
        <v>186</v>
      </c>
      <c r="E265" s="72" t="s">
        <v>1655</v>
      </c>
      <c r="F265" s="72" t="s">
        <v>186</v>
      </c>
      <c r="G265" s="72"/>
      <c r="H265" s="801" t="s">
        <v>1913</v>
      </c>
      <c r="I265" s="674"/>
      <c r="J265" s="657">
        <v>25</v>
      </c>
      <c r="K265" s="800">
        <f>K264-Table13[[#This Row],[مدين]]+Table13[[#This Row],[دائن]]</f>
        <v>1710993.67</v>
      </c>
      <c r="L265" s="62"/>
    </row>
    <row r="266" spans="1:12" s="58" customFormat="1" ht="23.25" customHeight="1">
      <c r="A266" s="70" t="s">
        <v>565</v>
      </c>
      <c r="B266" s="70" t="s">
        <v>566</v>
      </c>
      <c r="C266" s="71" t="s">
        <v>2200</v>
      </c>
      <c r="D266" s="685" t="s">
        <v>567</v>
      </c>
      <c r="E266" s="72" t="s">
        <v>171</v>
      </c>
      <c r="F266" s="72" t="s">
        <v>196</v>
      </c>
      <c r="G266" s="72" t="s">
        <v>539</v>
      </c>
      <c r="H266" s="801" t="s">
        <v>1913</v>
      </c>
      <c r="I266" s="802">
        <v>16800</v>
      </c>
      <c r="J266" s="802"/>
      <c r="K266" s="800">
        <f>K265-Table13[[#This Row],[مدين]]+Table13[[#This Row],[دائن]]</f>
        <v>1694193.67</v>
      </c>
      <c r="L266" s="62"/>
    </row>
    <row r="267" spans="1:12" s="58" customFormat="1" ht="23.25" customHeight="1">
      <c r="A267" s="70" t="s">
        <v>568</v>
      </c>
      <c r="B267" s="70" t="s">
        <v>569</v>
      </c>
      <c r="C267" s="641" t="s">
        <v>2086</v>
      </c>
      <c r="D267" s="685" t="s">
        <v>438</v>
      </c>
      <c r="E267" s="72" t="s">
        <v>171</v>
      </c>
      <c r="F267" s="72" t="s">
        <v>69</v>
      </c>
      <c r="G267" s="72" t="s">
        <v>64</v>
      </c>
      <c r="H267" s="801" t="s">
        <v>1913</v>
      </c>
      <c r="I267" s="674"/>
      <c r="J267" s="657">
        <v>425.56</v>
      </c>
      <c r="K267" s="800">
        <f>K266-Table13[[#This Row],[مدين]]+Table13[[#This Row],[دائن]]</f>
        <v>1694619.23</v>
      </c>
      <c r="L267" s="62"/>
    </row>
    <row r="268" spans="1:12" s="58" customFormat="1" ht="23.25" customHeight="1">
      <c r="A268" s="70" t="s">
        <v>570</v>
      </c>
      <c r="B268" s="70" t="s">
        <v>571</v>
      </c>
      <c r="C268" s="641" t="s">
        <v>2086</v>
      </c>
      <c r="D268" s="685" t="s">
        <v>572</v>
      </c>
      <c r="E268" s="72" t="s">
        <v>171</v>
      </c>
      <c r="F268" s="72" t="s">
        <v>69</v>
      </c>
      <c r="G268" s="72" t="s">
        <v>64</v>
      </c>
      <c r="H268" s="801" t="s">
        <v>1913</v>
      </c>
      <c r="I268" s="674"/>
      <c r="J268" s="657">
        <v>3300</v>
      </c>
      <c r="K268" s="800">
        <f>K267-Table13[[#This Row],[مدين]]+Table13[[#This Row],[دائن]]</f>
        <v>1697919.23</v>
      </c>
      <c r="L268" s="62"/>
    </row>
    <row r="269" spans="1:12" s="58" customFormat="1" ht="23.25" customHeight="1">
      <c r="A269" s="70" t="s">
        <v>570</v>
      </c>
      <c r="B269" s="70" t="s">
        <v>573</v>
      </c>
      <c r="C269" s="641" t="s">
        <v>2086</v>
      </c>
      <c r="D269" s="685" t="s">
        <v>572</v>
      </c>
      <c r="E269" s="72" t="s">
        <v>171</v>
      </c>
      <c r="F269" s="72" t="s">
        <v>69</v>
      </c>
      <c r="G269" s="72" t="s">
        <v>64</v>
      </c>
      <c r="H269" s="801" t="s">
        <v>1913</v>
      </c>
      <c r="I269" s="674"/>
      <c r="J269" s="657">
        <v>150</v>
      </c>
      <c r="K269" s="800">
        <f>K268-Table13[[#This Row],[مدين]]+Table13[[#This Row],[دائن]]</f>
        <v>1698069.23</v>
      </c>
      <c r="L269" s="62"/>
    </row>
    <row r="270" spans="1:12" s="58" customFormat="1" ht="23.25" customHeight="1">
      <c r="A270" s="70" t="s">
        <v>570</v>
      </c>
      <c r="B270" s="70" t="s">
        <v>574</v>
      </c>
      <c r="C270" s="641" t="s">
        <v>2086</v>
      </c>
      <c r="D270" s="685" t="s">
        <v>572</v>
      </c>
      <c r="E270" s="72" t="s">
        <v>171</v>
      </c>
      <c r="F270" s="72" t="s">
        <v>69</v>
      </c>
      <c r="G270" s="72" t="s">
        <v>64</v>
      </c>
      <c r="H270" s="801" t="s">
        <v>1913</v>
      </c>
      <c r="I270" s="674"/>
      <c r="J270" s="657">
        <v>1560</v>
      </c>
      <c r="K270" s="800">
        <f>K269-Table13[[#This Row],[مدين]]+Table13[[#This Row],[دائن]]</f>
        <v>1699629.23</v>
      </c>
      <c r="L270" s="62"/>
    </row>
    <row r="271" spans="1:12" s="58" customFormat="1" ht="23.25" customHeight="1">
      <c r="A271" s="70" t="s">
        <v>575</v>
      </c>
      <c r="B271" s="70" t="s">
        <v>576</v>
      </c>
      <c r="C271" s="71" t="s">
        <v>2105</v>
      </c>
      <c r="D271" s="685" t="s">
        <v>2160</v>
      </c>
      <c r="E271" s="801" t="s">
        <v>171</v>
      </c>
      <c r="F271" s="801" t="s">
        <v>196</v>
      </c>
      <c r="G271" s="72" t="s">
        <v>64</v>
      </c>
      <c r="H271" s="801" t="s">
        <v>1913</v>
      </c>
      <c r="I271" s="674"/>
      <c r="J271" s="657">
        <v>2246</v>
      </c>
      <c r="K271" s="800">
        <f>K270-Table13[[#This Row],[مدين]]+Table13[[#This Row],[دائن]]</f>
        <v>1701875.23</v>
      </c>
      <c r="L271" s="62"/>
    </row>
    <row r="272" spans="1:12" s="58" customFormat="1" ht="23.25" customHeight="1">
      <c r="A272" s="70" t="s">
        <v>577</v>
      </c>
      <c r="B272" s="70" t="s">
        <v>578</v>
      </c>
      <c r="C272" s="71" t="s">
        <v>2105</v>
      </c>
      <c r="D272" s="685" t="s">
        <v>2161</v>
      </c>
      <c r="E272" s="72" t="s">
        <v>171</v>
      </c>
      <c r="F272" s="72" t="s">
        <v>196</v>
      </c>
      <c r="G272" s="72" t="s">
        <v>113</v>
      </c>
      <c r="H272" s="801" t="s">
        <v>1913</v>
      </c>
      <c r="I272" s="674"/>
      <c r="J272" s="657">
        <v>787.5</v>
      </c>
      <c r="K272" s="800">
        <f>K271-Table13[[#This Row],[مدين]]+Table13[[#This Row],[دائن]]</f>
        <v>1702662.73</v>
      </c>
      <c r="L272" s="62"/>
    </row>
    <row r="273" spans="1:12" s="58" customFormat="1" ht="23.25" customHeight="1">
      <c r="A273" s="70" t="s">
        <v>577</v>
      </c>
      <c r="B273" s="70" t="s">
        <v>579</v>
      </c>
      <c r="C273" s="71" t="s">
        <v>2105</v>
      </c>
      <c r="D273" s="685" t="s">
        <v>2162</v>
      </c>
      <c r="E273" s="72" t="s">
        <v>171</v>
      </c>
      <c r="F273" s="72" t="s">
        <v>196</v>
      </c>
      <c r="G273" s="72" t="s">
        <v>1014</v>
      </c>
      <c r="H273" s="801" t="s">
        <v>1913</v>
      </c>
      <c r="I273" s="674"/>
      <c r="J273" s="657">
        <v>625</v>
      </c>
      <c r="K273" s="800">
        <f>K272-Table13[[#This Row],[مدين]]+Table13[[#This Row],[دائن]]</f>
        <v>1703287.73</v>
      </c>
      <c r="L273" s="62"/>
    </row>
    <row r="274" spans="1:12" s="58" customFormat="1" ht="23.25" customHeight="1">
      <c r="A274" s="70" t="s">
        <v>577</v>
      </c>
      <c r="B274" s="70" t="s">
        <v>580</v>
      </c>
      <c r="C274" s="71" t="s">
        <v>2105</v>
      </c>
      <c r="D274" s="685" t="s">
        <v>2163</v>
      </c>
      <c r="E274" s="72" t="s">
        <v>171</v>
      </c>
      <c r="F274" s="72" t="s">
        <v>196</v>
      </c>
      <c r="G274" s="72" t="s">
        <v>64</v>
      </c>
      <c r="H274" s="801" t="s">
        <v>1913</v>
      </c>
      <c r="I274" s="674"/>
      <c r="J274" s="657">
        <v>128.33000000000001</v>
      </c>
      <c r="K274" s="800">
        <f>K273-Table13[[#This Row],[مدين]]+Table13[[#This Row],[دائن]]</f>
        <v>1703416.06</v>
      </c>
      <c r="L274" s="62"/>
    </row>
    <row r="275" spans="1:12" s="58" customFormat="1" ht="23.25" customHeight="1">
      <c r="A275" s="70" t="s">
        <v>577</v>
      </c>
      <c r="B275" s="70" t="s">
        <v>581</v>
      </c>
      <c r="C275" s="71" t="s">
        <v>2200</v>
      </c>
      <c r="D275" s="685" t="s">
        <v>582</v>
      </c>
      <c r="E275" s="72" t="s">
        <v>1667</v>
      </c>
      <c r="F275" s="72" t="s">
        <v>1533</v>
      </c>
      <c r="G275" s="72"/>
      <c r="H275" s="801" t="s">
        <v>1913</v>
      </c>
      <c r="I275" s="802">
        <v>16500</v>
      </c>
      <c r="J275" s="802"/>
      <c r="K275" s="800">
        <f>K274-Table13[[#This Row],[مدين]]+Table13[[#This Row],[دائن]]</f>
        <v>1686916.06</v>
      </c>
      <c r="L275" s="62"/>
    </row>
    <row r="276" spans="1:12" s="58" customFormat="1" ht="23.25" customHeight="1">
      <c r="A276" s="70" t="s">
        <v>577</v>
      </c>
      <c r="B276" s="70" t="s">
        <v>583</v>
      </c>
      <c r="C276" s="71" t="s">
        <v>2105</v>
      </c>
      <c r="D276" s="685">
        <v>87507</v>
      </c>
      <c r="E276" s="72" t="s">
        <v>1655</v>
      </c>
      <c r="F276" s="72" t="s">
        <v>2072</v>
      </c>
      <c r="G276" s="72" t="s">
        <v>2073</v>
      </c>
      <c r="H276" s="801" t="s">
        <v>1913</v>
      </c>
      <c r="I276" s="674"/>
      <c r="J276" s="657">
        <v>380.5</v>
      </c>
      <c r="K276" s="800">
        <f>K275-Table13[[#This Row],[مدين]]+Table13[[#This Row],[دائن]]</f>
        <v>1687296.56</v>
      </c>
      <c r="L276" s="62"/>
    </row>
    <row r="277" spans="1:12" s="58" customFormat="1" ht="23.25" customHeight="1">
      <c r="A277" s="70" t="s">
        <v>584</v>
      </c>
      <c r="B277" s="70" t="s">
        <v>585</v>
      </c>
      <c r="C277" s="71" t="s">
        <v>2105</v>
      </c>
      <c r="D277" s="685" t="s">
        <v>586</v>
      </c>
      <c r="E277" s="72" t="s">
        <v>1655</v>
      </c>
      <c r="F277" s="72" t="s">
        <v>1699</v>
      </c>
      <c r="G277" s="72" t="s">
        <v>996</v>
      </c>
      <c r="H277" s="801" t="s">
        <v>1913</v>
      </c>
      <c r="I277" s="674"/>
      <c r="J277" s="657">
        <v>350</v>
      </c>
      <c r="K277" s="800">
        <f>K276-Table13[[#This Row],[مدين]]+Table13[[#This Row],[دائن]]</f>
        <v>1687646.56</v>
      </c>
      <c r="L277" s="62"/>
    </row>
    <row r="278" spans="1:12" s="58" customFormat="1" ht="23.25" customHeight="1">
      <c r="A278" s="70" t="s">
        <v>584</v>
      </c>
      <c r="B278" s="70" t="s">
        <v>587</v>
      </c>
      <c r="C278" s="641" t="s">
        <v>2086</v>
      </c>
      <c r="D278" s="685" t="s">
        <v>419</v>
      </c>
      <c r="E278" s="72" t="s">
        <v>171</v>
      </c>
      <c r="F278" s="72" t="s">
        <v>69</v>
      </c>
      <c r="G278" s="72" t="s">
        <v>113</v>
      </c>
      <c r="H278" s="801" t="s">
        <v>1913</v>
      </c>
      <c r="I278" s="674"/>
      <c r="J278" s="657">
        <v>921</v>
      </c>
      <c r="K278" s="800">
        <f>K277-Table13[[#This Row],[مدين]]+Table13[[#This Row],[دائن]]</f>
        <v>1688567.56</v>
      </c>
      <c r="L278" s="62"/>
    </row>
    <row r="279" spans="1:12" s="58" customFormat="1" ht="23.25" customHeight="1">
      <c r="A279" s="70" t="s">
        <v>588</v>
      </c>
      <c r="B279" s="70" t="s">
        <v>589</v>
      </c>
      <c r="C279" s="641" t="s">
        <v>2086</v>
      </c>
      <c r="D279" s="685" t="s">
        <v>419</v>
      </c>
      <c r="E279" s="72" t="s">
        <v>171</v>
      </c>
      <c r="F279" s="72" t="s">
        <v>69</v>
      </c>
      <c r="G279" s="72" t="s">
        <v>113</v>
      </c>
      <c r="H279" s="801" t="s">
        <v>1913</v>
      </c>
      <c r="I279" s="674"/>
      <c r="J279" s="657">
        <v>776.59</v>
      </c>
      <c r="K279" s="800">
        <f>K278-Table13[[#This Row],[مدين]]+Table13[[#This Row],[دائن]]</f>
        <v>1689344.1500000001</v>
      </c>
      <c r="L279" s="62"/>
    </row>
    <row r="280" spans="1:12" s="58" customFormat="1" ht="23.25" customHeight="1">
      <c r="A280" s="70" t="s">
        <v>590</v>
      </c>
      <c r="B280" s="70" t="s">
        <v>591</v>
      </c>
      <c r="C280" s="641" t="s">
        <v>1669</v>
      </c>
      <c r="D280" s="685" t="s">
        <v>592</v>
      </c>
      <c r="E280" s="72" t="s">
        <v>1667</v>
      </c>
      <c r="F280" s="72" t="s">
        <v>168</v>
      </c>
      <c r="G280" s="72"/>
      <c r="H280" s="801" t="s">
        <v>1913</v>
      </c>
      <c r="I280" s="802">
        <v>128368</v>
      </c>
      <c r="J280" s="802"/>
      <c r="K280" s="804">
        <f>K279-Table13[[#This Row],[مدين]]+Table13[[#This Row],[دائن]]</f>
        <v>1560976.1500000001</v>
      </c>
      <c r="L280" s="62"/>
    </row>
    <row r="281" spans="1:12" s="58" customFormat="1" ht="23.25" customHeight="1">
      <c r="A281" s="70" t="s">
        <v>590</v>
      </c>
      <c r="B281" s="70" t="s">
        <v>593</v>
      </c>
      <c r="C281" s="71" t="s">
        <v>2086</v>
      </c>
      <c r="D281" s="685" t="s">
        <v>205</v>
      </c>
      <c r="E281" s="72" t="s">
        <v>1655</v>
      </c>
      <c r="F281" s="72" t="s">
        <v>205</v>
      </c>
      <c r="G281" s="72"/>
      <c r="H281" s="801" t="s">
        <v>1913</v>
      </c>
      <c r="I281" s="674"/>
      <c r="J281" s="657">
        <v>396</v>
      </c>
      <c r="K281" s="800">
        <f>K280-Table13[[#This Row],[مدين]]+Table13[[#This Row],[دائن]]</f>
        <v>1561372.1500000001</v>
      </c>
      <c r="L281" s="62"/>
    </row>
    <row r="282" spans="1:12" s="58" customFormat="1" ht="23.25" customHeight="1">
      <c r="A282" s="70" t="s">
        <v>594</v>
      </c>
      <c r="B282" s="70" t="s">
        <v>595</v>
      </c>
      <c r="C282" s="71" t="s">
        <v>2105</v>
      </c>
      <c r="D282" s="685" t="s">
        <v>596</v>
      </c>
      <c r="E282" s="72" t="s">
        <v>1655</v>
      </c>
      <c r="F282" s="72" t="s">
        <v>1675</v>
      </c>
      <c r="G282" s="72" t="s">
        <v>990</v>
      </c>
      <c r="H282" s="801" t="s">
        <v>1913</v>
      </c>
      <c r="I282" s="674"/>
      <c r="J282" s="657">
        <v>300</v>
      </c>
      <c r="K282" s="800">
        <f>K281-Table13[[#This Row],[مدين]]+Table13[[#This Row],[دائن]]</f>
        <v>1561672.1500000001</v>
      </c>
      <c r="L282" s="62"/>
    </row>
    <row r="283" spans="1:12" s="69" customFormat="1" ht="29.25" customHeight="1">
      <c r="A283" s="580" t="s">
        <v>597</v>
      </c>
      <c r="B283" s="580" t="s">
        <v>598</v>
      </c>
      <c r="C283" s="66" t="s">
        <v>599</v>
      </c>
      <c r="D283" s="684" t="s">
        <v>600</v>
      </c>
      <c r="E283" s="72" t="s">
        <v>171</v>
      </c>
      <c r="F283" s="72" t="s">
        <v>196</v>
      </c>
      <c r="G283" s="67" t="s">
        <v>601</v>
      </c>
      <c r="H283" s="801" t="s">
        <v>1913</v>
      </c>
      <c r="I283" s="831"/>
      <c r="J283" s="671">
        <v>6000</v>
      </c>
      <c r="K283" s="804">
        <f>K282-Table13[[#This Row],[مدين]]+Table13[[#This Row],[دائن]]</f>
        <v>1567672.1500000001</v>
      </c>
      <c r="L283" s="68"/>
    </row>
    <row r="284" spans="1:12" s="69" customFormat="1" ht="29.25" customHeight="1">
      <c r="A284" s="580" t="s">
        <v>597</v>
      </c>
      <c r="B284" s="580" t="s">
        <v>602</v>
      </c>
      <c r="C284" s="66" t="s">
        <v>599</v>
      </c>
      <c r="D284" s="684" t="s">
        <v>603</v>
      </c>
      <c r="E284" s="72" t="s">
        <v>171</v>
      </c>
      <c r="F284" s="72" t="s">
        <v>196</v>
      </c>
      <c r="G284" s="67" t="s">
        <v>601</v>
      </c>
      <c r="H284" s="801" t="s">
        <v>1913</v>
      </c>
      <c r="I284" s="831"/>
      <c r="J284" s="671">
        <v>7300</v>
      </c>
      <c r="K284" s="804">
        <f>K283-Table13[[#This Row],[مدين]]+Table13[[#This Row],[دائن]]</f>
        <v>1574972.1500000001</v>
      </c>
      <c r="L284" s="68"/>
    </row>
    <row r="285" spans="1:12" s="69" customFormat="1" ht="29.25" customHeight="1">
      <c r="A285" s="580" t="s">
        <v>597</v>
      </c>
      <c r="B285" s="580" t="s">
        <v>602</v>
      </c>
      <c r="C285" s="66" t="s">
        <v>599</v>
      </c>
      <c r="D285" s="684" t="s">
        <v>603</v>
      </c>
      <c r="E285" s="72" t="s">
        <v>171</v>
      </c>
      <c r="F285" s="72" t="s">
        <v>196</v>
      </c>
      <c r="G285" s="67" t="s">
        <v>601</v>
      </c>
      <c r="H285" s="801" t="s">
        <v>1913</v>
      </c>
      <c r="I285" s="831"/>
      <c r="J285" s="671">
        <v>7225</v>
      </c>
      <c r="K285" s="804">
        <f>K284-Table13[[#This Row],[مدين]]+Table13[[#This Row],[دائن]]</f>
        <v>1582197.1500000001</v>
      </c>
      <c r="L285" s="68"/>
    </row>
    <row r="286" spans="1:12" s="69" customFormat="1" ht="29.25" customHeight="1">
      <c r="A286" s="580" t="s">
        <v>597</v>
      </c>
      <c r="B286" s="580" t="s">
        <v>602</v>
      </c>
      <c r="C286" s="66" t="s">
        <v>599</v>
      </c>
      <c r="D286" s="684" t="s">
        <v>603</v>
      </c>
      <c r="E286" s="72" t="s">
        <v>171</v>
      </c>
      <c r="F286" s="72" t="s">
        <v>196</v>
      </c>
      <c r="G286" s="67" t="s">
        <v>601</v>
      </c>
      <c r="H286" s="801" t="s">
        <v>1913</v>
      </c>
      <c r="I286" s="831"/>
      <c r="J286" s="671">
        <v>2993.75</v>
      </c>
      <c r="K286" s="804">
        <f>K285-Table13[[#This Row],[مدين]]+Table13[[#This Row],[دائن]]</f>
        <v>1585190.9000000001</v>
      </c>
      <c r="L286" s="68"/>
    </row>
    <row r="287" spans="1:12" s="69" customFormat="1" ht="29.25" customHeight="1">
      <c r="A287" s="580" t="s">
        <v>597</v>
      </c>
      <c r="B287" s="580" t="s">
        <v>602</v>
      </c>
      <c r="C287" s="66" t="s">
        <v>599</v>
      </c>
      <c r="D287" s="684" t="s">
        <v>603</v>
      </c>
      <c r="E287" s="72" t="s">
        <v>171</v>
      </c>
      <c r="F287" s="72" t="s">
        <v>196</v>
      </c>
      <c r="G287" s="67" t="s">
        <v>601</v>
      </c>
      <c r="H287" s="801" t="s">
        <v>1913</v>
      </c>
      <c r="I287" s="831"/>
      <c r="J287" s="671">
        <v>4917.5</v>
      </c>
      <c r="K287" s="804">
        <f>K286-Table13[[#This Row],[مدين]]+Table13[[#This Row],[دائن]]</f>
        <v>1590108.4000000001</v>
      </c>
      <c r="L287" s="68"/>
    </row>
    <row r="288" spans="1:12" s="69" customFormat="1" ht="29.25" customHeight="1">
      <c r="A288" s="580" t="s">
        <v>597</v>
      </c>
      <c r="B288" s="580" t="s">
        <v>602</v>
      </c>
      <c r="C288" s="66" t="s">
        <v>599</v>
      </c>
      <c r="D288" s="684" t="s">
        <v>603</v>
      </c>
      <c r="E288" s="72" t="s">
        <v>171</v>
      </c>
      <c r="F288" s="72" t="s">
        <v>196</v>
      </c>
      <c r="G288" s="67" t="s">
        <v>601</v>
      </c>
      <c r="H288" s="801" t="s">
        <v>1913</v>
      </c>
      <c r="I288" s="831"/>
      <c r="J288" s="671">
        <v>6575</v>
      </c>
      <c r="K288" s="804">
        <f>K287-Table13[[#This Row],[مدين]]+Table13[[#This Row],[دائن]]</f>
        <v>1596683.4000000001</v>
      </c>
      <c r="L288" s="68"/>
    </row>
    <row r="289" spans="1:12" s="69" customFormat="1" ht="29.25" customHeight="1">
      <c r="A289" s="580" t="s">
        <v>597</v>
      </c>
      <c r="B289" s="580" t="s">
        <v>602</v>
      </c>
      <c r="C289" s="66" t="s">
        <v>599</v>
      </c>
      <c r="D289" s="684" t="s">
        <v>603</v>
      </c>
      <c r="E289" s="72" t="s">
        <v>171</v>
      </c>
      <c r="F289" s="72" t="s">
        <v>196</v>
      </c>
      <c r="G289" s="67" t="s">
        <v>601</v>
      </c>
      <c r="H289" s="801" t="s">
        <v>1913</v>
      </c>
      <c r="I289" s="831"/>
      <c r="J289" s="671">
        <v>1250</v>
      </c>
      <c r="K289" s="804">
        <f>K288-Table13[[#This Row],[مدين]]+Table13[[#This Row],[دائن]]</f>
        <v>1597933.4000000001</v>
      </c>
      <c r="L289" s="68"/>
    </row>
    <row r="290" spans="1:12" s="69" customFormat="1" ht="29.25" customHeight="1">
      <c r="A290" s="580" t="s">
        <v>597</v>
      </c>
      <c r="B290" s="580" t="s">
        <v>602</v>
      </c>
      <c r="C290" s="66" t="s">
        <v>599</v>
      </c>
      <c r="D290" s="684" t="s">
        <v>603</v>
      </c>
      <c r="E290" s="72" t="s">
        <v>171</v>
      </c>
      <c r="F290" s="72" t="s">
        <v>196</v>
      </c>
      <c r="G290" s="67" t="s">
        <v>601</v>
      </c>
      <c r="H290" s="801" t="s">
        <v>1913</v>
      </c>
      <c r="I290" s="831"/>
      <c r="J290" s="671">
        <v>15836.67</v>
      </c>
      <c r="K290" s="804">
        <f>K289-Table13[[#This Row],[مدين]]+Table13[[#This Row],[دائن]]</f>
        <v>1613770.07</v>
      </c>
      <c r="L290" s="68"/>
    </row>
    <row r="291" spans="1:12" s="69" customFormat="1" ht="29.25" customHeight="1">
      <c r="A291" s="580" t="s">
        <v>597</v>
      </c>
      <c r="B291" s="580" t="s">
        <v>602</v>
      </c>
      <c r="C291" s="66" t="s">
        <v>599</v>
      </c>
      <c r="D291" s="684" t="s">
        <v>603</v>
      </c>
      <c r="E291" s="72" t="s">
        <v>171</v>
      </c>
      <c r="F291" s="72" t="s">
        <v>196</v>
      </c>
      <c r="G291" s="67" t="s">
        <v>601</v>
      </c>
      <c r="H291" s="801" t="s">
        <v>1913</v>
      </c>
      <c r="I291" s="831"/>
      <c r="J291" s="671">
        <v>11425</v>
      </c>
      <c r="K291" s="804">
        <f>K290-Table13[[#This Row],[مدين]]+Table13[[#This Row],[دائن]]</f>
        <v>1625195.07</v>
      </c>
      <c r="L291" s="68"/>
    </row>
    <row r="292" spans="1:12" s="69" customFormat="1" ht="29.25" customHeight="1">
      <c r="A292" s="580" t="s">
        <v>597</v>
      </c>
      <c r="B292" s="580" t="s">
        <v>602</v>
      </c>
      <c r="C292" s="66" t="s">
        <v>599</v>
      </c>
      <c r="D292" s="684" t="s">
        <v>603</v>
      </c>
      <c r="E292" s="72" t="s">
        <v>171</v>
      </c>
      <c r="F292" s="72" t="s">
        <v>196</v>
      </c>
      <c r="G292" s="67" t="s">
        <v>601</v>
      </c>
      <c r="H292" s="801" t="s">
        <v>1913</v>
      </c>
      <c r="I292" s="831"/>
      <c r="J292" s="671">
        <v>85397.8</v>
      </c>
      <c r="K292" s="804">
        <f>K291-Table13[[#This Row],[مدين]]+Table13[[#This Row],[دائن]]</f>
        <v>1710592.87</v>
      </c>
      <c r="L292" s="68"/>
    </row>
    <row r="293" spans="1:12" s="58" customFormat="1" ht="23.25" customHeight="1">
      <c r="A293" s="70" t="s">
        <v>597</v>
      </c>
      <c r="B293" s="70" t="s">
        <v>604</v>
      </c>
      <c r="C293" s="71" t="s">
        <v>2086</v>
      </c>
      <c r="D293" s="685" t="s">
        <v>229</v>
      </c>
      <c r="E293" s="72" t="s">
        <v>171</v>
      </c>
      <c r="F293" s="72" t="s">
        <v>181</v>
      </c>
      <c r="G293" s="72" t="s">
        <v>1676</v>
      </c>
      <c r="H293" s="801" t="s">
        <v>1913</v>
      </c>
      <c r="I293" s="674"/>
      <c r="J293" s="657">
        <v>34243</v>
      </c>
      <c r="K293" s="800">
        <f>K292-Table13[[#This Row],[مدين]]+Table13[[#This Row],[دائن]]</f>
        <v>1744835.87</v>
      </c>
      <c r="L293" s="62"/>
    </row>
    <row r="294" spans="1:12" s="58" customFormat="1" ht="23.25" customHeight="1">
      <c r="A294" s="70" t="s">
        <v>597</v>
      </c>
      <c r="B294" s="70" t="s">
        <v>605</v>
      </c>
      <c r="C294" s="71" t="s">
        <v>2086</v>
      </c>
      <c r="D294" s="685" t="s">
        <v>231</v>
      </c>
      <c r="E294" s="72" t="s">
        <v>171</v>
      </c>
      <c r="F294" s="72" t="s">
        <v>181</v>
      </c>
      <c r="G294" s="72" t="s">
        <v>1658</v>
      </c>
      <c r="H294" s="801" t="s">
        <v>1913</v>
      </c>
      <c r="I294" s="674"/>
      <c r="J294" s="657">
        <v>7889</v>
      </c>
      <c r="K294" s="800">
        <f>K293-Table13[[#This Row],[مدين]]+Table13[[#This Row],[دائن]]</f>
        <v>1752724.87</v>
      </c>
      <c r="L294" s="62"/>
    </row>
    <row r="295" spans="1:12" s="58" customFormat="1" ht="23.25" customHeight="1">
      <c r="A295" s="70" t="s">
        <v>597</v>
      </c>
      <c r="B295" s="70" t="s">
        <v>606</v>
      </c>
      <c r="C295" s="71" t="s">
        <v>2086</v>
      </c>
      <c r="D295" s="685" t="s">
        <v>227</v>
      </c>
      <c r="E295" s="72" t="s">
        <v>171</v>
      </c>
      <c r="F295" s="72" t="s">
        <v>181</v>
      </c>
      <c r="G295" s="72" t="s">
        <v>1657</v>
      </c>
      <c r="H295" s="801" t="s">
        <v>1913</v>
      </c>
      <c r="I295" s="674"/>
      <c r="J295" s="657">
        <v>6961</v>
      </c>
      <c r="K295" s="800">
        <f>K294-Table13[[#This Row],[مدين]]+Table13[[#This Row],[دائن]]</f>
        <v>1759685.87</v>
      </c>
      <c r="L295" s="62"/>
    </row>
    <row r="296" spans="1:12" s="58" customFormat="1" ht="23.25" customHeight="1">
      <c r="A296" s="70" t="s">
        <v>597</v>
      </c>
      <c r="B296" s="70" t="s">
        <v>607</v>
      </c>
      <c r="C296" s="71" t="s">
        <v>2102</v>
      </c>
      <c r="D296" s="685" t="s">
        <v>233</v>
      </c>
      <c r="E296" s="72" t="s">
        <v>171</v>
      </c>
      <c r="F296" s="72" t="s">
        <v>1677</v>
      </c>
      <c r="G296" s="72"/>
      <c r="H296" s="801" t="s">
        <v>1913</v>
      </c>
      <c r="I296" s="674"/>
      <c r="J296" s="657">
        <v>45</v>
      </c>
      <c r="K296" s="800">
        <f>K295-Table13[[#This Row],[مدين]]+Table13[[#This Row],[دائن]]</f>
        <v>1759730.87</v>
      </c>
      <c r="L296" s="62"/>
    </row>
    <row r="297" spans="1:12" s="58" customFormat="1" ht="23.25" customHeight="1">
      <c r="A297" s="70" t="s">
        <v>597</v>
      </c>
      <c r="B297" s="70" t="s">
        <v>608</v>
      </c>
      <c r="C297" s="641" t="s">
        <v>1663</v>
      </c>
      <c r="D297" s="685" t="s">
        <v>609</v>
      </c>
      <c r="E297" s="72" t="s">
        <v>1667</v>
      </c>
      <c r="F297" s="72" t="s">
        <v>168</v>
      </c>
      <c r="G297" s="72" t="s">
        <v>1668</v>
      </c>
      <c r="H297" s="801" t="s">
        <v>1913</v>
      </c>
      <c r="I297" s="802">
        <v>123197</v>
      </c>
      <c r="J297" s="802"/>
      <c r="K297" s="804">
        <f>K296-Table13[[#This Row],[مدين]]+Table13[[#This Row],[دائن]]</f>
        <v>1636533.87</v>
      </c>
      <c r="L297" s="62"/>
    </row>
    <row r="298" spans="1:12" s="58" customFormat="1" ht="23.25" customHeight="1" thickBot="1">
      <c r="A298" s="70" t="s">
        <v>597</v>
      </c>
      <c r="B298" s="70" t="s">
        <v>610</v>
      </c>
      <c r="C298" s="71" t="s">
        <v>2199</v>
      </c>
      <c r="D298" s="685" t="s">
        <v>611</v>
      </c>
      <c r="E298" s="72" t="s">
        <v>1694</v>
      </c>
      <c r="F298" s="72" t="s">
        <v>1698</v>
      </c>
      <c r="G298" s="72"/>
      <c r="H298" s="801" t="s">
        <v>1913</v>
      </c>
      <c r="I298" s="674">
        <v>60000</v>
      </c>
      <c r="J298" s="657"/>
      <c r="K298" s="800">
        <f>K297-Table13[[#This Row],[مدين]]+Table13[[#This Row],[دائن]]</f>
        <v>1576533.87</v>
      </c>
      <c r="L298" s="62"/>
    </row>
    <row r="299" spans="1:12" s="58" customFormat="1" ht="23.25" customHeight="1">
      <c r="A299" s="77" t="s">
        <v>597</v>
      </c>
      <c r="B299" s="77" t="s">
        <v>612</v>
      </c>
      <c r="C299" s="832" t="s">
        <v>1927</v>
      </c>
      <c r="D299" s="686" t="s">
        <v>613</v>
      </c>
      <c r="E299" s="72" t="s">
        <v>1667</v>
      </c>
      <c r="F299" s="72" t="s">
        <v>168</v>
      </c>
      <c r="G299" s="72" t="s">
        <v>1678</v>
      </c>
      <c r="H299" s="801" t="s">
        <v>1913</v>
      </c>
      <c r="I299" s="802">
        <v>102050</v>
      </c>
      <c r="J299" s="837"/>
      <c r="K299" s="804">
        <f>K298-Table13[[#This Row],[مدين]]+Table13[[#This Row],[دائن]]</f>
        <v>1474483.87</v>
      </c>
      <c r="L299" s="62"/>
    </row>
    <row r="300" spans="1:12" s="58" customFormat="1" ht="23.25" customHeight="1">
      <c r="A300" s="70" t="s">
        <v>597</v>
      </c>
      <c r="B300" s="70" t="s">
        <v>614</v>
      </c>
      <c r="C300" s="641" t="s">
        <v>1927</v>
      </c>
      <c r="D300" s="685" t="s">
        <v>615</v>
      </c>
      <c r="E300" s="72" t="s">
        <v>1667</v>
      </c>
      <c r="F300" s="72" t="s">
        <v>168</v>
      </c>
      <c r="G300" s="72" t="s">
        <v>1679</v>
      </c>
      <c r="H300" s="801" t="s">
        <v>1913</v>
      </c>
      <c r="I300" s="674"/>
      <c r="J300" s="709">
        <v>22298</v>
      </c>
      <c r="K300" s="804">
        <f>K299-Table13[[#This Row],[مدين]]+Table13[[#This Row],[دائن]]</f>
        <v>1496781.87</v>
      </c>
      <c r="L300" s="62"/>
    </row>
    <row r="301" spans="1:12" s="58" customFormat="1" ht="23.25" customHeight="1">
      <c r="A301" s="70" t="s">
        <v>616</v>
      </c>
      <c r="B301" s="70" t="s">
        <v>617</v>
      </c>
      <c r="C301" s="71" t="s">
        <v>2102</v>
      </c>
      <c r="D301" s="685" t="s">
        <v>618</v>
      </c>
      <c r="E301" s="72" t="s">
        <v>171</v>
      </c>
      <c r="F301" s="72" t="s">
        <v>1683</v>
      </c>
      <c r="G301" s="72" t="s">
        <v>1684</v>
      </c>
      <c r="H301" s="801" t="s">
        <v>1913</v>
      </c>
      <c r="I301" s="674"/>
      <c r="J301" s="657">
        <v>2709</v>
      </c>
      <c r="K301" s="800">
        <f>K300-Table13[[#This Row],[مدين]]+Table13[[#This Row],[دائن]]</f>
        <v>1499490.87</v>
      </c>
      <c r="L301" s="62"/>
    </row>
    <row r="302" spans="1:12" s="58" customFormat="1" ht="23.25" customHeight="1">
      <c r="A302" s="70" t="s">
        <v>619</v>
      </c>
      <c r="B302" s="70" t="s">
        <v>620</v>
      </c>
      <c r="C302" s="71" t="s">
        <v>2105</v>
      </c>
      <c r="D302" s="685" t="s">
        <v>621</v>
      </c>
      <c r="E302" s="72" t="s">
        <v>171</v>
      </c>
      <c r="F302" s="72" t="s">
        <v>1675</v>
      </c>
      <c r="G302" s="72" t="s">
        <v>996</v>
      </c>
      <c r="H302" s="801" t="s">
        <v>1913</v>
      </c>
      <c r="I302" s="674"/>
      <c r="J302" s="657">
        <v>1804.93</v>
      </c>
      <c r="K302" s="800">
        <f>K301-Table13[[#This Row],[مدين]]+Table13[[#This Row],[دائن]]</f>
        <v>1501295.8</v>
      </c>
      <c r="L302" s="62"/>
    </row>
    <row r="303" spans="1:12" s="58" customFormat="1" ht="23.25" customHeight="1">
      <c r="A303" s="70" t="s">
        <v>622</v>
      </c>
      <c r="B303" s="70" t="s">
        <v>623</v>
      </c>
      <c r="C303" s="71" t="s">
        <v>2200</v>
      </c>
      <c r="D303" s="685" t="s">
        <v>624</v>
      </c>
      <c r="E303" s="72" t="s">
        <v>171</v>
      </c>
      <c r="F303" s="72" t="s">
        <v>196</v>
      </c>
      <c r="G303" s="72" t="s">
        <v>601</v>
      </c>
      <c r="H303" s="801" t="s">
        <v>1913</v>
      </c>
      <c r="I303" s="802">
        <v>6000</v>
      </c>
      <c r="J303" s="802"/>
      <c r="K303" s="800">
        <f>K302-Table13[[#This Row],[مدين]]+Table13[[#This Row],[دائن]]</f>
        <v>1495295.8</v>
      </c>
      <c r="L303" s="62"/>
    </row>
    <row r="304" spans="1:12" s="58" customFormat="1" ht="23.25" customHeight="1">
      <c r="A304" s="70" t="s">
        <v>622</v>
      </c>
      <c r="B304" s="70" t="s">
        <v>625</v>
      </c>
      <c r="C304" s="641" t="s">
        <v>2086</v>
      </c>
      <c r="D304" s="685" t="s">
        <v>626</v>
      </c>
      <c r="E304" s="72" t="s">
        <v>171</v>
      </c>
      <c r="F304" s="72" t="s">
        <v>69</v>
      </c>
      <c r="G304" s="72" t="s">
        <v>996</v>
      </c>
      <c r="H304" s="801" t="s">
        <v>1913</v>
      </c>
      <c r="I304" s="674"/>
      <c r="J304" s="657">
        <v>950</v>
      </c>
      <c r="K304" s="800">
        <f>K303-Table13[[#This Row],[مدين]]+Table13[[#This Row],[دائن]]</f>
        <v>1496245.8</v>
      </c>
      <c r="L304" s="62"/>
    </row>
    <row r="305" spans="1:12" s="58" customFormat="1" ht="23.25" customHeight="1">
      <c r="A305" s="70" t="s">
        <v>627</v>
      </c>
      <c r="B305" s="70" t="s">
        <v>628</v>
      </c>
      <c r="C305" s="71" t="s">
        <v>2105</v>
      </c>
      <c r="D305" s="685" t="s">
        <v>2164</v>
      </c>
      <c r="E305" s="72" t="s">
        <v>171</v>
      </c>
      <c r="F305" s="72" t="s">
        <v>196</v>
      </c>
      <c r="G305" s="72" t="s">
        <v>64</v>
      </c>
      <c r="H305" s="801" t="s">
        <v>1913</v>
      </c>
      <c r="I305" s="674"/>
      <c r="J305" s="657">
        <v>2800</v>
      </c>
      <c r="K305" s="800">
        <f>K304-Table13[[#This Row],[مدين]]+Table13[[#This Row],[دائن]]</f>
        <v>1499045.8</v>
      </c>
      <c r="L305" s="62"/>
    </row>
    <row r="306" spans="1:12" s="58" customFormat="1" ht="23.25" customHeight="1">
      <c r="A306" s="70" t="s">
        <v>627</v>
      </c>
      <c r="B306" s="70" t="s">
        <v>629</v>
      </c>
      <c r="C306" s="71" t="s">
        <v>2086</v>
      </c>
      <c r="D306" s="685" t="s">
        <v>630</v>
      </c>
      <c r="E306" s="72" t="s">
        <v>171</v>
      </c>
      <c r="F306" s="72" t="s">
        <v>181</v>
      </c>
      <c r="G306" s="72" t="s">
        <v>1657</v>
      </c>
      <c r="H306" s="801" t="s">
        <v>1913</v>
      </c>
      <c r="I306" s="674"/>
      <c r="J306" s="657">
        <v>15000</v>
      </c>
      <c r="K306" s="800">
        <f>K305-Table13[[#This Row],[مدين]]+Table13[[#This Row],[دائن]]</f>
        <v>1514045.8</v>
      </c>
      <c r="L306" s="62"/>
    </row>
    <row r="307" spans="1:12" s="58" customFormat="1" ht="23.25" customHeight="1">
      <c r="A307" s="70" t="s">
        <v>631</v>
      </c>
      <c r="B307" s="70" t="s">
        <v>632</v>
      </c>
      <c r="C307" s="71" t="s">
        <v>2102</v>
      </c>
      <c r="D307" s="685" t="s">
        <v>2165</v>
      </c>
      <c r="E307" s="811" t="s">
        <v>1655</v>
      </c>
      <c r="F307" s="811" t="s">
        <v>205</v>
      </c>
      <c r="G307" s="811" t="s">
        <v>2082</v>
      </c>
      <c r="H307" s="811" t="s">
        <v>1913</v>
      </c>
      <c r="I307" s="674"/>
      <c r="J307" s="657">
        <v>734</v>
      </c>
      <c r="K307" s="800">
        <f>K306-Table13[[#This Row],[مدين]]+Table13[[#This Row],[دائن]]</f>
        <v>1514779.8</v>
      </c>
      <c r="L307" s="62"/>
    </row>
    <row r="308" spans="1:12" s="58" customFormat="1" ht="23.25" customHeight="1">
      <c r="A308" s="70" t="s">
        <v>633</v>
      </c>
      <c r="B308" s="70" t="s">
        <v>634</v>
      </c>
      <c r="C308" s="71" t="s">
        <v>2086</v>
      </c>
      <c r="D308" s="685" t="s">
        <v>635</v>
      </c>
      <c r="E308" s="72" t="s">
        <v>171</v>
      </c>
      <c r="F308" s="72" t="s">
        <v>170</v>
      </c>
      <c r="G308" s="801" t="s">
        <v>1913</v>
      </c>
      <c r="H308" s="801" t="s">
        <v>1913</v>
      </c>
      <c r="I308" s="674"/>
      <c r="J308" s="657">
        <v>1400</v>
      </c>
      <c r="K308" s="800">
        <f>K307-Table13[[#This Row],[مدين]]+Table13[[#This Row],[دائن]]</f>
        <v>1516179.8</v>
      </c>
      <c r="L308" s="62"/>
    </row>
    <row r="309" spans="1:12" s="58" customFormat="1" ht="23.25" customHeight="1">
      <c r="A309" s="70" t="s">
        <v>633</v>
      </c>
      <c r="B309" s="70" t="s">
        <v>636</v>
      </c>
      <c r="C309" s="71" t="s">
        <v>2105</v>
      </c>
      <c r="D309" s="685" t="s">
        <v>637</v>
      </c>
      <c r="E309" s="72" t="s">
        <v>1655</v>
      </c>
      <c r="F309" s="72" t="s">
        <v>2078</v>
      </c>
      <c r="G309" s="72" t="s">
        <v>64</v>
      </c>
      <c r="H309" s="801" t="s">
        <v>1913</v>
      </c>
      <c r="I309" s="674"/>
      <c r="J309" s="657">
        <v>176</v>
      </c>
      <c r="K309" s="800">
        <f>K308-Table13[[#This Row],[مدين]]+Table13[[#This Row],[دائن]]</f>
        <v>1516355.8</v>
      </c>
      <c r="L309" s="62"/>
    </row>
    <row r="310" spans="1:12" s="58" customFormat="1" ht="23.25" customHeight="1">
      <c r="A310" s="70" t="s">
        <v>633</v>
      </c>
      <c r="B310" s="70" t="s">
        <v>638</v>
      </c>
      <c r="C310" s="71" t="s">
        <v>2102</v>
      </c>
      <c r="D310" s="685" t="s">
        <v>186</v>
      </c>
      <c r="E310" s="72" t="s">
        <v>1655</v>
      </c>
      <c r="F310" s="72" t="s">
        <v>186</v>
      </c>
      <c r="G310" s="72"/>
      <c r="H310" s="801" t="s">
        <v>1913</v>
      </c>
      <c r="I310" s="674"/>
      <c r="J310" s="657">
        <v>100</v>
      </c>
      <c r="K310" s="800">
        <f>K309-Table13[[#This Row],[مدين]]+Table13[[#This Row],[دائن]]</f>
        <v>1516455.8</v>
      </c>
      <c r="L310" s="62"/>
    </row>
    <row r="311" spans="1:12" s="58" customFormat="1" ht="23.25" customHeight="1">
      <c r="A311" s="70" t="s">
        <v>639</v>
      </c>
      <c r="B311" s="70" t="s">
        <v>640</v>
      </c>
      <c r="C311" s="641" t="s">
        <v>2086</v>
      </c>
      <c r="D311" s="685" t="s">
        <v>641</v>
      </c>
      <c r="E311" s="72" t="s">
        <v>171</v>
      </c>
      <c r="F311" s="72" t="s">
        <v>69</v>
      </c>
      <c r="G311" s="72" t="s">
        <v>113</v>
      </c>
      <c r="H311" s="801" t="s">
        <v>1913</v>
      </c>
      <c r="I311" s="674"/>
      <c r="J311" s="657">
        <v>500.03</v>
      </c>
      <c r="K311" s="800">
        <f>K310-Table13[[#This Row],[مدين]]+Table13[[#This Row],[دائن]]</f>
        <v>1516955.83</v>
      </c>
      <c r="L311" s="62"/>
    </row>
    <row r="312" spans="1:12" s="58" customFormat="1" ht="23.25" customHeight="1">
      <c r="A312" s="70" t="s">
        <v>642</v>
      </c>
      <c r="B312" s="70" t="s">
        <v>643</v>
      </c>
      <c r="C312" s="71" t="s">
        <v>2200</v>
      </c>
      <c r="D312" s="685" t="s">
        <v>644</v>
      </c>
      <c r="E312" s="72" t="s">
        <v>171</v>
      </c>
      <c r="F312" s="72" t="s">
        <v>196</v>
      </c>
      <c r="G312" s="72" t="s">
        <v>667</v>
      </c>
      <c r="H312" s="801" t="s">
        <v>1913</v>
      </c>
      <c r="I312" s="802">
        <v>17520</v>
      </c>
      <c r="J312" s="802"/>
      <c r="K312" s="800">
        <f>K311-Table13[[#This Row],[مدين]]+Table13[[#This Row],[دائن]]</f>
        <v>1499435.83</v>
      </c>
      <c r="L312" s="62"/>
    </row>
    <row r="313" spans="1:12" s="58" customFormat="1" ht="23.25" customHeight="1">
      <c r="A313" s="70" t="s">
        <v>642</v>
      </c>
      <c r="B313" s="70" t="s">
        <v>645</v>
      </c>
      <c r="C313" s="641" t="s">
        <v>1670</v>
      </c>
      <c r="D313" s="685" t="s">
        <v>646</v>
      </c>
      <c r="E313" s="72" t="s">
        <v>1667</v>
      </c>
      <c r="F313" s="72" t="s">
        <v>168</v>
      </c>
      <c r="G313" s="72"/>
      <c r="H313" s="801" t="s">
        <v>1913</v>
      </c>
      <c r="I313" s="802">
        <v>128000</v>
      </c>
      <c r="J313" s="802"/>
      <c r="K313" s="804">
        <f>K312-Table13[[#This Row],[مدين]]+Table13[[#This Row],[دائن]]</f>
        <v>1371435.83</v>
      </c>
      <c r="L313" s="62"/>
    </row>
    <row r="314" spans="1:12" s="58" customFormat="1" ht="23.25" customHeight="1">
      <c r="A314" s="70" t="s">
        <v>642</v>
      </c>
      <c r="B314" s="70" t="s">
        <v>647</v>
      </c>
      <c r="C314" s="71" t="s">
        <v>2086</v>
      </c>
      <c r="D314" s="685" t="s">
        <v>205</v>
      </c>
      <c r="E314" s="72" t="s">
        <v>1655</v>
      </c>
      <c r="F314" s="72" t="s">
        <v>205</v>
      </c>
      <c r="G314" s="72"/>
      <c r="H314" s="801" t="s">
        <v>1913</v>
      </c>
      <c r="I314" s="674"/>
      <c r="J314" s="657">
        <v>412</v>
      </c>
      <c r="K314" s="800">
        <f>K313-Table13[[#This Row],[مدين]]+Table13[[#This Row],[دائن]]</f>
        <v>1371847.83</v>
      </c>
      <c r="L314" s="62"/>
    </row>
    <row r="315" spans="1:12" s="58" customFormat="1" ht="23.25" customHeight="1">
      <c r="A315" s="70" t="s">
        <v>648</v>
      </c>
      <c r="B315" s="70" t="s">
        <v>649</v>
      </c>
      <c r="C315" s="71" t="s">
        <v>2199</v>
      </c>
      <c r="D315" s="685" t="s">
        <v>2178</v>
      </c>
      <c r="E315" s="72" t="s">
        <v>176</v>
      </c>
      <c r="F315" s="72" t="s">
        <v>2109</v>
      </c>
      <c r="G315" s="72" t="s">
        <v>2180</v>
      </c>
      <c r="H315" s="801" t="s">
        <v>1913</v>
      </c>
      <c r="I315" s="802">
        <v>250</v>
      </c>
      <c r="J315" s="802"/>
      <c r="K315" s="800">
        <f>K314-Table13[[#This Row],[مدين]]+Table13[[#This Row],[دائن]]</f>
        <v>1371597.83</v>
      </c>
      <c r="L315" s="62"/>
    </row>
    <row r="316" spans="1:12" s="58" customFormat="1" ht="23.25" customHeight="1">
      <c r="A316" s="70" t="s">
        <v>648</v>
      </c>
      <c r="B316" s="70" t="s">
        <v>650</v>
      </c>
      <c r="C316" s="71" t="s">
        <v>2199</v>
      </c>
      <c r="D316" s="685" t="s">
        <v>2179</v>
      </c>
      <c r="E316" s="72" t="s">
        <v>176</v>
      </c>
      <c r="F316" s="72" t="s">
        <v>2109</v>
      </c>
      <c r="G316" s="72" t="s">
        <v>2180</v>
      </c>
      <c r="H316" s="801" t="s">
        <v>1913</v>
      </c>
      <c r="I316" s="802">
        <v>250</v>
      </c>
      <c r="J316" s="802"/>
      <c r="K316" s="800">
        <f>K315-Table13[[#This Row],[مدين]]+Table13[[#This Row],[دائن]]</f>
        <v>1371347.83</v>
      </c>
      <c r="L316" s="62"/>
    </row>
    <row r="317" spans="1:12" s="58" customFormat="1" ht="23.25" customHeight="1">
      <c r="A317" s="70" t="s">
        <v>648</v>
      </c>
      <c r="B317" s="70" t="s">
        <v>651</v>
      </c>
      <c r="C317" s="71" t="s">
        <v>2199</v>
      </c>
      <c r="D317" s="685" t="s">
        <v>652</v>
      </c>
      <c r="E317" s="72" t="s">
        <v>176</v>
      </c>
      <c r="F317" s="72" t="s">
        <v>2109</v>
      </c>
      <c r="G317" s="72" t="s">
        <v>2180</v>
      </c>
      <c r="H317" s="801" t="s">
        <v>1913</v>
      </c>
      <c r="I317" s="802">
        <v>250</v>
      </c>
      <c r="J317" s="802"/>
      <c r="K317" s="800">
        <f>K316-Table13[[#This Row],[مدين]]+Table13[[#This Row],[دائن]]</f>
        <v>1371097.83</v>
      </c>
      <c r="L317" s="62"/>
    </row>
    <row r="318" spans="1:12" s="58" customFormat="1" ht="23.25" customHeight="1">
      <c r="A318" s="70" t="s">
        <v>648</v>
      </c>
      <c r="B318" s="70" t="s">
        <v>653</v>
      </c>
      <c r="C318" s="71" t="s">
        <v>2199</v>
      </c>
      <c r="D318" s="685" t="s">
        <v>654</v>
      </c>
      <c r="E318" s="72" t="s">
        <v>176</v>
      </c>
      <c r="F318" s="72" t="s">
        <v>2109</v>
      </c>
      <c r="G318" s="72" t="s">
        <v>2180</v>
      </c>
      <c r="H318" s="801" t="s">
        <v>1913</v>
      </c>
      <c r="I318" s="802">
        <v>250</v>
      </c>
      <c r="J318" s="802"/>
      <c r="K318" s="800">
        <f>K317-Table13[[#This Row],[مدين]]+Table13[[#This Row],[دائن]]</f>
        <v>1370847.83</v>
      </c>
      <c r="L318" s="62"/>
    </row>
    <row r="319" spans="1:12" s="58" customFormat="1" ht="23.25" customHeight="1">
      <c r="A319" s="70" t="s">
        <v>648</v>
      </c>
      <c r="B319" s="70" t="s">
        <v>655</v>
      </c>
      <c r="C319" s="71" t="s">
        <v>2199</v>
      </c>
      <c r="D319" s="685" t="s">
        <v>656</v>
      </c>
      <c r="E319" s="72" t="s">
        <v>176</v>
      </c>
      <c r="F319" s="72" t="s">
        <v>2109</v>
      </c>
      <c r="G319" s="72" t="s">
        <v>2180</v>
      </c>
      <c r="H319" s="801" t="s">
        <v>1913</v>
      </c>
      <c r="I319" s="802">
        <v>250</v>
      </c>
      <c r="J319" s="802"/>
      <c r="K319" s="800">
        <f>K318-Table13[[#This Row],[مدين]]+Table13[[#This Row],[دائن]]</f>
        <v>1370597.83</v>
      </c>
      <c r="L319" s="62"/>
    </row>
    <row r="320" spans="1:12" s="58" customFormat="1" ht="23.25" customHeight="1">
      <c r="A320" s="70" t="s">
        <v>648</v>
      </c>
      <c r="B320" s="70" t="s">
        <v>657</v>
      </c>
      <c r="C320" s="71" t="s">
        <v>2199</v>
      </c>
      <c r="D320" s="685" t="s">
        <v>658</v>
      </c>
      <c r="E320" s="72" t="s">
        <v>176</v>
      </c>
      <c r="F320" s="72" t="s">
        <v>2109</v>
      </c>
      <c r="G320" s="72" t="s">
        <v>2180</v>
      </c>
      <c r="H320" s="801" t="s">
        <v>1913</v>
      </c>
      <c r="I320" s="802">
        <v>500</v>
      </c>
      <c r="J320" s="802"/>
      <c r="K320" s="800">
        <f>K319-Table13[[#This Row],[مدين]]+Table13[[#This Row],[دائن]]</f>
        <v>1370097.83</v>
      </c>
      <c r="L320" s="62"/>
    </row>
    <row r="321" spans="1:12" s="58" customFormat="1" ht="23.25" customHeight="1">
      <c r="A321" s="70" t="s">
        <v>659</v>
      </c>
      <c r="B321" s="70" t="s">
        <v>660</v>
      </c>
      <c r="C321" s="71" t="s">
        <v>2105</v>
      </c>
      <c r="D321" s="685" t="s">
        <v>2166</v>
      </c>
      <c r="E321" s="72" t="s">
        <v>171</v>
      </c>
      <c r="F321" s="72" t="s">
        <v>196</v>
      </c>
      <c r="G321" s="72" t="s">
        <v>63</v>
      </c>
      <c r="H321" s="801" t="s">
        <v>1913</v>
      </c>
      <c r="I321" s="674"/>
      <c r="J321" s="657">
        <v>1428.75</v>
      </c>
      <c r="K321" s="800">
        <f>K320-Table13[[#This Row],[مدين]]+Table13[[#This Row],[دائن]]</f>
        <v>1371526.58</v>
      </c>
      <c r="L321" s="62"/>
    </row>
    <row r="322" spans="1:12" s="58" customFormat="1" ht="23.25" customHeight="1">
      <c r="A322" s="70" t="s">
        <v>661</v>
      </c>
      <c r="B322" s="70" t="s">
        <v>662</v>
      </c>
      <c r="C322" s="71" t="s">
        <v>2105</v>
      </c>
      <c r="D322" s="685" t="s">
        <v>2167</v>
      </c>
      <c r="E322" s="72" t="s">
        <v>171</v>
      </c>
      <c r="F322" s="72" t="s">
        <v>196</v>
      </c>
      <c r="G322" s="72" t="s">
        <v>64</v>
      </c>
      <c r="H322" s="801" t="s">
        <v>1913</v>
      </c>
      <c r="I322" s="674"/>
      <c r="J322" s="657">
        <v>3733.34</v>
      </c>
      <c r="K322" s="800">
        <f>K321-Table13[[#This Row],[مدين]]+Table13[[#This Row],[دائن]]</f>
        <v>1375259.9200000002</v>
      </c>
      <c r="L322" s="62"/>
    </row>
    <row r="323" spans="1:12" s="74" customFormat="1" ht="38.25" customHeight="1">
      <c r="A323" s="70" t="s">
        <v>663</v>
      </c>
      <c r="B323" s="70" t="s">
        <v>664</v>
      </c>
      <c r="C323" s="71" t="s">
        <v>665</v>
      </c>
      <c r="D323" s="685" t="s">
        <v>666</v>
      </c>
      <c r="E323" s="72" t="s">
        <v>171</v>
      </c>
      <c r="F323" s="72" t="s">
        <v>196</v>
      </c>
      <c r="G323" s="72" t="s">
        <v>667</v>
      </c>
      <c r="H323" s="801" t="s">
        <v>1913</v>
      </c>
      <c r="I323" s="674"/>
      <c r="J323" s="657">
        <v>1600</v>
      </c>
      <c r="K323" s="804">
        <f>K322-Table13[[#This Row],[مدين]]+Table13[[#This Row],[دائن]]</f>
        <v>1376859.9200000002</v>
      </c>
      <c r="L323" s="73"/>
    </row>
    <row r="324" spans="1:12" s="74" customFormat="1" ht="38.25" customHeight="1">
      <c r="A324" s="70" t="s">
        <v>663</v>
      </c>
      <c r="B324" s="70" t="s">
        <v>664</v>
      </c>
      <c r="C324" s="71" t="s">
        <v>665</v>
      </c>
      <c r="D324" s="685" t="s">
        <v>666</v>
      </c>
      <c r="E324" s="72" t="s">
        <v>171</v>
      </c>
      <c r="F324" s="72" t="s">
        <v>196</v>
      </c>
      <c r="G324" s="72" t="s">
        <v>667</v>
      </c>
      <c r="H324" s="801" t="s">
        <v>1913</v>
      </c>
      <c r="I324" s="674"/>
      <c r="J324" s="657">
        <v>400</v>
      </c>
      <c r="K324" s="804">
        <f>K323-Table13[[#This Row],[مدين]]+Table13[[#This Row],[دائن]]</f>
        <v>1377259.9200000002</v>
      </c>
      <c r="L324" s="73"/>
    </row>
    <row r="325" spans="1:12" s="74" customFormat="1" ht="38.25" customHeight="1">
      <c r="A325" s="70" t="s">
        <v>663</v>
      </c>
      <c r="B325" s="70" t="s">
        <v>668</v>
      </c>
      <c r="C325" s="71" t="s">
        <v>665</v>
      </c>
      <c r="D325" s="685" t="s">
        <v>669</v>
      </c>
      <c r="E325" s="72" t="s">
        <v>171</v>
      </c>
      <c r="F325" s="72" t="s">
        <v>196</v>
      </c>
      <c r="G325" s="72" t="s">
        <v>667</v>
      </c>
      <c r="H325" s="801" t="s">
        <v>1913</v>
      </c>
      <c r="I325" s="674"/>
      <c r="J325" s="657">
        <v>7300</v>
      </c>
      <c r="K325" s="804">
        <f>K324-Table13[[#This Row],[مدين]]+Table13[[#This Row],[دائن]]</f>
        <v>1384559.9200000002</v>
      </c>
      <c r="L325" s="73"/>
    </row>
    <row r="326" spans="1:12" s="74" customFormat="1" ht="38.25" customHeight="1">
      <c r="A326" s="70" t="s">
        <v>663</v>
      </c>
      <c r="B326" s="70" t="s">
        <v>668</v>
      </c>
      <c r="C326" s="71" t="s">
        <v>665</v>
      </c>
      <c r="D326" s="685" t="s">
        <v>669</v>
      </c>
      <c r="E326" s="72" t="s">
        <v>171</v>
      </c>
      <c r="F326" s="72" t="s">
        <v>196</v>
      </c>
      <c r="G326" s="72" t="s">
        <v>667</v>
      </c>
      <c r="H326" s="801" t="s">
        <v>1913</v>
      </c>
      <c r="I326" s="674"/>
      <c r="J326" s="657">
        <v>7225</v>
      </c>
      <c r="K326" s="804">
        <f>K325-Table13[[#This Row],[مدين]]+Table13[[#This Row],[دائن]]</f>
        <v>1391784.9200000002</v>
      </c>
      <c r="L326" s="73"/>
    </row>
    <row r="327" spans="1:12" s="74" customFormat="1" ht="38.25" customHeight="1">
      <c r="A327" s="70" t="s">
        <v>663</v>
      </c>
      <c r="B327" s="70" t="s">
        <v>668</v>
      </c>
      <c r="C327" s="71" t="s">
        <v>665</v>
      </c>
      <c r="D327" s="685" t="s">
        <v>669</v>
      </c>
      <c r="E327" s="72" t="s">
        <v>171</v>
      </c>
      <c r="F327" s="72" t="s">
        <v>196</v>
      </c>
      <c r="G327" s="72" t="s">
        <v>667</v>
      </c>
      <c r="H327" s="801" t="s">
        <v>1913</v>
      </c>
      <c r="I327" s="674"/>
      <c r="J327" s="657">
        <v>1250</v>
      </c>
      <c r="K327" s="804">
        <f>K326-Table13[[#This Row],[مدين]]+Table13[[#This Row],[دائن]]</f>
        <v>1393034.9200000002</v>
      </c>
      <c r="L327" s="73"/>
    </row>
    <row r="328" spans="1:12" s="74" customFormat="1" ht="38.25" customHeight="1">
      <c r="A328" s="70" t="s">
        <v>663</v>
      </c>
      <c r="B328" s="70" t="s">
        <v>668</v>
      </c>
      <c r="C328" s="71" t="s">
        <v>665</v>
      </c>
      <c r="D328" s="685" t="s">
        <v>669</v>
      </c>
      <c r="E328" s="72" t="s">
        <v>171</v>
      </c>
      <c r="F328" s="72" t="s">
        <v>196</v>
      </c>
      <c r="G328" s="72" t="s">
        <v>667</v>
      </c>
      <c r="H328" s="801" t="s">
        <v>1913</v>
      </c>
      <c r="I328" s="674"/>
      <c r="J328" s="657">
        <v>4917.5</v>
      </c>
      <c r="K328" s="804">
        <f>K327-Table13[[#This Row],[مدين]]+Table13[[#This Row],[دائن]]</f>
        <v>1397952.4200000002</v>
      </c>
      <c r="L328" s="73"/>
    </row>
    <row r="329" spans="1:12" s="74" customFormat="1" ht="38.25" customHeight="1">
      <c r="A329" s="70" t="s">
        <v>663</v>
      </c>
      <c r="B329" s="70" t="s">
        <v>668</v>
      </c>
      <c r="C329" s="71" t="s">
        <v>665</v>
      </c>
      <c r="D329" s="685" t="s">
        <v>669</v>
      </c>
      <c r="E329" s="72" t="s">
        <v>171</v>
      </c>
      <c r="F329" s="72" t="s">
        <v>196</v>
      </c>
      <c r="G329" s="72" t="s">
        <v>667</v>
      </c>
      <c r="H329" s="801" t="s">
        <v>1913</v>
      </c>
      <c r="I329" s="674"/>
      <c r="J329" s="657">
        <v>6575</v>
      </c>
      <c r="K329" s="804">
        <f>K328-Table13[[#This Row],[مدين]]+Table13[[#This Row],[دائن]]</f>
        <v>1404527.4200000002</v>
      </c>
      <c r="L329" s="73"/>
    </row>
    <row r="330" spans="1:12" s="74" customFormat="1" ht="38.25" customHeight="1">
      <c r="A330" s="70" t="s">
        <v>663</v>
      </c>
      <c r="B330" s="70" t="s">
        <v>668</v>
      </c>
      <c r="C330" s="71" t="s">
        <v>665</v>
      </c>
      <c r="D330" s="685" t="s">
        <v>669</v>
      </c>
      <c r="E330" s="72" t="s">
        <v>171</v>
      </c>
      <c r="F330" s="72" t="s">
        <v>196</v>
      </c>
      <c r="G330" s="72" t="s">
        <v>667</v>
      </c>
      <c r="H330" s="801" t="s">
        <v>1913</v>
      </c>
      <c r="I330" s="674"/>
      <c r="J330" s="657">
        <v>1250</v>
      </c>
      <c r="K330" s="804">
        <f>K329-Table13[[#This Row],[مدين]]+Table13[[#This Row],[دائن]]</f>
        <v>1405777.4200000002</v>
      </c>
      <c r="L330" s="73"/>
    </row>
    <row r="331" spans="1:12" s="74" customFormat="1" ht="38.25" customHeight="1">
      <c r="A331" s="70" t="s">
        <v>663</v>
      </c>
      <c r="B331" s="70" t="s">
        <v>668</v>
      </c>
      <c r="C331" s="71" t="s">
        <v>665</v>
      </c>
      <c r="D331" s="685" t="s">
        <v>669</v>
      </c>
      <c r="E331" s="72" t="s">
        <v>171</v>
      </c>
      <c r="F331" s="72" t="s">
        <v>196</v>
      </c>
      <c r="G331" s="72" t="s">
        <v>667</v>
      </c>
      <c r="H331" s="801" t="s">
        <v>1913</v>
      </c>
      <c r="I331" s="674"/>
      <c r="J331" s="657">
        <v>15915</v>
      </c>
      <c r="K331" s="804">
        <f>K330-Table13[[#This Row],[مدين]]+Table13[[#This Row],[دائن]]</f>
        <v>1421692.4200000002</v>
      </c>
      <c r="L331" s="73"/>
    </row>
    <row r="332" spans="1:12" s="74" customFormat="1" ht="38.25" customHeight="1">
      <c r="A332" s="70" t="s">
        <v>663</v>
      </c>
      <c r="B332" s="70" t="s">
        <v>668</v>
      </c>
      <c r="C332" s="71" t="s">
        <v>665</v>
      </c>
      <c r="D332" s="685" t="s">
        <v>669</v>
      </c>
      <c r="E332" s="72" t="s">
        <v>171</v>
      </c>
      <c r="F332" s="72" t="s">
        <v>196</v>
      </c>
      <c r="G332" s="72" t="s">
        <v>667</v>
      </c>
      <c r="H332" s="801" t="s">
        <v>1913</v>
      </c>
      <c r="I332" s="674"/>
      <c r="J332" s="657">
        <v>11425</v>
      </c>
      <c r="K332" s="804">
        <f>K331-Table13[[#This Row],[مدين]]+Table13[[#This Row],[دائن]]</f>
        <v>1433117.4200000002</v>
      </c>
      <c r="L332" s="73"/>
    </row>
    <row r="333" spans="1:12" s="74" customFormat="1" ht="38.25" customHeight="1">
      <c r="A333" s="70" t="s">
        <v>663</v>
      </c>
      <c r="B333" s="70" t="s">
        <v>668</v>
      </c>
      <c r="C333" s="71" t="s">
        <v>665</v>
      </c>
      <c r="D333" s="685" t="s">
        <v>669</v>
      </c>
      <c r="E333" s="72" t="s">
        <v>171</v>
      </c>
      <c r="F333" s="72" t="s">
        <v>196</v>
      </c>
      <c r="G333" s="72" t="s">
        <v>667</v>
      </c>
      <c r="H333" s="801" t="s">
        <v>1913</v>
      </c>
      <c r="I333" s="674"/>
      <c r="J333" s="657">
        <v>97170</v>
      </c>
      <c r="K333" s="804">
        <f>K332-Table13[[#This Row],[مدين]]+Table13[[#This Row],[دائن]]</f>
        <v>1530287.4200000002</v>
      </c>
      <c r="L333" s="73"/>
    </row>
    <row r="334" spans="1:12" s="58" customFormat="1" ht="23.25" customHeight="1">
      <c r="A334" s="70" t="s">
        <v>663</v>
      </c>
      <c r="B334" s="70" t="s">
        <v>670</v>
      </c>
      <c r="C334" s="71" t="s">
        <v>2086</v>
      </c>
      <c r="D334" s="685" t="s">
        <v>229</v>
      </c>
      <c r="E334" s="72" t="s">
        <v>171</v>
      </c>
      <c r="F334" s="72" t="s">
        <v>181</v>
      </c>
      <c r="G334" s="72" t="s">
        <v>1676</v>
      </c>
      <c r="H334" s="801" t="s">
        <v>1913</v>
      </c>
      <c r="I334" s="674"/>
      <c r="J334" s="657">
        <v>34243</v>
      </c>
      <c r="K334" s="800">
        <f>K333-Table13[[#This Row],[مدين]]+Table13[[#This Row],[دائن]]</f>
        <v>1564530.4200000002</v>
      </c>
      <c r="L334" s="62"/>
    </row>
    <row r="335" spans="1:12" s="58" customFormat="1" ht="23.25" customHeight="1" thickBot="1">
      <c r="A335" s="70" t="s">
        <v>663</v>
      </c>
      <c r="B335" s="70" t="s">
        <v>671</v>
      </c>
      <c r="C335" s="71" t="s">
        <v>2086</v>
      </c>
      <c r="D335" s="685" t="s">
        <v>231</v>
      </c>
      <c r="E335" s="72" t="s">
        <v>171</v>
      </c>
      <c r="F335" s="72" t="s">
        <v>181</v>
      </c>
      <c r="G335" s="72" t="s">
        <v>1658</v>
      </c>
      <c r="H335" s="801" t="s">
        <v>1913</v>
      </c>
      <c r="I335" s="674"/>
      <c r="J335" s="657">
        <v>7889</v>
      </c>
      <c r="K335" s="800">
        <f>K334-Table13[[#This Row],[مدين]]+Table13[[#This Row],[دائن]]</f>
        <v>1572419.4200000002</v>
      </c>
      <c r="L335" s="62"/>
    </row>
    <row r="336" spans="1:12" s="58" customFormat="1" ht="23.25" customHeight="1">
      <c r="A336" s="77" t="s">
        <v>663</v>
      </c>
      <c r="B336" s="77" t="s">
        <v>672</v>
      </c>
      <c r="C336" s="71" t="s">
        <v>2086</v>
      </c>
      <c r="D336" s="686" t="s">
        <v>227</v>
      </c>
      <c r="E336" s="72" t="s">
        <v>171</v>
      </c>
      <c r="F336" s="72" t="s">
        <v>181</v>
      </c>
      <c r="G336" s="72" t="s">
        <v>1657</v>
      </c>
      <c r="H336" s="801" t="s">
        <v>1913</v>
      </c>
      <c r="I336" s="675"/>
      <c r="J336" s="658">
        <v>6961</v>
      </c>
      <c r="K336" s="800">
        <f>K335-Table13[[#This Row],[مدين]]+Table13[[#This Row],[دائن]]</f>
        <v>1579380.4200000002</v>
      </c>
      <c r="L336" s="62"/>
    </row>
    <row r="337" spans="1:14" s="58" customFormat="1" ht="23.25" customHeight="1">
      <c r="A337" s="70" t="s">
        <v>663</v>
      </c>
      <c r="B337" s="70" t="s">
        <v>673</v>
      </c>
      <c r="C337" s="71" t="s">
        <v>2102</v>
      </c>
      <c r="D337" s="685" t="s">
        <v>233</v>
      </c>
      <c r="E337" s="72" t="s">
        <v>171</v>
      </c>
      <c r="F337" s="72" t="s">
        <v>1677</v>
      </c>
      <c r="G337" s="72"/>
      <c r="H337" s="801" t="s">
        <v>1913</v>
      </c>
      <c r="I337" s="674"/>
      <c r="J337" s="657">
        <v>45</v>
      </c>
      <c r="K337" s="800">
        <f>K336-Table13[[#This Row],[مدين]]+Table13[[#This Row],[دائن]]</f>
        <v>1579425.4200000002</v>
      </c>
      <c r="L337" s="62"/>
    </row>
    <row r="338" spans="1:14" s="58" customFormat="1" ht="23.25" customHeight="1">
      <c r="A338" s="70" t="s">
        <v>663</v>
      </c>
      <c r="B338" s="70" t="s">
        <v>674</v>
      </c>
      <c r="C338" s="71" t="s">
        <v>2105</v>
      </c>
      <c r="D338" s="685" t="s">
        <v>675</v>
      </c>
      <c r="E338" s="72" t="s">
        <v>171</v>
      </c>
      <c r="F338" s="72" t="s">
        <v>181</v>
      </c>
      <c r="G338" s="72" t="s">
        <v>1685</v>
      </c>
      <c r="H338" s="801" t="s">
        <v>1913</v>
      </c>
      <c r="I338" s="674"/>
      <c r="J338" s="657">
        <v>500</v>
      </c>
      <c r="K338" s="800">
        <f>K337-Table13[[#This Row],[مدين]]+Table13[[#This Row],[دائن]]</f>
        <v>1579925.4200000002</v>
      </c>
      <c r="L338" s="62"/>
    </row>
    <row r="339" spans="1:14" s="58" customFormat="1" ht="23.25" customHeight="1">
      <c r="A339" s="70" t="s">
        <v>663</v>
      </c>
      <c r="B339" s="70" t="s">
        <v>674</v>
      </c>
      <c r="C339" s="71" t="s">
        <v>2105</v>
      </c>
      <c r="D339" s="685" t="s">
        <v>676</v>
      </c>
      <c r="E339" s="72" t="s">
        <v>171</v>
      </c>
      <c r="F339" s="72" t="s">
        <v>181</v>
      </c>
      <c r="G339" s="72" t="s">
        <v>1685</v>
      </c>
      <c r="H339" s="801" t="s">
        <v>1913</v>
      </c>
      <c r="I339" s="674"/>
      <c r="J339" s="657">
        <v>112</v>
      </c>
      <c r="K339" s="800">
        <f>K338-Table13[[#This Row],[مدين]]+Table13[[#This Row],[دائن]]</f>
        <v>1580037.4200000002</v>
      </c>
      <c r="L339" s="62"/>
    </row>
    <row r="340" spans="1:14" s="58" customFormat="1" ht="23.25" customHeight="1">
      <c r="A340" s="70" t="s">
        <v>663</v>
      </c>
      <c r="B340" s="70" t="s">
        <v>674</v>
      </c>
      <c r="C340" s="71" t="s">
        <v>2102</v>
      </c>
      <c r="D340" s="685" t="s">
        <v>677</v>
      </c>
      <c r="E340" s="72" t="s">
        <v>1655</v>
      </c>
      <c r="F340" s="72" t="s">
        <v>186</v>
      </c>
      <c r="G340" s="72"/>
      <c r="H340" s="801" t="s">
        <v>1913</v>
      </c>
      <c r="I340" s="674"/>
      <c r="J340" s="657">
        <v>275</v>
      </c>
      <c r="K340" s="800">
        <f>K339-Table13[[#This Row],[مدين]]+Table13[[#This Row],[دائن]]</f>
        <v>1580312.4200000002</v>
      </c>
      <c r="L340" s="62"/>
    </row>
    <row r="341" spans="1:14" s="58" customFormat="1" ht="23.25" customHeight="1">
      <c r="A341" s="70" t="s">
        <v>663</v>
      </c>
      <c r="B341" s="70" t="s">
        <v>678</v>
      </c>
      <c r="C341" s="641" t="s">
        <v>1666</v>
      </c>
      <c r="D341" s="685" t="s">
        <v>679</v>
      </c>
      <c r="E341" s="72" t="s">
        <v>1667</v>
      </c>
      <c r="F341" s="72" t="s">
        <v>168</v>
      </c>
      <c r="G341" s="72" t="s">
        <v>1668</v>
      </c>
      <c r="H341" s="801" t="s">
        <v>1913</v>
      </c>
      <c r="I341" s="802">
        <v>69492</v>
      </c>
      <c r="J341" s="802"/>
      <c r="K341" s="804">
        <f>K340-Table13[[#This Row],[مدين]]+Table13[[#This Row],[دائن]]</f>
        <v>1510820.4200000002</v>
      </c>
      <c r="L341" s="62"/>
    </row>
    <row r="342" spans="1:14" s="58" customFormat="1" ht="23.25" customHeight="1">
      <c r="A342" s="70" t="s">
        <v>663</v>
      </c>
      <c r="B342" s="70" t="s">
        <v>680</v>
      </c>
      <c r="C342" s="71" t="s">
        <v>2105</v>
      </c>
      <c r="D342" s="685">
        <v>1212</v>
      </c>
      <c r="E342" s="72" t="s">
        <v>1655</v>
      </c>
      <c r="F342" s="72" t="s">
        <v>2072</v>
      </c>
      <c r="G342" s="72" t="s">
        <v>2073</v>
      </c>
      <c r="H342" s="801" t="s">
        <v>1913</v>
      </c>
      <c r="I342" s="674"/>
      <c r="J342" s="657">
        <v>2241</v>
      </c>
      <c r="K342" s="800">
        <f>K341-Table13[[#This Row],[مدين]]+Table13[[#This Row],[دائن]]</f>
        <v>1513061.4200000002</v>
      </c>
      <c r="L342" s="62"/>
    </row>
    <row r="343" spans="1:14" s="58" customFormat="1" ht="23.25" customHeight="1">
      <c r="A343" s="70" t="s">
        <v>663</v>
      </c>
      <c r="B343" s="70" t="s">
        <v>681</v>
      </c>
      <c r="C343" s="641" t="s">
        <v>1929</v>
      </c>
      <c r="D343" s="685" t="s">
        <v>682</v>
      </c>
      <c r="E343" s="72" t="s">
        <v>1667</v>
      </c>
      <c r="F343" s="72" t="s">
        <v>168</v>
      </c>
      <c r="G343" s="72" t="s">
        <v>1679</v>
      </c>
      <c r="H343" s="801" t="s">
        <v>1913</v>
      </c>
      <c r="I343" s="674"/>
      <c r="J343" s="709">
        <v>24613</v>
      </c>
      <c r="K343" s="804">
        <f>K342-Table13[[#This Row],[مدين]]+Table13[[#This Row],[دائن]]</f>
        <v>1537674.4200000002</v>
      </c>
      <c r="L343" s="62"/>
    </row>
    <row r="344" spans="1:14" s="69" customFormat="1" ht="29.25" customHeight="1">
      <c r="A344" s="580" t="s">
        <v>683</v>
      </c>
      <c r="B344" s="580" t="s">
        <v>684</v>
      </c>
      <c r="C344" s="66" t="s">
        <v>599</v>
      </c>
      <c r="D344" s="684" t="s">
        <v>685</v>
      </c>
      <c r="E344" s="72" t="s">
        <v>171</v>
      </c>
      <c r="F344" s="72" t="s">
        <v>196</v>
      </c>
      <c r="G344" s="67" t="s">
        <v>601</v>
      </c>
      <c r="H344" s="801" t="s">
        <v>1913</v>
      </c>
      <c r="I344" s="831"/>
      <c r="J344" s="671">
        <v>465</v>
      </c>
      <c r="K344" s="804">
        <f>K343-Table13[[#This Row],[مدين]]+Table13[[#This Row],[دائن]]</f>
        <v>1538139.4200000002</v>
      </c>
      <c r="L344" s="68"/>
    </row>
    <row r="345" spans="1:14" s="74" customFormat="1" ht="38.25" customHeight="1">
      <c r="A345" s="70" t="s">
        <v>683</v>
      </c>
      <c r="B345" s="70" t="s">
        <v>686</v>
      </c>
      <c r="C345" s="71" t="s">
        <v>665</v>
      </c>
      <c r="D345" s="685" t="s">
        <v>687</v>
      </c>
      <c r="E345" s="72" t="s">
        <v>171</v>
      </c>
      <c r="F345" s="72" t="s">
        <v>196</v>
      </c>
      <c r="G345" s="72" t="s">
        <v>667</v>
      </c>
      <c r="H345" s="801" t="s">
        <v>1913</v>
      </c>
      <c r="I345" s="674"/>
      <c r="J345" s="657">
        <v>1550</v>
      </c>
      <c r="K345" s="804">
        <f>K344-Table13[[#This Row],[مدين]]+Table13[[#This Row],[دائن]]</f>
        <v>1539689.4200000002</v>
      </c>
      <c r="L345" s="73"/>
    </row>
    <row r="346" spans="1:14" s="74" customFormat="1" ht="38.25" customHeight="1">
      <c r="A346" s="70" t="s">
        <v>683</v>
      </c>
      <c r="B346" s="70" t="s">
        <v>686</v>
      </c>
      <c r="C346" s="71" t="s">
        <v>665</v>
      </c>
      <c r="D346" s="685" t="s">
        <v>687</v>
      </c>
      <c r="E346" s="72" t="s">
        <v>171</v>
      </c>
      <c r="F346" s="72" t="s">
        <v>196</v>
      </c>
      <c r="G346" s="72" t="s">
        <v>667</v>
      </c>
      <c r="H346" s="801" t="s">
        <v>1913</v>
      </c>
      <c r="I346" s="674"/>
      <c r="J346" s="657">
        <v>387.5</v>
      </c>
      <c r="K346" s="804">
        <f>K345-Table13[[#This Row],[مدين]]+Table13[[#This Row],[دائن]]</f>
        <v>1540076.9200000002</v>
      </c>
      <c r="L346" s="73"/>
    </row>
    <row r="347" spans="1:14" s="58" customFormat="1" ht="23.25" customHeight="1">
      <c r="A347" s="70" t="s">
        <v>683</v>
      </c>
      <c r="B347" s="70" t="s">
        <v>688</v>
      </c>
      <c r="C347" s="71" t="s">
        <v>2086</v>
      </c>
      <c r="D347" s="685" t="s">
        <v>205</v>
      </c>
      <c r="E347" s="72" t="s">
        <v>1655</v>
      </c>
      <c r="F347" s="72" t="s">
        <v>205</v>
      </c>
      <c r="G347" s="72"/>
      <c r="H347" s="801" t="s">
        <v>1913</v>
      </c>
      <c r="I347" s="674"/>
      <c r="J347" s="657">
        <v>80</v>
      </c>
      <c r="K347" s="800">
        <f>K346-Table13[[#This Row],[مدين]]+Table13[[#This Row],[دائن]]</f>
        <v>1540156.9200000002</v>
      </c>
      <c r="L347" s="62"/>
    </row>
    <row r="348" spans="1:14" s="58" customFormat="1" ht="23.25" customHeight="1">
      <c r="A348" s="70" t="s">
        <v>683</v>
      </c>
      <c r="B348" s="70" t="s">
        <v>689</v>
      </c>
      <c r="C348" s="71" t="s">
        <v>2105</v>
      </c>
      <c r="D348" s="685" t="s">
        <v>690</v>
      </c>
      <c r="E348" s="72" t="s">
        <v>171</v>
      </c>
      <c r="F348" s="72" t="s">
        <v>196</v>
      </c>
      <c r="G348" s="72" t="s">
        <v>64</v>
      </c>
      <c r="H348" s="801" t="s">
        <v>1913</v>
      </c>
      <c r="I348" s="674"/>
      <c r="J348" s="657">
        <v>5067</v>
      </c>
      <c r="K348" s="800">
        <f>K347-Table13[[#This Row],[مدين]]+Table13[[#This Row],[دائن]]</f>
        <v>1545223.9200000002</v>
      </c>
      <c r="L348" s="62"/>
    </row>
    <row r="349" spans="1:14" s="58" customFormat="1" ht="23.25" customHeight="1">
      <c r="A349" s="70" t="s">
        <v>683</v>
      </c>
      <c r="B349" s="70" t="s">
        <v>689</v>
      </c>
      <c r="C349" s="71" t="s">
        <v>2102</v>
      </c>
      <c r="D349" s="685" t="s">
        <v>691</v>
      </c>
      <c r="E349" s="72" t="s">
        <v>171</v>
      </c>
      <c r="F349" s="72" t="s">
        <v>1692</v>
      </c>
      <c r="G349" s="72"/>
      <c r="H349" s="801" t="s">
        <v>1913</v>
      </c>
      <c r="I349" s="674"/>
      <c r="J349" s="657">
        <v>1267</v>
      </c>
      <c r="K349" s="800">
        <f>K348-Table13[[#This Row],[مدين]]+Table13[[#This Row],[دائن]]</f>
        <v>1546490.9200000002</v>
      </c>
      <c r="L349" s="62"/>
    </row>
    <row r="350" spans="1:14" s="58" customFormat="1" ht="23.25" customHeight="1">
      <c r="A350" s="70" t="s">
        <v>683</v>
      </c>
      <c r="B350" s="70" t="s">
        <v>689</v>
      </c>
      <c r="C350" s="71" t="s">
        <v>2102</v>
      </c>
      <c r="D350" s="685" t="s">
        <v>692</v>
      </c>
      <c r="E350" s="72" t="s">
        <v>171</v>
      </c>
      <c r="F350" s="72" t="s">
        <v>1691</v>
      </c>
      <c r="G350" s="72"/>
      <c r="H350" s="801" t="s">
        <v>1913</v>
      </c>
      <c r="I350" s="674"/>
      <c r="J350" s="657">
        <v>291767</v>
      </c>
      <c r="K350" s="800">
        <f>K349-Table13[[#This Row],[مدين]]+Table13[[#This Row],[دائن]]</f>
        <v>1838257.9200000002</v>
      </c>
      <c r="L350" s="62"/>
      <c r="M350" s="58" t="s">
        <v>1920</v>
      </c>
      <c r="N350" s="58">
        <v>739720</v>
      </c>
    </row>
    <row r="351" spans="1:14" s="58" customFormat="1" ht="23.25" customHeight="1">
      <c r="A351" s="70" t="s">
        <v>683</v>
      </c>
      <c r="B351" s="70" t="s">
        <v>693</v>
      </c>
      <c r="C351" s="641" t="s">
        <v>2086</v>
      </c>
      <c r="D351" s="685" t="s">
        <v>694</v>
      </c>
      <c r="E351" s="72" t="s">
        <v>199</v>
      </c>
      <c r="F351" s="72" t="s">
        <v>200</v>
      </c>
      <c r="G351" s="622" t="s">
        <v>1707</v>
      </c>
      <c r="H351" s="833" t="s">
        <v>1913</v>
      </c>
      <c r="I351" s="674"/>
      <c r="J351" s="657">
        <v>120000</v>
      </c>
      <c r="K351" s="800">
        <f>K350-Table13[[#This Row],[مدين]]+Table13[[#This Row],[دائن]]</f>
        <v>1958257.9200000002</v>
      </c>
      <c r="L351" s="62"/>
    </row>
    <row r="352" spans="1:14" s="58" customFormat="1" ht="23.25" customHeight="1">
      <c r="A352" s="70" t="s">
        <v>695</v>
      </c>
      <c r="B352" s="70" t="s">
        <v>696</v>
      </c>
      <c r="C352" s="641" t="s">
        <v>2086</v>
      </c>
      <c r="D352" s="685" t="s">
        <v>419</v>
      </c>
      <c r="E352" s="72" t="s">
        <v>171</v>
      </c>
      <c r="F352" s="72" t="s">
        <v>69</v>
      </c>
      <c r="G352" s="72" t="s">
        <v>113</v>
      </c>
      <c r="H352" s="801" t="s">
        <v>1913</v>
      </c>
      <c r="I352" s="674"/>
      <c r="J352" s="657">
        <v>1842</v>
      </c>
      <c r="K352" s="800">
        <f>K351-Table13[[#This Row],[مدين]]+Table13[[#This Row],[دائن]]</f>
        <v>1960099.9200000002</v>
      </c>
      <c r="L352" s="62"/>
    </row>
    <row r="353" spans="1:12" s="58" customFormat="1" ht="23.25" customHeight="1">
      <c r="A353" s="70" t="s">
        <v>695</v>
      </c>
      <c r="B353" s="70" t="s">
        <v>697</v>
      </c>
      <c r="C353" s="641" t="s">
        <v>2086</v>
      </c>
      <c r="D353" s="685" t="s">
        <v>419</v>
      </c>
      <c r="E353" s="72" t="s">
        <v>171</v>
      </c>
      <c r="F353" s="72" t="s">
        <v>69</v>
      </c>
      <c r="G353" s="72" t="s">
        <v>113</v>
      </c>
      <c r="H353" s="801" t="s">
        <v>1913</v>
      </c>
      <c r="I353" s="674"/>
      <c r="J353" s="657">
        <v>1208.23</v>
      </c>
      <c r="K353" s="800">
        <f>K352-Table13[[#This Row],[مدين]]+Table13[[#This Row],[دائن]]</f>
        <v>1961308.1500000001</v>
      </c>
      <c r="L353" s="62"/>
    </row>
    <row r="354" spans="1:12" s="58" customFormat="1" ht="23.25" customHeight="1">
      <c r="A354" s="70" t="s">
        <v>698</v>
      </c>
      <c r="B354" s="70" t="s">
        <v>699</v>
      </c>
      <c r="C354" s="71" t="s">
        <v>2105</v>
      </c>
      <c r="D354" s="685" t="s">
        <v>2168</v>
      </c>
      <c r="E354" s="72" t="s">
        <v>171</v>
      </c>
      <c r="F354" s="72" t="s">
        <v>196</v>
      </c>
      <c r="G354" s="72" t="s">
        <v>967</v>
      </c>
      <c r="H354" s="801" t="s">
        <v>1913</v>
      </c>
      <c r="I354" s="674"/>
      <c r="J354" s="657">
        <v>150</v>
      </c>
      <c r="K354" s="800">
        <f>K353-Table13[[#This Row],[مدين]]+Table13[[#This Row],[دائن]]</f>
        <v>1961458.1500000001</v>
      </c>
      <c r="L354" s="62"/>
    </row>
    <row r="355" spans="1:12" s="58" customFormat="1" ht="23.25" customHeight="1">
      <c r="A355" s="70" t="s">
        <v>700</v>
      </c>
      <c r="B355" s="70" t="s">
        <v>701</v>
      </c>
      <c r="C355" s="71" t="s">
        <v>2105</v>
      </c>
      <c r="D355" s="685"/>
      <c r="E355" s="72" t="s">
        <v>1655</v>
      </c>
      <c r="F355" s="72" t="s">
        <v>2072</v>
      </c>
      <c r="G355" s="72" t="s">
        <v>2073</v>
      </c>
      <c r="H355" s="801" t="s">
        <v>1913</v>
      </c>
      <c r="I355" s="674"/>
      <c r="J355" s="657">
        <v>38.15</v>
      </c>
      <c r="K355" s="800">
        <f>K354-Table13[[#This Row],[مدين]]+Table13[[#This Row],[دائن]]</f>
        <v>1961496.3</v>
      </c>
      <c r="L355" s="62"/>
    </row>
    <row r="356" spans="1:12" s="58" customFormat="1" ht="23.25" customHeight="1">
      <c r="A356" s="70" t="s">
        <v>702</v>
      </c>
      <c r="B356" s="70" t="s">
        <v>703</v>
      </c>
      <c r="C356" s="71" t="s">
        <v>2200</v>
      </c>
      <c r="D356" s="685" t="s">
        <v>704</v>
      </c>
      <c r="E356" s="72" t="s">
        <v>171</v>
      </c>
      <c r="F356" s="72" t="s">
        <v>196</v>
      </c>
      <c r="G356" s="72"/>
      <c r="H356" s="801" t="s">
        <v>1913</v>
      </c>
      <c r="I356" s="802">
        <v>1400</v>
      </c>
      <c r="J356" s="802"/>
      <c r="K356" s="800">
        <f>K355-Table13[[#This Row],[مدين]]+Table13[[#This Row],[دائن]]</f>
        <v>1960096.3</v>
      </c>
      <c r="L356" s="62"/>
    </row>
    <row r="357" spans="1:12" s="58" customFormat="1" ht="23.25" customHeight="1">
      <c r="A357" s="70" t="s">
        <v>705</v>
      </c>
      <c r="B357" s="70" t="s">
        <v>706</v>
      </c>
      <c r="C357" s="71" t="s">
        <v>2105</v>
      </c>
      <c r="D357" s="685" t="s">
        <v>2169</v>
      </c>
      <c r="E357" s="72" t="s">
        <v>171</v>
      </c>
      <c r="F357" s="72" t="s">
        <v>196</v>
      </c>
      <c r="G357" s="72" t="s">
        <v>64</v>
      </c>
      <c r="H357" s="801" t="s">
        <v>1913</v>
      </c>
      <c r="I357" s="674"/>
      <c r="J357" s="657">
        <v>660</v>
      </c>
      <c r="K357" s="800">
        <f>K356-Table13[[#This Row],[مدين]]+Table13[[#This Row],[دائن]]</f>
        <v>1960756.3</v>
      </c>
      <c r="L357" s="62"/>
    </row>
    <row r="358" spans="1:12" s="58" customFormat="1" ht="23.25" customHeight="1">
      <c r="A358" s="70" t="s">
        <v>705</v>
      </c>
      <c r="B358" s="70" t="s">
        <v>707</v>
      </c>
      <c r="C358" s="71" t="s">
        <v>2086</v>
      </c>
      <c r="D358" s="685" t="s">
        <v>205</v>
      </c>
      <c r="E358" s="72" t="s">
        <v>1655</v>
      </c>
      <c r="F358" s="72" t="s">
        <v>205</v>
      </c>
      <c r="G358" s="72"/>
      <c r="H358" s="801" t="s">
        <v>1913</v>
      </c>
      <c r="I358" s="674"/>
      <c r="J358" s="657">
        <v>416</v>
      </c>
      <c r="K358" s="800">
        <f>K357-Table13[[#This Row],[مدين]]+Table13[[#This Row],[دائن]]</f>
        <v>1961172.3</v>
      </c>
      <c r="L358" s="62"/>
    </row>
    <row r="359" spans="1:12" s="58" customFormat="1" ht="23.25" customHeight="1">
      <c r="A359" s="70" t="s">
        <v>708</v>
      </c>
      <c r="B359" s="70" t="s">
        <v>709</v>
      </c>
      <c r="C359" s="71" t="s">
        <v>2105</v>
      </c>
      <c r="D359" s="685" t="s">
        <v>710</v>
      </c>
      <c r="E359" s="72" t="s">
        <v>171</v>
      </c>
      <c r="F359" s="72" t="s">
        <v>181</v>
      </c>
      <c r="G359" s="72" t="s">
        <v>1685</v>
      </c>
      <c r="H359" s="801" t="s">
        <v>1913</v>
      </c>
      <c r="I359" s="674"/>
      <c r="J359" s="657">
        <v>10000</v>
      </c>
      <c r="K359" s="800">
        <f>K358-Table13[[#This Row],[مدين]]+Table13[[#This Row],[دائن]]</f>
        <v>1971172.3</v>
      </c>
      <c r="L359" s="62"/>
    </row>
    <row r="360" spans="1:12" s="58" customFormat="1" ht="23.25" customHeight="1">
      <c r="A360" s="70" t="s">
        <v>708</v>
      </c>
      <c r="B360" s="70" t="s">
        <v>711</v>
      </c>
      <c r="C360" s="71" t="s">
        <v>2086</v>
      </c>
      <c r="D360" s="685" t="s">
        <v>712</v>
      </c>
      <c r="E360" s="72" t="s">
        <v>171</v>
      </c>
      <c r="F360" s="72" t="s">
        <v>170</v>
      </c>
      <c r="G360" s="801" t="s">
        <v>1913</v>
      </c>
      <c r="H360" s="801" t="s">
        <v>1913</v>
      </c>
      <c r="I360" s="674"/>
      <c r="J360" s="657">
        <v>11750</v>
      </c>
      <c r="K360" s="800">
        <f>K359-Table13[[#This Row],[مدين]]+Table13[[#This Row],[دائن]]</f>
        <v>1982922.3</v>
      </c>
      <c r="L360" s="62"/>
    </row>
    <row r="361" spans="1:12" s="58" customFormat="1" ht="23.25" customHeight="1">
      <c r="A361" s="70" t="s">
        <v>713</v>
      </c>
      <c r="B361" s="70" t="s">
        <v>714</v>
      </c>
      <c r="C361" s="71" t="s">
        <v>2105</v>
      </c>
      <c r="D361" s="685" t="s">
        <v>2170</v>
      </c>
      <c r="E361" s="72" t="s">
        <v>171</v>
      </c>
      <c r="F361" s="72" t="s">
        <v>196</v>
      </c>
      <c r="G361" s="72" t="s">
        <v>63</v>
      </c>
      <c r="H361" s="801" t="s">
        <v>1913</v>
      </c>
      <c r="I361" s="674"/>
      <c r="J361" s="657">
        <v>227.5</v>
      </c>
      <c r="K361" s="800">
        <f>K360-Table13[[#This Row],[مدين]]+Table13[[#This Row],[دائن]]</f>
        <v>1983149.8</v>
      </c>
      <c r="L361" s="62"/>
    </row>
    <row r="362" spans="1:12" s="58" customFormat="1" ht="23.25" customHeight="1">
      <c r="A362" s="70" t="s">
        <v>713</v>
      </c>
      <c r="B362" s="70" t="s">
        <v>715</v>
      </c>
      <c r="C362" s="71" t="s">
        <v>2102</v>
      </c>
      <c r="D362" s="685" t="s">
        <v>2171</v>
      </c>
      <c r="E362" s="72" t="s">
        <v>176</v>
      </c>
      <c r="F362" s="811">
        <v>8432</v>
      </c>
      <c r="G362" s="72"/>
      <c r="H362" s="801" t="s">
        <v>1913</v>
      </c>
      <c r="I362" s="674"/>
      <c r="J362" s="657">
        <v>500</v>
      </c>
      <c r="K362" s="800">
        <f>K361-Table13[[#This Row],[مدين]]+Table13[[#This Row],[دائن]]</f>
        <v>1983649.8</v>
      </c>
      <c r="L362" s="62"/>
    </row>
    <row r="363" spans="1:12" s="58" customFormat="1" ht="23.25" customHeight="1">
      <c r="A363" s="70" t="s">
        <v>716</v>
      </c>
      <c r="B363" s="70" t="s">
        <v>717</v>
      </c>
      <c r="C363" s="71" t="s">
        <v>2200</v>
      </c>
      <c r="D363" s="685" t="s">
        <v>718</v>
      </c>
      <c r="E363" s="72" t="s">
        <v>171</v>
      </c>
      <c r="F363" s="72" t="s">
        <v>196</v>
      </c>
      <c r="G363" s="72" t="s">
        <v>751</v>
      </c>
      <c r="H363" s="801" t="s">
        <v>1913</v>
      </c>
      <c r="I363" s="802">
        <v>15872.38</v>
      </c>
      <c r="J363" s="802"/>
      <c r="K363" s="800">
        <f>K362-Table13[[#This Row],[مدين]]+Table13[[#This Row],[دائن]]</f>
        <v>1967777.4200000002</v>
      </c>
      <c r="L363" s="62"/>
    </row>
    <row r="364" spans="1:12" s="58" customFormat="1" ht="23.25" customHeight="1">
      <c r="A364" s="70" t="s">
        <v>716</v>
      </c>
      <c r="B364" s="70" t="s">
        <v>719</v>
      </c>
      <c r="C364" s="71" t="s">
        <v>2105</v>
      </c>
      <c r="D364" s="685" t="s">
        <v>720</v>
      </c>
      <c r="E364" s="72" t="s">
        <v>1655</v>
      </c>
      <c r="F364" s="72" t="s">
        <v>1700</v>
      </c>
      <c r="G364" s="72" t="s">
        <v>990</v>
      </c>
      <c r="H364" s="801" t="s">
        <v>1913</v>
      </c>
      <c r="I364" s="674"/>
      <c r="J364" s="657">
        <v>41800</v>
      </c>
      <c r="K364" s="800">
        <f>K363-Table13[[#This Row],[مدين]]+Table13[[#This Row],[دائن]]</f>
        <v>2009577.4200000002</v>
      </c>
      <c r="L364" s="62"/>
    </row>
    <row r="365" spans="1:12" s="58" customFormat="1" ht="23.25" customHeight="1">
      <c r="A365" s="70" t="s">
        <v>721</v>
      </c>
      <c r="B365" s="70" t="s">
        <v>722</v>
      </c>
      <c r="C365" s="71" t="s">
        <v>2105</v>
      </c>
      <c r="D365" s="685" t="s">
        <v>723</v>
      </c>
      <c r="E365" s="72" t="s">
        <v>171</v>
      </c>
      <c r="F365" s="72" t="s">
        <v>1675</v>
      </c>
      <c r="G365" s="72" t="s">
        <v>64</v>
      </c>
      <c r="H365" s="801" t="s">
        <v>1913</v>
      </c>
      <c r="I365" s="674"/>
      <c r="J365" s="657">
        <v>1842</v>
      </c>
      <c r="K365" s="800">
        <f>K364-Table13[[#This Row],[مدين]]+Table13[[#This Row],[دائن]]</f>
        <v>2011419.4200000002</v>
      </c>
      <c r="L365" s="62"/>
    </row>
    <row r="366" spans="1:12" s="58" customFormat="1" ht="23.25" customHeight="1">
      <c r="A366" s="70" t="s">
        <v>724</v>
      </c>
      <c r="B366" s="70" t="s">
        <v>725</v>
      </c>
      <c r="C366" s="71" t="s">
        <v>2102</v>
      </c>
      <c r="D366" s="685" t="s">
        <v>726</v>
      </c>
      <c r="E366" s="72" t="s">
        <v>171</v>
      </c>
      <c r="F366" s="72" t="s">
        <v>1701</v>
      </c>
      <c r="G366" s="72"/>
      <c r="H366" s="801" t="s">
        <v>1913</v>
      </c>
      <c r="I366" s="674"/>
      <c r="J366" s="657">
        <v>2700</v>
      </c>
      <c r="K366" s="800">
        <f>K365-Table13[[#This Row],[مدين]]+Table13[[#This Row],[دائن]]</f>
        <v>2014119.4200000002</v>
      </c>
      <c r="L366" s="62"/>
    </row>
    <row r="367" spans="1:12" s="58" customFormat="1" ht="23.25" customHeight="1">
      <c r="A367" s="70" t="s">
        <v>727</v>
      </c>
      <c r="B367" s="70" t="s">
        <v>728</v>
      </c>
      <c r="C367" s="71" t="s">
        <v>2102</v>
      </c>
      <c r="D367" s="685" t="s">
        <v>729</v>
      </c>
      <c r="E367" s="72" t="s">
        <v>171</v>
      </c>
      <c r="F367" s="72" t="s">
        <v>1702</v>
      </c>
      <c r="G367" s="72" t="s">
        <v>64</v>
      </c>
      <c r="H367" s="801" t="s">
        <v>1913</v>
      </c>
      <c r="I367" s="674"/>
      <c r="J367" s="657">
        <v>476</v>
      </c>
      <c r="K367" s="800">
        <f>K366-Table13[[#This Row],[مدين]]+Table13[[#This Row],[دائن]]</f>
        <v>2014595.4200000002</v>
      </c>
      <c r="L367" s="62"/>
    </row>
    <row r="368" spans="1:12" s="58" customFormat="1" ht="23.25" customHeight="1">
      <c r="A368" s="70" t="s">
        <v>727</v>
      </c>
      <c r="B368" s="70" t="s">
        <v>730</v>
      </c>
      <c r="C368" s="71" t="s">
        <v>2105</v>
      </c>
      <c r="D368" s="685" t="s">
        <v>720</v>
      </c>
      <c r="E368" s="72" t="s">
        <v>1655</v>
      </c>
      <c r="F368" s="72" t="s">
        <v>1700</v>
      </c>
      <c r="G368" s="72" t="s">
        <v>990</v>
      </c>
      <c r="H368" s="801" t="s">
        <v>1913</v>
      </c>
      <c r="I368" s="674"/>
      <c r="J368" s="657">
        <v>40000</v>
      </c>
      <c r="K368" s="800">
        <f>K367-Table13[[#This Row],[مدين]]+Table13[[#This Row],[دائن]]</f>
        <v>2054595.4200000002</v>
      </c>
      <c r="L368" s="62"/>
    </row>
    <row r="369" spans="1:12" s="58" customFormat="1" ht="23.25" customHeight="1">
      <c r="A369" s="70" t="s">
        <v>731</v>
      </c>
      <c r="B369" s="70" t="s">
        <v>732</v>
      </c>
      <c r="C369" s="71" t="s">
        <v>2102</v>
      </c>
      <c r="D369" s="685" t="s">
        <v>733</v>
      </c>
      <c r="E369" s="72" t="s">
        <v>171</v>
      </c>
      <c r="F369" s="72" t="s">
        <v>1683</v>
      </c>
      <c r="G369" s="72" t="s">
        <v>1684</v>
      </c>
      <c r="H369" s="801" t="s">
        <v>1913</v>
      </c>
      <c r="I369" s="674"/>
      <c r="J369" s="657">
        <v>940</v>
      </c>
      <c r="K369" s="800">
        <f>K368-Table13[[#This Row],[مدين]]+Table13[[#This Row],[دائن]]</f>
        <v>2055535.4200000002</v>
      </c>
      <c r="L369" s="62"/>
    </row>
    <row r="370" spans="1:12" s="58" customFormat="1" ht="23.25" customHeight="1">
      <c r="A370" s="70" t="s">
        <v>734</v>
      </c>
      <c r="B370" s="70" t="s">
        <v>735</v>
      </c>
      <c r="C370" s="71" t="s">
        <v>2086</v>
      </c>
      <c r="D370" s="685" t="s">
        <v>180</v>
      </c>
      <c r="E370" s="72" t="s">
        <v>171</v>
      </c>
      <c r="F370" s="72" t="s">
        <v>181</v>
      </c>
      <c r="G370" s="72" t="s">
        <v>1657</v>
      </c>
      <c r="H370" s="801" t="s">
        <v>1913</v>
      </c>
      <c r="I370" s="674"/>
      <c r="J370" s="657">
        <v>7445.65</v>
      </c>
      <c r="K370" s="800">
        <f>K369-Table13[[#This Row],[مدين]]+Table13[[#This Row],[دائن]]</f>
        <v>2062981.07</v>
      </c>
      <c r="L370" s="62"/>
    </row>
    <row r="371" spans="1:12" s="58" customFormat="1" ht="23.25" customHeight="1">
      <c r="A371" s="70" t="s">
        <v>736</v>
      </c>
      <c r="B371" s="70" t="s">
        <v>737</v>
      </c>
      <c r="C371" s="71" t="s">
        <v>2102</v>
      </c>
      <c r="D371" s="685" t="s">
        <v>738</v>
      </c>
      <c r="E371" s="72" t="s">
        <v>171</v>
      </c>
      <c r="F371" s="72" t="s">
        <v>1683</v>
      </c>
      <c r="G371" s="72" t="s">
        <v>1684</v>
      </c>
      <c r="H371" s="801" t="s">
        <v>1913</v>
      </c>
      <c r="I371" s="674"/>
      <c r="J371" s="657">
        <v>1369</v>
      </c>
      <c r="K371" s="800">
        <f>K370-Table13[[#This Row],[مدين]]+Table13[[#This Row],[دائن]]</f>
        <v>2064350.07</v>
      </c>
      <c r="L371" s="62"/>
    </row>
    <row r="372" spans="1:12" s="58" customFormat="1" ht="23.25" customHeight="1">
      <c r="A372" s="70" t="s">
        <v>736</v>
      </c>
      <c r="B372" s="70" t="s">
        <v>739</v>
      </c>
      <c r="C372" s="71" t="s">
        <v>2104</v>
      </c>
      <c r="D372" s="685" t="s">
        <v>740</v>
      </c>
      <c r="E372" s="72" t="s">
        <v>1655</v>
      </c>
      <c r="F372" s="72" t="s">
        <v>1693</v>
      </c>
      <c r="G372" s="72" t="s">
        <v>1693</v>
      </c>
      <c r="H372" s="801"/>
      <c r="I372" s="674"/>
      <c r="J372" s="657">
        <v>35000</v>
      </c>
      <c r="K372" s="800">
        <f>K371-Table13[[#This Row],[مدين]]+Table13[[#This Row],[دائن]]</f>
        <v>2099350.0700000003</v>
      </c>
      <c r="L372" s="62"/>
    </row>
    <row r="373" spans="1:12" s="58" customFormat="1" ht="23.25" customHeight="1">
      <c r="A373" s="70" t="s">
        <v>736</v>
      </c>
      <c r="B373" s="70" t="s">
        <v>741</v>
      </c>
      <c r="C373" s="71" t="s">
        <v>2105</v>
      </c>
      <c r="D373" s="685" t="s">
        <v>511</v>
      </c>
      <c r="E373" s="72" t="s">
        <v>171</v>
      </c>
      <c r="F373" s="72" t="s">
        <v>1675</v>
      </c>
      <c r="G373" s="72" t="s">
        <v>113</v>
      </c>
      <c r="H373" s="801" t="s">
        <v>1913</v>
      </c>
      <c r="I373" s="674"/>
      <c r="J373" s="657">
        <v>921</v>
      </c>
      <c r="K373" s="800">
        <f>K372-Table13[[#This Row],[مدين]]+Table13[[#This Row],[دائن]]</f>
        <v>2100271.0700000003</v>
      </c>
      <c r="L373" s="62"/>
    </row>
    <row r="374" spans="1:12" s="58" customFormat="1" ht="23.25" customHeight="1">
      <c r="A374" s="70" t="s">
        <v>742</v>
      </c>
      <c r="B374" s="70" t="s">
        <v>743</v>
      </c>
      <c r="C374" s="71" t="s">
        <v>2200</v>
      </c>
      <c r="D374" s="685" t="s">
        <v>744</v>
      </c>
      <c r="E374" s="72" t="s">
        <v>171</v>
      </c>
      <c r="F374" s="72" t="s">
        <v>196</v>
      </c>
      <c r="G374" s="72" t="s">
        <v>807</v>
      </c>
      <c r="H374" s="801" t="s">
        <v>1913</v>
      </c>
      <c r="I374" s="802">
        <v>23822.5</v>
      </c>
      <c r="J374" s="802"/>
      <c r="K374" s="800">
        <f>K373-Table13[[#This Row],[مدين]]+Table13[[#This Row],[دائن]]</f>
        <v>2076448.5700000003</v>
      </c>
      <c r="L374" s="62"/>
    </row>
    <row r="375" spans="1:12" s="58" customFormat="1" ht="23.25" customHeight="1">
      <c r="A375" s="70" t="s">
        <v>742</v>
      </c>
      <c r="B375" s="70" t="s">
        <v>745</v>
      </c>
      <c r="C375" s="71" t="s">
        <v>2105</v>
      </c>
      <c r="D375" s="685" t="s">
        <v>2172</v>
      </c>
      <c r="E375" s="72" t="s">
        <v>171</v>
      </c>
      <c r="F375" s="72" t="s">
        <v>196</v>
      </c>
      <c r="G375" s="72" t="s">
        <v>64</v>
      </c>
      <c r="H375" s="801" t="s">
        <v>1913</v>
      </c>
      <c r="I375" s="674"/>
      <c r="J375" s="657">
        <v>801.66</v>
      </c>
      <c r="K375" s="800">
        <f>K374-Table13[[#This Row],[مدين]]+Table13[[#This Row],[دائن]]</f>
        <v>2077250.2300000002</v>
      </c>
      <c r="L375" s="62"/>
    </row>
    <row r="376" spans="1:12" s="58" customFormat="1" ht="23.25" customHeight="1" thickBot="1">
      <c r="A376" s="70" t="s">
        <v>742</v>
      </c>
      <c r="B376" s="70" t="s">
        <v>746</v>
      </c>
      <c r="C376" s="71" t="s">
        <v>2105</v>
      </c>
      <c r="D376" s="685">
        <v>92732</v>
      </c>
      <c r="E376" s="72" t="s">
        <v>1655</v>
      </c>
      <c r="F376" s="72" t="s">
        <v>2072</v>
      </c>
      <c r="G376" s="72" t="s">
        <v>2073</v>
      </c>
      <c r="H376" s="801" t="s">
        <v>1913</v>
      </c>
      <c r="I376" s="674"/>
      <c r="J376" s="657">
        <v>14.73</v>
      </c>
      <c r="K376" s="800">
        <f>K375-Table13[[#This Row],[مدين]]+Table13[[#This Row],[دائن]]</f>
        <v>2077264.9600000002</v>
      </c>
      <c r="L376" s="62"/>
    </row>
    <row r="377" spans="1:12" s="76" customFormat="1" ht="23.25" customHeight="1">
      <c r="A377" s="77" t="s">
        <v>747</v>
      </c>
      <c r="B377" s="77" t="s">
        <v>748</v>
      </c>
      <c r="C377" s="834" t="s">
        <v>749</v>
      </c>
      <c r="D377" s="686" t="s">
        <v>750</v>
      </c>
      <c r="E377" s="72" t="s">
        <v>171</v>
      </c>
      <c r="F377" s="72" t="s">
        <v>196</v>
      </c>
      <c r="G377" s="72" t="s">
        <v>751</v>
      </c>
      <c r="H377" s="801" t="s">
        <v>1913</v>
      </c>
      <c r="I377" s="675"/>
      <c r="J377" s="658">
        <v>737.5</v>
      </c>
      <c r="K377" s="804">
        <f>K376-Table13[[#This Row],[مدين]]+Table13[[#This Row],[دائن]]</f>
        <v>2078002.4600000002</v>
      </c>
      <c r="L377" s="75"/>
    </row>
    <row r="378" spans="1:12" s="76" customFormat="1" ht="23.25" customHeight="1">
      <c r="A378" s="70" t="s">
        <v>747</v>
      </c>
      <c r="B378" s="70" t="s">
        <v>748</v>
      </c>
      <c r="C378" s="822" t="s">
        <v>749</v>
      </c>
      <c r="D378" s="685" t="s">
        <v>750</v>
      </c>
      <c r="E378" s="72" t="s">
        <v>171</v>
      </c>
      <c r="F378" s="72" t="s">
        <v>196</v>
      </c>
      <c r="G378" s="72" t="s">
        <v>751</v>
      </c>
      <c r="H378" s="801" t="s">
        <v>1913</v>
      </c>
      <c r="I378" s="674"/>
      <c r="J378" s="657">
        <v>7300</v>
      </c>
      <c r="K378" s="804">
        <f>K377-Table13[[#This Row],[مدين]]+Table13[[#This Row],[دائن]]</f>
        <v>2085302.4600000002</v>
      </c>
      <c r="L378" s="75"/>
    </row>
    <row r="379" spans="1:12" s="76" customFormat="1" ht="23.25" customHeight="1">
      <c r="A379" s="70" t="s">
        <v>747</v>
      </c>
      <c r="B379" s="70" t="s">
        <v>748</v>
      </c>
      <c r="C379" s="822" t="s">
        <v>749</v>
      </c>
      <c r="D379" s="685" t="s">
        <v>750</v>
      </c>
      <c r="E379" s="72" t="s">
        <v>171</v>
      </c>
      <c r="F379" s="72" t="s">
        <v>196</v>
      </c>
      <c r="G379" s="72" t="s">
        <v>751</v>
      </c>
      <c r="H379" s="801" t="s">
        <v>1913</v>
      </c>
      <c r="I379" s="674"/>
      <c r="J379" s="657">
        <v>7225</v>
      </c>
      <c r="K379" s="804">
        <f>K378-Table13[[#This Row],[مدين]]+Table13[[#This Row],[دائن]]</f>
        <v>2092527.4600000002</v>
      </c>
      <c r="L379" s="75"/>
    </row>
    <row r="380" spans="1:12" s="76" customFormat="1" ht="23.25" customHeight="1">
      <c r="A380" s="70" t="s">
        <v>747</v>
      </c>
      <c r="B380" s="70" t="s">
        <v>748</v>
      </c>
      <c r="C380" s="822" t="s">
        <v>749</v>
      </c>
      <c r="D380" s="685" t="s">
        <v>750</v>
      </c>
      <c r="E380" s="72" t="s">
        <v>171</v>
      </c>
      <c r="F380" s="72" t="s">
        <v>196</v>
      </c>
      <c r="G380" s="72" t="s">
        <v>751</v>
      </c>
      <c r="H380" s="801" t="s">
        <v>1913</v>
      </c>
      <c r="I380" s="674"/>
      <c r="J380" s="657">
        <v>1250</v>
      </c>
      <c r="K380" s="804">
        <f>K379-Table13[[#This Row],[مدين]]+Table13[[#This Row],[دائن]]</f>
        <v>2093777.4600000002</v>
      </c>
      <c r="L380" s="75"/>
    </row>
    <row r="381" spans="1:12" s="76" customFormat="1" ht="23.25" customHeight="1">
      <c r="A381" s="70" t="s">
        <v>747</v>
      </c>
      <c r="B381" s="70" t="s">
        <v>748</v>
      </c>
      <c r="C381" s="822" t="s">
        <v>749</v>
      </c>
      <c r="D381" s="685" t="s">
        <v>750</v>
      </c>
      <c r="E381" s="72" t="s">
        <v>171</v>
      </c>
      <c r="F381" s="72" t="s">
        <v>196</v>
      </c>
      <c r="G381" s="72" t="s">
        <v>751</v>
      </c>
      <c r="H381" s="801" t="s">
        <v>1913</v>
      </c>
      <c r="I381" s="674"/>
      <c r="J381" s="657">
        <v>4917.5</v>
      </c>
      <c r="K381" s="804">
        <f>K380-Table13[[#This Row],[مدين]]+Table13[[#This Row],[دائن]]</f>
        <v>2098694.96</v>
      </c>
      <c r="L381" s="75"/>
    </row>
    <row r="382" spans="1:12" s="76" customFormat="1" ht="23.25" customHeight="1">
      <c r="A382" s="70" t="s">
        <v>747</v>
      </c>
      <c r="B382" s="70" t="s">
        <v>748</v>
      </c>
      <c r="C382" s="822" t="s">
        <v>749</v>
      </c>
      <c r="D382" s="685" t="s">
        <v>750</v>
      </c>
      <c r="E382" s="72" t="s">
        <v>171</v>
      </c>
      <c r="F382" s="72" t="s">
        <v>196</v>
      </c>
      <c r="G382" s="72" t="s">
        <v>751</v>
      </c>
      <c r="H382" s="801" t="s">
        <v>1913</v>
      </c>
      <c r="I382" s="674"/>
      <c r="J382" s="657">
        <v>7378.34</v>
      </c>
      <c r="K382" s="804">
        <f>K381-Table13[[#This Row],[مدين]]+Table13[[#This Row],[دائن]]</f>
        <v>2106073.2999999998</v>
      </c>
      <c r="L382" s="75"/>
    </row>
    <row r="383" spans="1:12" s="76" customFormat="1" ht="23.25" customHeight="1">
      <c r="A383" s="70" t="s">
        <v>747</v>
      </c>
      <c r="B383" s="70" t="s">
        <v>748</v>
      </c>
      <c r="C383" s="822" t="s">
        <v>749</v>
      </c>
      <c r="D383" s="685" t="s">
        <v>750</v>
      </c>
      <c r="E383" s="72" t="s">
        <v>171</v>
      </c>
      <c r="F383" s="72" t="s">
        <v>196</v>
      </c>
      <c r="G383" s="72" t="s">
        <v>751</v>
      </c>
      <c r="H383" s="801" t="s">
        <v>1913</v>
      </c>
      <c r="I383" s="674"/>
      <c r="J383" s="657">
        <v>1250</v>
      </c>
      <c r="K383" s="804">
        <f>K382-Table13[[#This Row],[مدين]]+Table13[[#This Row],[دائن]]</f>
        <v>2107323.2999999998</v>
      </c>
      <c r="L383" s="75"/>
    </row>
    <row r="384" spans="1:12" s="76" customFormat="1" ht="23.25" customHeight="1">
      <c r="A384" s="70" t="s">
        <v>747</v>
      </c>
      <c r="B384" s="70" t="s">
        <v>748</v>
      </c>
      <c r="C384" s="822" t="s">
        <v>749</v>
      </c>
      <c r="D384" s="685" t="s">
        <v>750</v>
      </c>
      <c r="E384" s="72" t="s">
        <v>171</v>
      </c>
      <c r="F384" s="72" t="s">
        <v>196</v>
      </c>
      <c r="G384" s="72" t="s">
        <v>751</v>
      </c>
      <c r="H384" s="801" t="s">
        <v>1913</v>
      </c>
      <c r="I384" s="674"/>
      <c r="J384" s="657">
        <v>15500</v>
      </c>
      <c r="K384" s="804">
        <f>K383-Table13[[#This Row],[مدين]]+Table13[[#This Row],[دائن]]</f>
        <v>2122823.2999999998</v>
      </c>
      <c r="L384" s="75"/>
    </row>
    <row r="385" spans="1:12" s="76" customFormat="1" ht="23.25" customHeight="1">
      <c r="A385" s="70" t="s">
        <v>747</v>
      </c>
      <c r="B385" s="70" t="s">
        <v>748</v>
      </c>
      <c r="C385" s="822" t="s">
        <v>749</v>
      </c>
      <c r="D385" s="685" t="s">
        <v>750</v>
      </c>
      <c r="E385" s="72" t="s">
        <v>171</v>
      </c>
      <c r="F385" s="72" t="s">
        <v>196</v>
      </c>
      <c r="G385" s="72" t="s">
        <v>751</v>
      </c>
      <c r="H385" s="801" t="s">
        <v>1913</v>
      </c>
      <c r="I385" s="674"/>
      <c r="J385" s="657">
        <v>10600</v>
      </c>
      <c r="K385" s="804">
        <f>K384-Table13[[#This Row],[مدين]]+Table13[[#This Row],[دائن]]</f>
        <v>2133423.2999999998</v>
      </c>
      <c r="L385" s="75"/>
    </row>
    <row r="386" spans="1:12" s="76" customFormat="1" ht="23.25" customHeight="1">
      <c r="A386" s="70" t="s">
        <v>747</v>
      </c>
      <c r="B386" s="70" t="s">
        <v>748</v>
      </c>
      <c r="C386" s="822" t="s">
        <v>749</v>
      </c>
      <c r="D386" s="685" t="s">
        <v>750</v>
      </c>
      <c r="E386" s="72" t="s">
        <v>171</v>
      </c>
      <c r="F386" s="72" t="s">
        <v>196</v>
      </c>
      <c r="G386" s="72" t="s">
        <v>751</v>
      </c>
      <c r="H386" s="801" t="s">
        <v>1913</v>
      </c>
      <c r="I386" s="674"/>
      <c r="J386" s="657">
        <v>96989.58</v>
      </c>
      <c r="K386" s="804">
        <f>K385-Table13[[#This Row],[مدين]]+Table13[[#This Row],[دائن]]</f>
        <v>2230412.88</v>
      </c>
      <c r="L386" s="75"/>
    </row>
    <row r="387" spans="1:12" s="76" customFormat="1" ht="23.25" customHeight="1">
      <c r="A387" s="70" t="s">
        <v>747</v>
      </c>
      <c r="B387" s="70" t="s">
        <v>752</v>
      </c>
      <c r="C387" s="822" t="s">
        <v>749</v>
      </c>
      <c r="D387" s="685" t="s">
        <v>753</v>
      </c>
      <c r="E387" s="72" t="s">
        <v>171</v>
      </c>
      <c r="F387" s="72" t="s">
        <v>196</v>
      </c>
      <c r="G387" s="72" t="s">
        <v>751</v>
      </c>
      <c r="H387" s="801" t="s">
        <v>1913</v>
      </c>
      <c r="I387" s="674"/>
      <c r="J387" s="657">
        <v>2500</v>
      </c>
      <c r="K387" s="804">
        <f>K386-Table13[[#This Row],[مدين]]+Table13[[#This Row],[دائن]]</f>
        <v>2232912.88</v>
      </c>
      <c r="L387" s="75"/>
    </row>
    <row r="388" spans="1:12" s="76" customFormat="1" ht="23.25" customHeight="1">
      <c r="A388" s="70" t="s">
        <v>747</v>
      </c>
      <c r="B388" s="70" t="s">
        <v>754</v>
      </c>
      <c r="C388" s="822" t="s">
        <v>749</v>
      </c>
      <c r="D388" s="685" t="s">
        <v>755</v>
      </c>
      <c r="E388" s="72" t="s">
        <v>171</v>
      </c>
      <c r="F388" s="72" t="s">
        <v>196</v>
      </c>
      <c r="G388" s="72" t="s">
        <v>751</v>
      </c>
      <c r="H388" s="801" t="s">
        <v>1913</v>
      </c>
      <c r="I388" s="674"/>
      <c r="J388" s="657">
        <v>1550</v>
      </c>
      <c r="K388" s="804">
        <f>K387-Table13[[#This Row],[مدين]]+Table13[[#This Row],[دائن]]</f>
        <v>2234462.88</v>
      </c>
      <c r="L388" s="75"/>
    </row>
    <row r="389" spans="1:12" s="76" customFormat="1" ht="23.25" customHeight="1">
      <c r="A389" s="70" t="s">
        <v>747</v>
      </c>
      <c r="B389" s="70" t="s">
        <v>754</v>
      </c>
      <c r="C389" s="822" t="s">
        <v>749</v>
      </c>
      <c r="D389" s="685" t="s">
        <v>755</v>
      </c>
      <c r="E389" s="72" t="s">
        <v>171</v>
      </c>
      <c r="F389" s="72" t="s">
        <v>196</v>
      </c>
      <c r="G389" s="72" t="s">
        <v>751</v>
      </c>
      <c r="H389" s="801" t="s">
        <v>1913</v>
      </c>
      <c r="I389" s="674"/>
      <c r="J389" s="657">
        <v>387.5</v>
      </c>
      <c r="K389" s="804">
        <f>K388-Table13[[#This Row],[مدين]]+Table13[[#This Row],[دائن]]</f>
        <v>2234850.38</v>
      </c>
      <c r="L389" s="75"/>
    </row>
    <row r="390" spans="1:12" s="58" customFormat="1" ht="23.25" customHeight="1">
      <c r="A390" s="70" t="s">
        <v>747</v>
      </c>
      <c r="B390" s="70" t="s">
        <v>756</v>
      </c>
      <c r="C390" s="71" t="s">
        <v>2086</v>
      </c>
      <c r="D390" s="685" t="s">
        <v>227</v>
      </c>
      <c r="E390" s="72" t="s">
        <v>171</v>
      </c>
      <c r="F390" s="72" t="s">
        <v>181</v>
      </c>
      <c r="G390" s="72" t="s">
        <v>1657</v>
      </c>
      <c r="H390" s="801" t="s">
        <v>1913</v>
      </c>
      <c r="I390" s="674"/>
      <c r="J390" s="657">
        <v>7464</v>
      </c>
      <c r="K390" s="800">
        <f>K389-Table13[[#This Row],[مدين]]+Table13[[#This Row],[دائن]]</f>
        <v>2242314.38</v>
      </c>
      <c r="L390" s="62"/>
    </row>
    <row r="391" spans="1:12" s="58" customFormat="1" ht="23.25" customHeight="1">
      <c r="A391" s="70" t="s">
        <v>747</v>
      </c>
      <c r="B391" s="70" t="s">
        <v>757</v>
      </c>
      <c r="C391" s="71" t="s">
        <v>2086</v>
      </c>
      <c r="D391" s="685" t="s">
        <v>229</v>
      </c>
      <c r="E391" s="72" t="s">
        <v>171</v>
      </c>
      <c r="F391" s="72" t="s">
        <v>181</v>
      </c>
      <c r="G391" s="72" t="s">
        <v>1676</v>
      </c>
      <c r="H391" s="801" t="s">
        <v>1913</v>
      </c>
      <c r="I391" s="674"/>
      <c r="J391" s="657">
        <v>36173</v>
      </c>
      <c r="K391" s="800">
        <f>K390-Table13[[#This Row],[مدين]]+Table13[[#This Row],[دائن]]</f>
        <v>2278487.38</v>
      </c>
      <c r="L391" s="62"/>
    </row>
    <row r="392" spans="1:12" s="58" customFormat="1" ht="23.25" customHeight="1">
      <c r="A392" s="70" t="s">
        <v>747</v>
      </c>
      <c r="B392" s="70" t="s">
        <v>758</v>
      </c>
      <c r="C392" s="71" t="s">
        <v>2086</v>
      </c>
      <c r="D392" s="685" t="s">
        <v>231</v>
      </c>
      <c r="E392" s="72" t="s">
        <v>171</v>
      </c>
      <c r="F392" s="72" t="s">
        <v>181</v>
      </c>
      <c r="G392" s="72" t="s">
        <v>1658</v>
      </c>
      <c r="H392" s="801" t="s">
        <v>1913</v>
      </c>
      <c r="I392" s="674"/>
      <c r="J392" s="657">
        <v>8333</v>
      </c>
      <c r="K392" s="800">
        <f>K391-Table13[[#This Row],[مدين]]+Table13[[#This Row],[دائن]]</f>
        <v>2286820.38</v>
      </c>
      <c r="L392" s="62"/>
    </row>
    <row r="393" spans="1:12" s="58" customFormat="1" ht="23.25" customHeight="1">
      <c r="A393" s="70" t="s">
        <v>747</v>
      </c>
      <c r="B393" s="70" t="s">
        <v>759</v>
      </c>
      <c r="C393" s="71" t="s">
        <v>2102</v>
      </c>
      <c r="D393" s="685" t="s">
        <v>233</v>
      </c>
      <c r="E393" s="72" t="s">
        <v>171</v>
      </c>
      <c r="F393" s="72" t="s">
        <v>1677</v>
      </c>
      <c r="G393" s="72"/>
      <c r="H393" s="801" t="s">
        <v>1913</v>
      </c>
      <c r="I393" s="674"/>
      <c r="J393" s="657">
        <v>45</v>
      </c>
      <c r="K393" s="800">
        <f>K392-Table13[[#This Row],[مدين]]+Table13[[#This Row],[دائن]]</f>
        <v>2286865.38</v>
      </c>
      <c r="L393" s="62"/>
    </row>
    <row r="394" spans="1:12" s="58" customFormat="1" ht="23.25" customHeight="1">
      <c r="A394" s="70" t="s">
        <v>747</v>
      </c>
      <c r="B394" s="70" t="s">
        <v>760</v>
      </c>
      <c r="C394" s="641" t="s">
        <v>2201</v>
      </c>
      <c r="D394" s="685" t="s">
        <v>761</v>
      </c>
      <c r="E394" s="72" t="s">
        <v>1667</v>
      </c>
      <c r="F394" s="72" t="s">
        <v>168</v>
      </c>
      <c r="G394" s="72" t="s">
        <v>1668</v>
      </c>
      <c r="H394" s="801" t="s">
        <v>1913</v>
      </c>
      <c r="I394" s="802">
        <v>47942</v>
      </c>
      <c r="J394" s="802"/>
      <c r="K394" s="804">
        <f>K393-Table13[[#This Row],[مدين]]+Table13[[#This Row],[دائن]]</f>
        <v>2238923.38</v>
      </c>
      <c r="L394" s="62"/>
    </row>
    <row r="395" spans="1:12" s="58" customFormat="1" ht="23.25" customHeight="1">
      <c r="A395" s="70" t="s">
        <v>747</v>
      </c>
      <c r="B395" s="70" t="s">
        <v>762</v>
      </c>
      <c r="C395" s="641" t="s">
        <v>1932</v>
      </c>
      <c r="D395" s="685" t="s">
        <v>763</v>
      </c>
      <c r="E395" s="72" t="s">
        <v>1667</v>
      </c>
      <c r="F395" s="72" t="s">
        <v>168</v>
      </c>
      <c r="G395" s="72" t="s">
        <v>1678</v>
      </c>
      <c r="H395" s="801" t="s">
        <v>1913</v>
      </c>
      <c r="I395" s="802">
        <v>96450</v>
      </c>
      <c r="J395" s="802"/>
      <c r="K395" s="800">
        <f>K394-Table13[[#This Row],[مدين]]+Table13[[#This Row],[دائن]]</f>
        <v>2142473.38</v>
      </c>
      <c r="L395" s="62"/>
    </row>
    <row r="396" spans="1:12" s="58" customFormat="1" ht="23.25" customHeight="1">
      <c r="A396" s="70" t="s">
        <v>747</v>
      </c>
      <c r="B396" s="70" t="s">
        <v>764</v>
      </c>
      <c r="C396" s="641" t="s">
        <v>1932</v>
      </c>
      <c r="D396" s="685" t="s">
        <v>765</v>
      </c>
      <c r="E396" s="72" t="s">
        <v>1667</v>
      </c>
      <c r="F396" s="72" t="s">
        <v>168</v>
      </c>
      <c r="G396" s="72" t="s">
        <v>1679</v>
      </c>
      <c r="H396" s="801" t="s">
        <v>1913</v>
      </c>
      <c r="I396" s="674"/>
      <c r="J396" s="709">
        <v>23766</v>
      </c>
      <c r="K396" s="800">
        <f>K395-Table13[[#This Row],[مدين]]+Table13[[#This Row],[دائن]]</f>
        <v>2166239.38</v>
      </c>
      <c r="L396" s="62"/>
    </row>
    <row r="397" spans="1:12" s="58" customFormat="1" ht="23.25" customHeight="1" thickBot="1">
      <c r="A397" s="70" t="s">
        <v>766</v>
      </c>
      <c r="B397" s="70" t="s">
        <v>767</v>
      </c>
      <c r="C397" s="71" t="s">
        <v>2102</v>
      </c>
      <c r="D397" s="685" t="s">
        <v>186</v>
      </c>
      <c r="E397" s="72" t="s">
        <v>1655</v>
      </c>
      <c r="F397" s="72" t="s">
        <v>186</v>
      </c>
      <c r="G397" s="72"/>
      <c r="H397" s="801" t="s">
        <v>1913</v>
      </c>
      <c r="I397" s="674"/>
      <c r="J397" s="657">
        <v>25</v>
      </c>
      <c r="K397" s="800">
        <f>K396-Table13[[#This Row],[مدين]]+Table13[[#This Row],[دائن]]</f>
        <v>2166264.38</v>
      </c>
      <c r="L397" s="62"/>
    </row>
    <row r="398" spans="1:12" s="58" customFormat="1" ht="23.25" customHeight="1" thickBot="1">
      <c r="A398" s="70" t="s">
        <v>766</v>
      </c>
      <c r="B398" s="70" t="s">
        <v>768</v>
      </c>
      <c r="C398" s="836" t="s">
        <v>2105</v>
      </c>
      <c r="D398" s="685" t="s">
        <v>769</v>
      </c>
      <c r="E398" s="806" t="s">
        <v>1655</v>
      </c>
      <c r="F398" s="806" t="s">
        <v>1686</v>
      </c>
      <c r="G398" s="806">
        <v>512</v>
      </c>
      <c r="H398" s="801" t="s">
        <v>1913</v>
      </c>
      <c r="I398" s="674"/>
      <c r="J398" s="657">
        <v>1132.25</v>
      </c>
      <c r="K398" s="800">
        <f>K397-Table13[[#This Row],[مدين]]+Table13[[#This Row],[دائن]]</f>
        <v>2167396.63</v>
      </c>
      <c r="L398" s="62"/>
    </row>
    <row r="399" spans="1:12" s="58" customFormat="1" ht="23.25" customHeight="1" thickBot="1">
      <c r="A399" s="70" t="s">
        <v>766</v>
      </c>
      <c r="B399" s="70" t="s">
        <v>770</v>
      </c>
      <c r="C399" s="836" t="s">
        <v>2105</v>
      </c>
      <c r="D399" s="685" t="s">
        <v>771</v>
      </c>
      <c r="E399" s="806" t="s">
        <v>1655</v>
      </c>
      <c r="F399" s="806" t="s">
        <v>1686</v>
      </c>
      <c r="G399" s="806">
        <v>512</v>
      </c>
      <c r="H399" s="801" t="s">
        <v>1913</v>
      </c>
      <c r="I399" s="674"/>
      <c r="J399" s="657">
        <v>457.8</v>
      </c>
      <c r="K399" s="800">
        <f>K398-Table13[[#This Row],[مدين]]+Table13[[#This Row],[دائن]]</f>
        <v>2167854.4299999997</v>
      </c>
      <c r="L399" s="62"/>
    </row>
    <row r="400" spans="1:12" s="58" customFormat="1" ht="23.25" customHeight="1" thickBot="1">
      <c r="A400" s="70" t="s">
        <v>766</v>
      </c>
      <c r="B400" s="70" t="s">
        <v>772</v>
      </c>
      <c r="C400" s="836" t="s">
        <v>2105</v>
      </c>
      <c r="D400" s="685" t="s">
        <v>773</v>
      </c>
      <c r="E400" s="806" t="s">
        <v>1655</v>
      </c>
      <c r="F400" s="806" t="s">
        <v>1686</v>
      </c>
      <c r="G400" s="806">
        <v>512</v>
      </c>
      <c r="H400" s="801" t="s">
        <v>1913</v>
      </c>
      <c r="I400" s="674"/>
      <c r="J400" s="657">
        <v>1149.3499999999999</v>
      </c>
      <c r="K400" s="800">
        <f>K399-Table13[[#This Row],[مدين]]+Table13[[#This Row],[دائن]]</f>
        <v>2169003.7799999998</v>
      </c>
      <c r="L400" s="62"/>
    </row>
    <row r="401" spans="1:12" s="58" customFormat="1" ht="23.25" customHeight="1" thickBot="1">
      <c r="A401" s="70" t="s">
        <v>766</v>
      </c>
      <c r="B401" s="70" t="s">
        <v>774</v>
      </c>
      <c r="C401" s="836" t="s">
        <v>2105</v>
      </c>
      <c r="D401" s="685" t="s">
        <v>775</v>
      </c>
      <c r="E401" s="806" t="s">
        <v>1655</v>
      </c>
      <c r="F401" s="806" t="s">
        <v>1686</v>
      </c>
      <c r="G401" s="806">
        <v>512</v>
      </c>
      <c r="H401" s="801" t="s">
        <v>1913</v>
      </c>
      <c r="I401" s="674"/>
      <c r="J401" s="657">
        <v>692.01</v>
      </c>
      <c r="K401" s="800">
        <f>K400-Table13[[#This Row],[مدين]]+Table13[[#This Row],[دائن]]</f>
        <v>2169695.7899999996</v>
      </c>
      <c r="L401" s="62"/>
    </row>
    <row r="402" spans="1:12" s="58" customFormat="1" ht="23.25" customHeight="1">
      <c r="A402" s="70" t="s">
        <v>766</v>
      </c>
      <c r="B402" s="70" t="s">
        <v>776</v>
      </c>
      <c r="C402" s="836" t="s">
        <v>2105</v>
      </c>
      <c r="D402" s="685" t="s">
        <v>769</v>
      </c>
      <c r="E402" s="806" t="s">
        <v>1655</v>
      </c>
      <c r="F402" s="806" t="s">
        <v>1686</v>
      </c>
      <c r="G402" s="806">
        <v>512</v>
      </c>
      <c r="H402" s="801" t="s">
        <v>1913</v>
      </c>
      <c r="I402" s="674"/>
      <c r="J402" s="657">
        <v>1057.53</v>
      </c>
      <c r="K402" s="800">
        <f>K401-Table13[[#This Row],[مدين]]+Table13[[#This Row],[دائن]]</f>
        <v>2170753.3199999994</v>
      </c>
      <c r="L402" s="62"/>
    </row>
    <row r="403" spans="1:12" s="58" customFormat="1" ht="23.25" customHeight="1">
      <c r="A403" s="70" t="s">
        <v>777</v>
      </c>
      <c r="B403" s="70" t="s">
        <v>778</v>
      </c>
      <c r="C403" s="71" t="s">
        <v>2086</v>
      </c>
      <c r="D403" s="685" t="s">
        <v>205</v>
      </c>
      <c r="E403" s="72" t="s">
        <v>1655</v>
      </c>
      <c r="F403" s="72" t="s">
        <v>205</v>
      </c>
      <c r="G403" s="72"/>
      <c r="H403" s="801" t="s">
        <v>1913</v>
      </c>
      <c r="I403" s="674"/>
      <c r="J403" s="657">
        <v>416</v>
      </c>
      <c r="K403" s="800">
        <f>K402-Table13[[#This Row],[مدين]]+Table13[[#This Row],[دائن]]</f>
        <v>2171169.3199999994</v>
      </c>
      <c r="L403" s="62"/>
    </row>
    <row r="404" spans="1:12" s="58" customFormat="1" ht="23.25" customHeight="1">
      <c r="A404" s="70" t="s">
        <v>779</v>
      </c>
      <c r="B404" s="70" t="s">
        <v>780</v>
      </c>
      <c r="C404" s="641" t="s">
        <v>2086</v>
      </c>
      <c r="D404" s="685" t="s">
        <v>781</v>
      </c>
      <c r="E404" s="72" t="s">
        <v>199</v>
      </c>
      <c r="F404" s="72" t="s">
        <v>2173</v>
      </c>
      <c r="G404" s="72" t="s">
        <v>1708</v>
      </c>
      <c r="H404" s="801" t="s">
        <v>1913</v>
      </c>
      <c r="I404" s="674"/>
      <c r="J404" s="657">
        <v>5400000</v>
      </c>
      <c r="K404" s="800">
        <f>K403-Table13[[#This Row],[مدين]]+Table13[[#This Row],[دائن]]</f>
        <v>7571169.3199999994</v>
      </c>
      <c r="L404" s="62"/>
    </row>
    <row r="405" spans="1:12" s="58" customFormat="1" ht="23.25" customHeight="1">
      <c r="A405" s="70" t="s">
        <v>782</v>
      </c>
      <c r="B405" s="70" t="s">
        <v>783</v>
      </c>
      <c r="C405" s="641" t="s">
        <v>2086</v>
      </c>
      <c r="D405" s="685" t="s">
        <v>183</v>
      </c>
      <c r="E405" s="72" t="s">
        <v>171</v>
      </c>
      <c r="F405" s="72" t="s">
        <v>69</v>
      </c>
      <c r="G405" s="72" t="s">
        <v>64</v>
      </c>
      <c r="H405" s="801" t="s">
        <v>1913</v>
      </c>
      <c r="I405" s="674"/>
      <c r="J405" s="657">
        <v>1450</v>
      </c>
      <c r="K405" s="800">
        <f>K404-Table13[[#This Row],[مدين]]+Table13[[#This Row],[دائن]]</f>
        <v>7572619.3199999994</v>
      </c>
      <c r="L405" s="62"/>
    </row>
    <row r="406" spans="1:12" s="58" customFormat="1" ht="23.25" customHeight="1">
      <c r="A406" s="70" t="s">
        <v>784</v>
      </c>
      <c r="B406" s="70" t="s">
        <v>785</v>
      </c>
      <c r="C406" s="71" t="s">
        <v>2105</v>
      </c>
      <c r="D406" s="685" t="s">
        <v>2174</v>
      </c>
      <c r="E406" s="72" t="s">
        <v>171</v>
      </c>
      <c r="F406" s="72" t="s">
        <v>196</v>
      </c>
      <c r="G406" s="72" t="s">
        <v>1007</v>
      </c>
      <c r="H406" s="801" t="s">
        <v>1913</v>
      </c>
      <c r="I406" s="674"/>
      <c r="J406" s="657">
        <v>424.99</v>
      </c>
      <c r="K406" s="800">
        <f>K405-Table13[[#This Row],[مدين]]+Table13[[#This Row],[دائن]]</f>
        <v>7573044.3099999996</v>
      </c>
      <c r="L406" s="62"/>
    </row>
    <row r="407" spans="1:12" s="58" customFormat="1" ht="23.25" customHeight="1">
      <c r="A407" s="70" t="s">
        <v>784</v>
      </c>
      <c r="B407" s="70" t="s">
        <v>786</v>
      </c>
      <c r="C407" s="71" t="s">
        <v>2102</v>
      </c>
      <c r="D407" s="685" t="s">
        <v>186</v>
      </c>
      <c r="E407" s="72" t="s">
        <v>1655</v>
      </c>
      <c r="F407" s="72" t="s">
        <v>186</v>
      </c>
      <c r="G407" s="72"/>
      <c r="H407" s="801" t="s">
        <v>1913</v>
      </c>
      <c r="I407" s="674"/>
      <c r="J407" s="657">
        <v>50</v>
      </c>
      <c r="K407" s="800">
        <f>K406-Table13[[#This Row],[مدين]]+Table13[[#This Row],[دائن]]</f>
        <v>7573094.3099999996</v>
      </c>
      <c r="L407" s="62"/>
    </row>
    <row r="408" spans="1:12" s="58" customFormat="1" ht="23.25" customHeight="1">
      <c r="A408" s="70" t="s">
        <v>787</v>
      </c>
      <c r="B408" s="70" t="s">
        <v>788</v>
      </c>
      <c r="C408" s="71" t="s">
        <v>2102</v>
      </c>
      <c r="D408" s="685" t="s">
        <v>186</v>
      </c>
      <c r="E408" s="72" t="s">
        <v>1655</v>
      </c>
      <c r="F408" s="72" t="s">
        <v>186</v>
      </c>
      <c r="G408" s="72"/>
      <c r="H408" s="801" t="s">
        <v>1913</v>
      </c>
      <c r="I408" s="674"/>
      <c r="J408" s="657">
        <v>50</v>
      </c>
      <c r="K408" s="800">
        <f>K407-Table13[[#This Row],[مدين]]+Table13[[#This Row],[دائن]]</f>
        <v>7573144.3099999996</v>
      </c>
      <c r="L408" s="62"/>
    </row>
    <row r="409" spans="1:12" s="58" customFormat="1" ht="23.25" customHeight="1">
      <c r="A409" s="70" t="s">
        <v>789</v>
      </c>
      <c r="B409" s="70" t="s">
        <v>790</v>
      </c>
      <c r="C409" s="641" t="s">
        <v>2086</v>
      </c>
      <c r="D409" s="685" t="s">
        <v>791</v>
      </c>
      <c r="E409" s="72" t="s">
        <v>199</v>
      </c>
      <c r="F409" s="72" t="s">
        <v>1690</v>
      </c>
      <c r="G409" s="72" t="s">
        <v>67</v>
      </c>
      <c r="H409" s="801" t="s">
        <v>1913</v>
      </c>
      <c r="I409" s="674"/>
      <c r="J409" s="657">
        <v>135000</v>
      </c>
      <c r="K409" s="800">
        <f>K408-Table13[[#This Row],[مدين]]+Table13[[#This Row],[دائن]]</f>
        <v>7708144.3099999996</v>
      </c>
      <c r="L409" s="62"/>
    </row>
    <row r="410" spans="1:12" s="58" customFormat="1" ht="23.25" customHeight="1">
      <c r="A410" s="70" t="s">
        <v>789</v>
      </c>
      <c r="B410" s="70" t="s">
        <v>792</v>
      </c>
      <c r="C410" s="71" t="s">
        <v>2199</v>
      </c>
      <c r="D410" s="685" t="s">
        <v>793</v>
      </c>
      <c r="E410" s="72" t="s">
        <v>176</v>
      </c>
      <c r="F410" s="72" t="s">
        <v>2109</v>
      </c>
      <c r="G410" s="72" t="s">
        <v>2181</v>
      </c>
      <c r="H410" s="801" t="s">
        <v>1913</v>
      </c>
      <c r="I410" s="802">
        <v>5000</v>
      </c>
      <c r="J410" s="802"/>
      <c r="K410" s="800">
        <f>K409-Table13[[#This Row],[مدين]]+Table13[[#This Row],[دائن]]</f>
        <v>7703144.3099999996</v>
      </c>
      <c r="L410" s="62"/>
    </row>
    <row r="411" spans="1:12" s="58" customFormat="1" ht="23.25" customHeight="1">
      <c r="A411" s="70" t="s">
        <v>794</v>
      </c>
      <c r="B411" s="70" t="s">
        <v>795</v>
      </c>
      <c r="C411" s="71" t="s">
        <v>2102</v>
      </c>
      <c r="D411" s="685" t="s">
        <v>796</v>
      </c>
      <c r="E411" s="72" t="s">
        <v>171</v>
      </c>
      <c r="F411" s="72" t="s">
        <v>1701</v>
      </c>
      <c r="G411" s="72"/>
      <c r="H411" s="801" t="s">
        <v>1913</v>
      </c>
      <c r="I411" s="674"/>
      <c r="J411" s="657">
        <v>2500</v>
      </c>
      <c r="K411" s="800">
        <f>K410-Table13[[#This Row],[مدين]]+Table13[[#This Row],[دائن]]</f>
        <v>7705644.3099999996</v>
      </c>
      <c r="L411" s="62"/>
    </row>
    <row r="412" spans="1:12" s="58" customFormat="1" ht="23.25" customHeight="1">
      <c r="A412" s="70" t="s">
        <v>797</v>
      </c>
      <c r="B412" s="70" t="s">
        <v>798</v>
      </c>
      <c r="C412" s="71" t="s">
        <v>2105</v>
      </c>
      <c r="D412" s="685" t="s">
        <v>799</v>
      </c>
      <c r="E412" s="72" t="s">
        <v>1655</v>
      </c>
      <c r="F412" s="72" t="s">
        <v>1704</v>
      </c>
      <c r="G412" s="72" t="s">
        <v>990</v>
      </c>
      <c r="H412" s="801" t="s">
        <v>1913</v>
      </c>
      <c r="I412" s="674"/>
      <c r="J412" s="657">
        <v>1500</v>
      </c>
      <c r="K412" s="800">
        <f>K411-Table13[[#This Row],[مدين]]+Table13[[#This Row],[دائن]]</f>
        <v>7707144.3099999996</v>
      </c>
      <c r="L412" s="62"/>
    </row>
    <row r="413" spans="1:12" s="58" customFormat="1" ht="23.25" customHeight="1">
      <c r="A413" s="70" t="s">
        <v>797</v>
      </c>
      <c r="B413" s="70" t="s">
        <v>800</v>
      </c>
      <c r="C413" s="71" t="s">
        <v>2086</v>
      </c>
      <c r="D413" s="685" t="s">
        <v>180</v>
      </c>
      <c r="E413" s="72" t="s">
        <v>171</v>
      </c>
      <c r="F413" s="72" t="s">
        <v>181</v>
      </c>
      <c r="G413" s="72" t="s">
        <v>1657</v>
      </c>
      <c r="H413" s="801" t="s">
        <v>1913</v>
      </c>
      <c r="I413" s="674"/>
      <c r="J413" s="657">
        <v>11112.15</v>
      </c>
      <c r="K413" s="800">
        <f>K412-Table13[[#This Row],[مدين]]+Table13[[#This Row],[دائن]]</f>
        <v>7718256.46</v>
      </c>
      <c r="L413" s="62"/>
    </row>
    <row r="414" spans="1:12" s="58" customFormat="1" ht="23.25" customHeight="1">
      <c r="A414" s="70" t="s">
        <v>797</v>
      </c>
      <c r="B414" s="70" t="s">
        <v>801</v>
      </c>
      <c r="C414" s="641" t="s">
        <v>2086</v>
      </c>
      <c r="D414" s="685" t="s">
        <v>802</v>
      </c>
      <c r="E414" s="72" t="s">
        <v>171</v>
      </c>
      <c r="F414" s="72" t="s">
        <v>69</v>
      </c>
      <c r="G414" s="72" t="s">
        <v>113</v>
      </c>
      <c r="H414" s="801" t="s">
        <v>1913</v>
      </c>
      <c r="I414" s="674"/>
      <c r="J414" s="657">
        <v>91.35</v>
      </c>
      <c r="K414" s="800">
        <f>K413-Table13[[#This Row],[مدين]]+Table13[[#This Row],[دائن]]</f>
        <v>7718347.8099999996</v>
      </c>
      <c r="L414" s="62"/>
    </row>
    <row r="415" spans="1:12" s="58" customFormat="1" ht="23.25" customHeight="1">
      <c r="A415" s="70" t="s">
        <v>803</v>
      </c>
      <c r="B415" s="70" t="s">
        <v>804</v>
      </c>
      <c r="C415" s="71" t="s">
        <v>805</v>
      </c>
      <c r="D415" s="685" t="s">
        <v>806</v>
      </c>
      <c r="E415" s="72" t="s">
        <v>171</v>
      </c>
      <c r="F415" s="72" t="s">
        <v>196</v>
      </c>
      <c r="G415" s="72" t="s">
        <v>807</v>
      </c>
      <c r="H415" s="801" t="s">
        <v>1913</v>
      </c>
      <c r="I415" s="674"/>
      <c r="J415" s="657">
        <v>7300</v>
      </c>
      <c r="K415" s="804">
        <f>K414-Table13[[#This Row],[مدين]]+Table13[[#This Row],[دائن]]</f>
        <v>7725647.8099999996</v>
      </c>
      <c r="L415" s="62"/>
    </row>
    <row r="416" spans="1:12" s="58" customFormat="1" ht="23.25" customHeight="1">
      <c r="A416" s="70" t="s">
        <v>803</v>
      </c>
      <c r="B416" s="70" t="s">
        <v>804</v>
      </c>
      <c r="C416" s="71" t="s">
        <v>805</v>
      </c>
      <c r="D416" s="685" t="s">
        <v>806</v>
      </c>
      <c r="E416" s="72" t="s">
        <v>171</v>
      </c>
      <c r="F416" s="72" t="s">
        <v>196</v>
      </c>
      <c r="G416" s="72" t="s">
        <v>807</v>
      </c>
      <c r="H416" s="801" t="s">
        <v>1913</v>
      </c>
      <c r="I416" s="674"/>
      <c r="J416" s="657">
        <v>7225</v>
      </c>
      <c r="K416" s="804">
        <f>K415-Table13[[#This Row],[مدين]]+Table13[[#This Row],[دائن]]</f>
        <v>7732872.8099999996</v>
      </c>
      <c r="L416" s="62"/>
    </row>
    <row r="417" spans="1:12" s="58" customFormat="1" ht="23.25" customHeight="1">
      <c r="A417" s="70" t="s">
        <v>803</v>
      </c>
      <c r="B417" s="70" t="s">
        <v>804</v>
      </c>
      <c r="C417" s="71" t="s">
        <v>805</v>
      </c>
      <c r="D417" s="685" t="s">
        <v>806</v>
      </c>
      <c r="E417" s="72" t="s">
        <v>171</v>
      </c>
      <c r="F417" s="72" t="s">
        <v>196</v>
      </c>
      <c r="G417" s="72" t="s">
        <v>807</v>
      </c>
      <c r="H417" s="801" t="s">
        <v>1913</v>
      </c>
      <c r="I417" s="674"/>
      <c r="J417" s="657">
        <v>3187.5</v>
      </c>
      <c r="K417" s="804">
        <f>K416-Table13[[#This Row],[مدين]]+Table13[[#This Row],[دائن]]</f>
        <v>7736060.3099999996</v>
      </c>
      <c r="L417" s="62"/>
    </row>
    <row r="418" spans="1:12" s="58" customFormat="1" ht="23.25" customHeight="1">
      <c r="A418" s="70" t="s">
        <v>803</v>
      </c>
      <c r="B418" s="70" t="s">
        <v>804</v>
      </c>
      <c r="C418" s="71" t="s">
        <v>805</v>
      </c>
      <c r="D418" s="685" t="s">
        <v>806</v>
      </c>
      <c r="E418" s="72" t="s">
        <v>171</v>
      </c>
      <c r="F418" s="72" t="s">
        <v>196</v>
      </c>
      <c r="G418" s="72" t="s">
        <v>807</v>
      </c>
      <c r="H418" s="801" t="s">
        <v>1913</v>
      </c>
      <c r="I418" s="674"/>
      <c r="J418" s="657">
        <v>4917.5</v>
      </c>
      <c r="K418" s="804">
        <f>K417-Table13[[#This Row],[مدين]]+Table13[[#This Row],[دائن]]</f>
        <v>7740977.8099999996</v>
      </c>
      <c r="L418" s="62"/>
    </row>
    <row r="419" spans="1:12" s="58" customFormat="1" ht="23.25" customHeight="1">
      <c r="A419" s="70" t="s">
        <v>803</v>
      </c>
      <c r="B419" s="70" t="s">
        <v>804</v>
      </c>
      <c r="C419" s="71" t="s">
        <v>805</v>
      </c>
      <c r="D419" s="685" t="s">
        <v>806</v>
      </c>
      <c r="E419" s="72" t="s">
        <v>171</v>
      </c>
      <c r="F419" s="72" t="s">
        <v>196</v>
      </c>
      <c r="G419" s="72" t="s">
        <v>807</v>
      </c>
      <c r="H419" s="801" t="s">
        <v>1913</v>
      </c>
      <c r="I419" s="674"/>
      <c r="J419" s="657">
        <v>8150</v>
      </c>
      <c r="K419" s="804">
        <f>K418-Table13[[#This Row],[مدين]]+Table13[[#This Row],[دائن]]</f>
        <v>7749127.8099999996</v>
      </c>
      <c r="L419" s="62"/>
    </row>
    <row r="420" spans="1:12" s="58" customFormat="1" ht="23.25" customHeight="1" thickBot="1">
      <c r="A420" s="70" t="s">
        <v>803</v>
      </c>
      <c r="B420" s="70" t="s">
        <v>804</v>
      </c>
      <c r="C420" s="71" t="s">
        <v>805</v>
      </c>
      <c r="D420" s="685" t="s">
        <v>806</v>
      </c>
      <c r="E420" s="72" t="s">
        <v>171</v>
      </c>
      <c r="F420" s="72" t="s">
        <v>196</v>
      </c>
      <c r="G420" s="72" t="s">
        <v>807</v>
      </c>
      <c r="H420" s="801" t="s">
        <v>1913</v>
      </c>
      <c r="I420" s="674"/>
      <c r="J420" s="657">
        <v>1250</v>
      </c>
      <c r="K420" s="804">
        <f>K419-Table13[[#This Row],[مدين]]+Table13[[#This Row],[دائن]]</f>
        <v>7750377.8099999996</v>
      </c>
      <c r="L420" s="62"/>
    </row>
    <row r="421" spans="1:12" s="58" customFormat="1" ht="23.25" customHeight="1">
      <c r="A421" s="77" t="s">
        <v>803</v>
      </c>
      <c r="B421" s="77" t="s">
        <v>804</v>
      </c>
      <c r="C421" s="71" t="s">
        <v>805</v>
      </c>
      <c r="D421" s="686" t="s">
        <v>806</v>
      </c>
      <c r="E421" s="72" t="s">
        <v>171</v>
      </c>
      <c r="F421" s="72" t="s">
        <v>196</v>
      </c>
      <c r="G421" s="72" t="s">
        <v>807</v>
      </c>
      <c r="H421" s="801" t="s">
        <v>1913</v>
      </c>
      <c r="I421" s="675"/>
      <c r="J421" s="658">
        <v>15512.5</v>
      </c>
      <c r="K421" s="804">
        <f>K420-Table13[[#This Row],[مدين]]+Table13[[#This Row],[دائن]]</f>
        <v>7765890.3099999996</v>
      </c>
      <c r="L421" s="62"/>
    </row>
    <row r="422" spans="1:12" s="58" customFormat="1" ht="23.25" customHeight="1">
      <c r="A422" s="70" t="s">
        <v>803</v>
      </c>
      <c r="B422" s="70" t="s">
        <v>804</v>
      </c>
      <c r="C422" s="71" t="s">
        <v>805</v>
      </c>
      <c r="D422" s="685" t="s">
        <v>806</v>
      </c>
      <c r="E422" s="72" t="s">
        <v>171</v>
      </c>
      <c r="F422" s="72" t="s">
        <v>196</v>
      </c>
      <c r="G422" s="72" t="s">
        <v>807</v>
      </c>
      <c r="H422" s="801" t="s">
        <v>1913</v>
      </c>
      <c r="I422" s="674"/>
      <c r="J422" s="657">
        <v>10568.75</v>
      </c>
      <c r="K422" s="804">
        <f>K421-Table13[[#This Row],[مدين]]+Table13[[#This Row],[دائن]]</f>
        <v>7776459.0599999996</v>
      </c>
      <c r="L422" s="62"/>
    </row>
    <row r="423" spans="1:12" s="58" customFormat="1" ht="23.25" customHeight="1">
      <c r="A423" s="70" t="s">
        <v>803</v>
      </c>
      <c r="B423" s="70" t="s">
        <v>804</v>
      </c>
      <c r="C423" s="71" t="s">
        <v>805</v>
      </c>
      <c r="D423" s="685" t="s">
        <v>806</v>
      </c>
      <c r="E423" s="72" t="s">
        <v>171</v>
      </c>
      <c r="F423" s="72" t="s">
        <v>196</v>
      </c>
      <c r="G423" s="72" t="s">
        <v>807</v>
      </c>
      <c r="H423" s="801" t="s">
        <v>1913</v>
      </c>
      <c r="I423" s="674"/>
      <c r="J423" s="657">
        <v>106698.75</v>
      </c>
      <c r="K423" s="804">
        <f>K422-Table13[[#This Row],[مدين]]+Table13[[#This Row],[دائن]]</f>
        <v>7883157.8099999996</v>
      </c>
      <c r="L423" s="62"/>
    </row>
    <row r="424" spans="1:12" s="58" customFormat="1" ht="23.25" customHeight="1">
      <c r="A424" s="70" t="s">
        <v>803</v>
      </c>
      <c r="B424" s="70" t="s">
        <v>804</v>
      </c>
      <c r="C424" s="71" t="s">
        <v>805</v>
      </c>
      <c r="D424" s="685" t="s">
        <v>806</v>
      </c>
      <c r="E424" s="72" t="s">
        <v>171</v>
      </c>
      <c r="F424" s="72" t="s">
        <v>196</v>
      </c>
      <c r="G424" s="72" t="s">
        <v>807</v>
      </c>
      <c r="H424" s="801" t="s">
        <v>1913</v>
      </c>
      <c r="I424" s="674"/>
      <c r="J424" s="657">
        <v>620</v>
      </c>
      <c r="K424" s="804">
        <f>K423-Table13[[#This Row],[مدين]]+Table13[[#This Row],[دائن]]</f>
        <v>7883777.8099999996</v>
      </c>
      <c r="L424" s="62"/>
    </row>
    <row r="425" spans="1:12" s="58" customFormat="1" ht="23.25" customHeight="1">
      <c r="A425" s="70" t="s">
        <v>803</v>
      </c>
      <c r="B425" s="70" t="s">
        <v>808</v>
      </c>
      <c r="C425" s="71" t="s">
        <v>805</v>
      </c>
      <c r="D425" s="685" t="s">
        <v>809</v>
      </c>
      <c r="E425" s="72" t="s">
        <v>171</v>
      </c>
      <c r="F425" s="72" t="s">
        <v>196</v>
      </c>
      <c r="G425" s="72" t="s">
        <v>807</v>
      </c>
      <c r="H425" s="801" t="s">
        <v>1913</v>
      </c>
      <c r="I425" s="674"/>
      <c r="J425" s="657">
        <v>2500</v>
      </c>
      <c r="K425" s="804">
        <f>K424-Table13[[#This Row],[مدين]]+Table13[[#This Row],[دائن]]</f>
        <v>7886277.8099999996</v>
      </c>
      <c r="L425" s="62"/>
    </row>
    <row r="426" spans="1:12" s="58" customFormat="1" ht="23.25" customHeight="1">
      <c r="A426" s="70" t="s">
        <v>803</v>
      </c>
      <c r="B426" s="70" t="s">
        <v>810</v>
      </c>
      <c r="C426" s="71" t="s">
        <v>805</v>
      </c>
      <c r="D426" s="685" t="s">
        <v>811</v>
      </c>
      <c r="E426" s="72" t="s">
        <v>171</v>
      </c>
      <c r="F426" s="72" t="s">
        <v>196</v>
      </c>
      <c r="G426" s="72" t="s">
        <v>807</v>
      </c>
      <c r="H426" s="801" t="s">
        <v>1913</v>
      </c>
      <c r="I426" s="674"/>
      <c r="J426" s="657">
        <v>640</v>
      </c>
      <c r="K426" s="804">
        <f>K425-Table13[[#This Row],[مدين]]+Table13[[#This Row],[دائن]]</f>
        <v>7886917.8099999996</v>
      </c>
      <c r="L426" s="62"/>
    </row>
    <row r="427" spans="1:12" s="58" customFormat="1" ht="23.25" customHeight="1">
      <c r="A427" s="70" t="s">
        <v>803</v>
      </c>
      <c r="B427" s="70" t="s">
        <v>812</v>
      </c>
      <c r="C427" s="71" t="s">
        <v>2086</v>
      </c>
      <c r="D427" s="685" t="s">
        <v>227</v>
      </c>
      <c r="E427" s="72" t="s">
        <v>171</v>
      </c>
      <c r="F427" s="72" t="s">
        <v>181</v>
      </c>
      <c r="G427" s="72" t="s">
        <v>1657</v>
      </c>
      <c r="H427" s="801" t="s">
        <v>1913</v>
      </c>
      <c r="I427" s="674"/>
      <c r="J427" s="657">
        <v>7464</v>
      </c>
      <c r="K427" s="800">
        <f>K426-Table13[[#This Row],[مدين]]+Table13[[#This Row],[دائن]]</f>
        <v>7894381.8099999996</v>
      </c>
      <c r="L427" s="62"/>
    </row>
    <row r="428" spans="1:12" s="58" customFormat="1" ht="23.25" customHeight="1">
      <c r="A428" s="70" t="s">
        <v>803</v>
      </c>
      <c r="B428" s="70" t="s">
        <v>813</v>
      </c>
      <c r="C428" s="71" t="s">
        <v>2086</v>
      </c>
      <c r="D428" s="685" t="s">
        <v>229</v>
      </c>
      <c r="E428" s="72" t="s">
        <v>171</v>
      </c>
      <c r="F428" s="72" t="s">
        <v>181</v>
      </c>
      <c r="G428" s="72" t="s">
        <v>1676</v>
      </c>
      <c r="H428" s="801" t="s">
        <v>1913</v>
      </c>
      <c r="I428" s="674"/>
      <c r="J428" s="657">
        <v>36173</v>
      </c>
      <c r="K428" s="800">
        <f>K427-Table13[[#This Row],[مدين]]+Table13[[#This Row],[دائن]]</f>
        <v>7930554.8099999996</v>
      </c>
      <c r="L428" s="62"/>
    </row>
    <row r="429" spans="1:12" s="58" customFormat="1" ht="23.25" customHeight="1">
      <c r="A429" s="70" t="s">
        <v>803</v>
      </c>
      <c r="B429" s="70" t="s">
        <v>814</v>
      </c>
      <c r="C429" s="71" t="s">
        <v>2086</v>
      </c>
      <c r="D429" s="685" t="s">
        <v>231</v>
      </c>
      <c r="E429" s="72" t="s">
        <v>171</v>
      </c>
      <c r="F429" s="72" t="s">
        <v>181</v>
      </c>
      <c r="G429" s="72" t="s">
        <v>1658</v>
      </c>
      <c r="H429" s="801" t="s">
        <v>1913</v>
      </c>
      <c r="I429" s="674"/>
      <c r="J429" s="657">
        <v>8333</v>
      </c>
      <c r="K429" s="800">
        <f>K428-Table13[[#This Row],[مدين]]+Table13[[#This Row],[دائن]]</f>
        <v>7938887.8099999996</v>
      </c>
      <c r="L429" s="62"/>
    </row>
    <row r="430" spans="1:12" s="58" customFormat="1" ht="23.25" customHeight="1">
      <c r="A430" s="70" t="s">
        <v>803</v>
      </c>
      <c r="B430" s="70" t="s">
        <v>815</v>
      </c>
      <c r="C430" s="71" t="s">
        <v>2102</v>
      </c>
      <c r="D430" s="685" t="s">
        <v>233</v>
      </c>
      <c r="E430" s="72" t="s">
        <v>171</v>
      </c>
      <c r="F430" s="72" t="s">
        <v>1677</v>
      </c>
      <c r="G430" s="72"/>
      <c r="H430" s="801" t="s">
        <v>1913</v>
      </c>
      <c r="I430" s="674"/>
      <c r="J430" s="657">
        <v>45</v>
      </c>
      <c r="K430" s="800">
        <f>K429-Table13[[#This Row],[مدين]]+Table13[[#This Row],[دائن]]</f>
        <v>7938932.8099999996</v>
      </c>
      <c r="L430" s="62"/>
    </row>
    <row r="431" spans="1:12" s="58" customFormat="1" ht="23.25" customHeight="1">
      <c r="A431" s="70" t="s">
        <v>803</v>
      </c>
      <c r="B431" s="70" t="s">
        <v>816</v>
      </c>
      <c r="C431" s="641" t="s">
        <v>1673</v>
      </c>
      <c r="D431" s="685" t="s">
        <v>817</v>
      </c>
      <c r="E431" s="72" t="s">
        <v>1667</v>
      </c>
      <c r="F431" s="72" t="s">
        <v>168</v>
      </c>
      <c r="G431" s="72" t="s">
        <v>1668</v>
      </c>
      <c r="H431" s="801" t="s">
        <v>1913</v>
      </c>
      <c r="I431" s="802">
        <v>19989</v>
      </c>
      <c r="J431" s="802"/>
      <c r="K431" s="804">
        <f>K430-Table13[[#This Row],[مدين]]+Table13[[#This Row],[دائن]]</f>
        <v>7918943.8099999996</v>
      </c>
      <c r="L431" s="62"/>
    </row>
    <row r="432" spans="1:12" s="58" customFormat="1" ht="23.25" customHeight="1">
      <c r="A432" s="70" t="s">
        <v>803</v>
      </c>
      <c r="B432" s="70" t="s">
        <v>818</v>
      </c>
      <c r="C432" s="71" t="s">
        <v>2105</v>
      </c>
      <c r="D432" s="685"/>
      <c r="E432" s="72" t="s">
        <v>1655</v>
      </c>
      <c r="F432" s="72" t="s">
        <v>2072</v>
      </c>
      <c r="G432" s="72" t="s">
        <v>2073</v>
      </c>
      <c r="H432" s="801" t="s">
        <v>1913</v>
      </c>
      <c r="I432" s="674"/>
      <c r="J432" s="657">
        <v>3141</v>
      </c>
      <c r="K432" s="800">
        <f>K431-Table13[[#This Row],[مدين]]+Table13[[#This Row],[دائن]]</f>
        <v>7922084.8099999996</v>
      </c>
      <c r="L432" s="62"/>
    </row>
    <row r="433" spans="1:12" s="58" customFormat="1" ht="23.25" customHeight="1">
      <c r="A433" s="70" t="s">
        <v>803</v>
      </c>
      <c r="B433" s="70" t="s">
        <v>819</v>
      </c>
      <c r="C433" s="641" t="s">
        <v>1935</v>
      </c>
      <c r="D433" s="685" t="s">
        <v>820</v>
      </c>
      <c r="E433" s="72" t="s">
        <v>1667</v>
      </c>
      <c r="F433" s="72" t="s">
        <v>168</v>
      </c>
      <c r="G433" s="72" t="s">
        <v>1678</v>
      </c>
      <c r="H433" s="801" t="s">
        <v>1913</v>
      </c>
      <c r="I433" s="802">
        <v>75093</v>
      </c>
      <c r="J433" s="802"/>
      <c r="K433" s="800">
        <f>K432-Table13[[#This Row],[مدين]]+Table13[[#This Row],[دائن]]</f>
        <v>7846991.8099999996</v>
      </c>
      <c r="L433" s="62"/>
    </row>
    <row r="434" spans="1:12" s="58" customFormat="1" ht="23.25" customHeight="1" thickBot="1">
      <c r="A434" s="70" t="s">
        <v>821</v>
      </c>
      <c r="B434" s="70" t="s">
        <v>822</v>
      </c>
      <c r="C434" s="71" t="s">
        <v>2105</v>
      </c>
      <c r="D434" s="685" t="s">
        <v>376</v>
      </c>
      <c r="E434" s="72" t="s">
        <v>171</v>
      </c>
      <c r="F434" s="72" t="s">
        <v>1675</v>
      </c>
      <c r="G434" s="72" t="s">
        <v>113</v>
      </c>
      <c r="H434" s="801" t="s">
        <v>1913</v>
      </c>
      <c r="I434" s="674"/>
      <c r="J434" s="657">
        <v>1842</v>
      </c>
      <c r="K434" s="800">
        <f>K433-Table13[[#This Row],[مدين]]+Table13[[#This Row],[دائن]]</f>
        <v>7848833.8099999996</v>
      </c>
      <c r="L434" s="62"/>
    </row>
    <row r="435" spans="1:12" s="58" customFormat="1" ht="23.25" customHeight="1">
      <c r="A435" s="70" t="s">
        <v>821</v>
      </c>
      <c r="B435" s="70" t="s">
        <v>823</v>
      </c>
      <c r="C435" s="836" t="s">
        <v>2105</v>
      </c>
      <c r="D435" s="685" t="s">
        <v>824</v>
      </c>
      <c r="E435" s="806" t="s">
        <v>1655</v>
      </c>
      <c r="F435" s="806" t="s">
        <v>1686</v>
      </c>
      <c r="G435" s="806">
        <v>512</v>
      </c>
      <c r="H435" s="801" t="s">
        <v>1913</v>
      </c>
      <c r="I435" s="674"/>
      <c r="J435" s="657">
        <v>1120.4100000000001</v>
      </c>
      <c r="K435" s="800">
        <f>K434-Table13[[#This Row],[مدين]]+Table13[[#This Row],[دائن]]</f>
        <v>7849954.2199999997</v>
      </c>
      <c r="L435" s="62"/>
    </row>
    <row r="436" spans="1:12" s="58" customFormat="1" ht="23.25" customHeight="1">
      <c r="A436" s="70" t="s">
        <v>825</v>
      </c>
      <c r="B436" s="70" t="s">
        <v>826</v>
      </c>
      <c r="C436" s="641" t="s">
        <v>2102</v>
      </c>
      <c r="D436" s="685" t="s">
        <v>827</v>
      </c>
      <c r="E436" s="72" t="s">
        <v>1655</v>
      </c>
      <c r="F436" s="72" t="s">
        <v>1687</v>
      </c>
      <c r="G436" s="72" t="s">
        <v>990</v>
      </c>
      <c r="H436" s="801" t="s">
        <v>1913</v>
      </c>
      <c r="I436" s="674"/>
      <c r="J436" s="657">
        <v>38.15</v>
      </c>
      <c r="K436" s="800">
        <f>K435-Table13[[#This Row],[مدين]]+Table13[[#This Row],[دائن]]</f>
        <v>7849992.3700000001</v>
      </c>
      <c r="L436" s="62"/>
    </row>
    <row r="437" spans="1:12" s="58" customFormat="1" ht="23.25" customHeight="1">
      <c r="A437" s="70" t="s">
        <v>825</v>
      </c>
      <c r="B437" s="70" t="s">
        <v>828</v>
      </c>
      <c r="C437" s="71" t="s">
        <v>2105</v>
      </c>
      <c r="D437" s="685" t="s">
        <v>376</v>
      </c>
      <c r="E437" s="72" t="s">
        <v>171</v>
      </c>
      <c r="F437" s="72" t="s">
        <v>1675</v>
      </c>
      <c r="G437" s="72" t="s">
        <v>113</v>
      </c>
      <c r="H437" s="801" t="s">
        <v>1913</v>
      </c>
      <c r="I437" s="674"/>
      <c r="J437" s="657">
        <v>1842</v>
      </c>
      <c r="K437" s="800">
        <f>K436-Table13[[#This Row],[مدين]]+Table13[[#This Row],[دائن]]</f>
        <v>7851834.3700000001</v>
      </c>
      <c r="L437" s="62"/>
    </row>
    <row r="438" spans="1:12" s="58" customFormat="1" ht="23.25" customHeight="1">
      <c r="A438" s="70" t="s">
        <v>829</v>
      </c>
      <c r="B438" s="70" t="s">
        <v>830</v>
      </c>
      <c r="C438" s="71" t="s">
        <v>2086</v>
      </c>
      <c r="D438" s="685" t="s">
        <v>831</v>
      </c>
      <c r="E438" s="72" t="s">
        <v>171</v>
      </c>
      <c r="F438" s="72" t="s">
        <v>170</v>
      </c>
      <c r="G438" s="801" t="s">
        <v>1913</v>
      </c>
      <c r="H438" s="801" t="s">
        <v>1913</v>
      </c>
      <c r="I438" s="674"/>
      <c r="J438" s="657">
        <v>2718</v>
      </c>
      <c r="K438" s="800">
        <f>K437-Table13[[#This Row],[مدين]]+Table13[[#This Row],[دائن]]</f>
        <v>7854552.3700000001</v>
      </c>
      <c r="L438" s="62"/>
    </row>
    <row r="439" spans="1:12" s="58" customFormat="1" ht="23.25" customHeight="1">
      <c r="A439" s="70" t="s">
        <v>829</v>
      </c>
      <c r="B439" s="70" t="s">
        <v>830</v>
      </c>
      <c r="C439" s="71" t="s">
        <v>2086</v>
      </c>
      <c r="D439" s="685" t="s">
        <v>832</v>
      </c>
      <c r="E439" s="72" t="s">
        <v>171</v>
      </c>
      <c r="F439" s="72" t="s">
        <v>170</v>
      </c>
      <c r="G439" s="801" t="s">
        <v>1913</v>
      </c>
      <c r="H439" s="801" t="s">
        <v>1913</v>
      </c>
      <c r="I439" s="674"/>
      <c r="J439" s="657">
        <v>15000</v>
      </c>
      <c r="K439" s="800">
        <f>K438-Table13[[#This Row],[مدين]]+Table13[[#This Row],[دائن]]</f>
        <v>7869552.3700000001</v>
      </c>
      <c r="L439" s="62"/>
    </row>
    <row r="440" spans="1:12" s="58" customFormat="1" ht="23.25" customHeight="1">
      <c r="A440" s="70" t="s">
        <v>829</v>
      </c>
      <c r="B440" s="70" t="s">
        <v>830</v>
      </c>
      <c r="C440" s="71" t="s">
        <v>2086</v>
      </c>
      <c r="D440" s="685" t="s">
        <v>833</v>
      </c>
      <c r="E440" s="72" t="s">
        <v>171</v>
      </c>
      <c r="F440" s="72" t="s">
        <v>170</v>
      </c>
      <c r="G440" s="801" t="s">
        <v>1913</v>
      </c>
      <c r="H440" s="801" t="s">
        <v>1913</v>
      </c>
      <c r="I440" s="674"/>
      <c r="J440" s="657">
        <v>5350</v>
      </c>
      <c r="K440" s="800">
        <f>K439-Table13[[#This Row],[مدين]]+Table13[[#This Row],[دائن]]</f>
        <v>7874902.3700000001</v>
      </c>
      <c r="L440" s="62"/>
    </row>
    <row r="441" spans="1:12" s="58" customFormat="1" ht="23.25" customHeight="1">
      <c r="A441" s="70" t="s">
        <v>834</v>
      </c>
      <c r="B441" s="70" t="s">
        <v>835</v>
      </c>
      <c r="C441" s="71" t="s">
        <v>2105</v>
      </c>
      <c r="D441" s="685" t="s">
        <v>836</v>
      </c>
      <c r="E441" s="72" t="s">
        <v>1655</v>
      </c>
      <c r="F441" s="72" t="s">
        <v>1699</v>
      </c>
      <c r="G441" s="72" t="s">
        <v>990</v>
      </c>
      <c r="H441" s="801" t="s">
        <v>1913</v>
      </c>
      <c r="I441" s="674"/>
      <c r="J441" s="657">
        <v>1200</v>
      </c>
      <c r="K441" s="800">
        <f>K440-Table13[[#This Row],[مدين]]+Table13[[#This Row],[دائن]]</f>
        <v>7876102.3700000001</v>
      </c>
      <c r="L441" s="62"/>
    </row>
    <row r="442" spans="1:12" s="58" customFormat="1" ht="23.25" customHeight="1">
      <c r="A442" s="70" t="s">
        <v>834</v>
      </c>
      <c r="B442" s="70" t="s">
        <v>837</v>
      </c>
      <c r="C442" s="641" t="s">
        <v>2102</v>
      </c>
      <c r="D442" s="685" t="s">
        <v>827</v>
      </c>
      <c r="E442" s="72" t="s">
        <v>171</v>
      </c>
      <c r="F442" s="72" t="s">
        <v>1687</v>
      </c>
      <c r="G442" s="72"/>
      <c r="H442" s="801" t="s">
        <v>1913</v>
      </c>
      <c r="I442" s="674"/>
      <c r="J442" s="657">
        <v>190.75</v>
      </c>
      <c r="K442" s="800">
        <f>K441-Table13[[#This Row],[مدين]]+Table13[[#This Row],[دائن]]</f>
        <v>7876293.1200000001</v>
      </c>
      <c r="L442" s="62"/>
    </row>
    <row r="443" spans="1:12" s="58" customFormat="1" ht="23.25" customHeight="1">
      <c r="A443" s="70" t="s">
        <v>834</v>
      </c>
      <c r="B443" s="70" t="s">
        <v>838</v>
      </c>
      <c r="C443" s="641" t="s">
        <v>2086</v>
      </c>
      <c r="D443" s="685" t="s">
        <v>802</v>
      </c>
      <c r="E443" s="72" t="s">
        <v>171</v>
      </c>
      <c r="F443" s="72" t="s">
        <v>69</v>
      </c>
      <c r="G443" s="72" t="s">
        <v>113</v>
      </c>
      <c r="H443" s="801" t="s">
        <v>1913</v>
      </c>
      <c r="I443" s="674"/>
      <c r="J443" s="657">
        <v>157.22</v>
      </c>
      <c r="K443" s="800">
        <f>K442-Table13[[#This Row],[مدين]]+Table13[[#This Row],[دائن]]</f>
        <v>7876450.3399999999</v>
      </c>
      <c r="L443" s="62"/>
    </row>
    <row r="444" spans="1:12" s="58" customFormat="1" ht="23.25" customHeight="1">
      <c r="A444" s="70" t="s">
        <v>839</v>
      </c>
      <c r="B444" s="70" t="s">
        <v>840</v>
      </c>
      <c r="C444" s="71" t="s">
        <v>2102</v>
      </c>
      <c r="D444" s="685" t="s">
        <v>2175</v>
      </c>
      <c r="E444" s="72" t="s">
        <v>176</v>
      </c>
      <c r="F444" s="72" t="s">
        <v>1688</v>
      </c>
      <c r="G444" s="72"/>
      <c r="H444" s="801" t="s">
        <v>1913</v>
      </c>
      <c r="I444" s="674"/>
      <c r="J444" s="657">
        <v>400</v>
      </c>
      <c r="K444" s="800">
        <f>K443-Table13[[#This Row],[مدين]]+Table13[[#This Row],[دائن]]</f>
        <v>7876850.3399999999</v>
      </c>
      <c r="L444" s="62"/>
    </row>
    <row r="445" spans="1:12" s="58" customFormat="1" ht="23.25" customHeight="1">
      <c r="A445" s="70" t="s">
        <v>841</v>
      </c>
      <c r="B445" s="70" t="s">
        <v>842</v>
      </c>
      <c r="C445" s="71" t="s">
        <v>2105</v>
      </c>
      <c r="D445" s="685">
        <v>13303</v>
      </c>
      <c r="E445" s="72" t="s">
        <v>1655</v>
      </c>
      <c r="F445" s="72" t="s">
        <v>2072</v>
      </c>
      <c r="G445" s="72" t="s">
        <v>2073</v>
      </c>
      <c r="H445" s="801" t="s">
        <v>1913</v>
      </c>
      <c r="I445" s="674"/>
      <c r="J445" s="657">
        <v>210</v>
      </c>
      <c r="K445" s="800">
        <f>K444-Table13[[#This Row],[مدين]]+Table13[[#This Row],[دائن]]</f>
        <v>7877060.3399999999</v>
      </c>
      <c r="L445" s="62"/>
    </row>
    <row r="446" spans="1:12" s="58" customFormat="1" ht="23.25" customHeight="1">
      <c r="A446" s="70" t="s">
        <v>843</v>
      </c>
      <c r="B446" s="70" t="s">
        <v>844</v>
      </c>
      <c r="C446" s="641" t="s">
        <v>1671</v>
      </c>
      <c r="D446" s="685" t="s">
        <v>845</v>
      </c>
      <c r="E446" s="72" t="s">
        <v>1667</v>
      </c>
      <c r="F446" s="72" t="s">
        <v>168</v>
      </c>
      <c r="G446" s="72"/>
      <c r="H446" s="801" t="s">
        <v>1913</v>
      </c>
      <c r="I446" s="802">
        <v>332386.17</v>
      </c>
      <c r="J446" s="802"/>
      <c r="K446" s="804">
        <f>K445-Table13[[#This Row],[مدين]]+Table13[[#This Row],[دائن]]</f>
        <v>7544674.1699999999</v>
      </c>
      <c r="L446" s="62"/>
    </row>
    <row r="447" spans="1:12" s="58" customFormat="1" ht="23.25" customHeight="1">
      <c r="A447" s="70" t="s">
        <v>846</v>
      </c>
      <c r="B447" s="70" t="s">
        <v>847</v>
      </c>
      <c r="C447" s="641" t="s">
        <v>2086</v>
      </c>
      <c r="D447" s="685" t="s">
        <v>848</v>
      </c>
      <c r="E447" s="72" t="s">
        <v>199</v>
      </c>
      <c r="F447" s="72" t="s">
        <v>1689</v>
      </c>
      <c r="G447" s="72" t="s">
        <v>1708</v>
      </c>
      <c r="H447" s="801" t="s">
        <v>1913</v>
      </c>
      <c r="I447" s="674"/>
      <c r="J447" s="657">
        <v>5400000</v>
      </c>
      <c r="K447" s="800">
        <f>K446-Table13[[#This Row],[مدين]]+Table13[[#This Row],[دائن]]</f>
        <v>12944674.17</v>
      </c>
      <c r="L447" s="62"/>
    </row>
    <row r="448" spans="1:12" s="58" customFormat="1" ht="23.25" customHeight="1">
      <c r="A448" s="70" t="s">
        <v>846</v>
      </c>
      <c r="B448" s="70" t="s">
        <v>849</v>
      </c>
      <c r="C448" s="71" t="s">
        <v>2086</v>
      </c>
      <c r="D448" s="685" t="s">
        <v>205</v>
      </c>
      <c r="E448" s="72" t="s">
        <v>1655</v>
      </c>
      <c r="F448" s="72" t="s">
        <v>205</v>
      </c>
      <c r="G448" s="72"/>
      <c r="H448" s="801" t="s">
        <v>1913</v>
      </c>
      <c r="I448" s="674"/>
      <c r="J448" s="657">
        <v>10</v>
      </c>
      <c r="K448" s="800">
        <f>K447-Table13[[#This Row],[مدين]]+Table13[[#This Row],[دائن]]</f>
        <v>12944684.17</v>
      </c>
      <c r="L448" s="62"/>
    </row>
    <row r="449" spans="1:12" s="58" customFormat="1" ht="23.25" customHeight="1">
      <c r="A449" s="70" t="s">
        <v>850</v>
      </c>
      <c r="B449" s="70" t="s">
        <v>851</v>
      </c>
      <c r="C449" s="71" t="s">
        <v>2086</v>
      </c>
      <c r="D449" s="685" t="s">
        <v>205</v>
      </c>
      <c r="E449" s="72" t="s">
        <v>1655</v>
      </c>
      <c r="F449" s="72" t="s">
        <v>205</v>
      </c>
      <c r="G449" s="72"/>
      <c r="H449" s="801" t="s">
        <v>1913</v>
      </c>
      <c r="I449" s="674"/>
      <c r="J449" s="657">
        <v>20</v>
      </c>
      <c r="K449" s="800">
        <f>K448-Table13[[#This Row],[مدين]]+Table13[[#This Row],[دائن]]</f>
        <v>12944704.17</v>
      </c>
      <c r="L449" s="62"/>
    </row>
    <row r="450" spans="1:12" s="58" customFormat="1" ht="23.25" customHeight="1">
      <c r="A450" s="70" t="s">
        <v>850</v>
      </c>
      <c r="B450" s="70" t="s">
        <v>852</v>
      </c>
      <c r="C450" s="71" t="s">
        <v>2086</v>
      </c>
      <c r="D450" s="685" t="s">
        <v>205</v>
      </c>
      <c r="E450" s="72" t="s">
        <v>1655</v>
      </c>
      <c r="F450" s="72" t="s">
        <v>205</v>
      </c>
      <c r="G450" s="72"/>
      <c r="H450" s="801" t="s">
        <v>1913</v>
      </c>
      <c r="I450" s="674"/>
      <c r="J450" s="657">
        <v>400</v>
      </c>
      <c r="K450" s="800">
        <f>K449-Table13[[#This Row],[مدين]]+Table13[[#This Row],[دائن]]</f>
        <v>12945104.17</v>
      </c>
      <c r="L450" s="62"/>
    </row>
    <row r="451" spans="1:12" s="58" customFormat="1" ht="23.25" customHeight="1">
      <c r="A451" s="70" t="s">
        <v>853</v>
      </c>
      <c r="B451" s="70" t="s">
        <v>854</v>
      </c>
      <c r="C451" s="71" t="s">
        <v>2086</v>
      </c>
      <c r="D451" s="685" t="s">
        <v>205</v>
      </c>
      <c r="E451" s="72" t="s">
        <v>1655</v>
      </c>
      <c r="F451" s="72" t="s">
        <v>205</v>
      </c>
      <c r="G451" s="72"/>
      <c r="H451" s="801" t="s">
        <v>1913</v>
      </c>
      <c r="I451" s="674"/>
      <c r="J451" s="657">
        <v>4</v>
      </c>
      <c r="K451" s="800">
        <f>K450-Table13[[#This Row],[مدين]]+Table13[[#This Row],[دائن]]</f>
        <v>12945108.17</v>
      </c>
      <c r="L451" s="62"/>
    </row>
    <row r="452" spans="1:12" s="58" customFormat="1" ht="23.25" customHeight="1">
      <c r="A452" s="70" t="s">
        <v>855</v>
      </c>
      <c r="B452" s="70" t="s">
        <v>856</v>
      </c>
      <c r="C452" s="641" t="s">
        <v>2086</v>
      </c>
      <c r="D452" s="685" t="s">
        <v>419</v>
      </c>
      <c r="E452" s="72" t="s">
        <v>171</v>
      </c>
      <c r="F452" s="72" t="s">
        <v>69</v>
      </c>
      <c r="G452" s="72" t="s">
        <v>113</v>
      </c>
      <c r="H452" s="801" t="s">
        <v>1913</v>
      </c>
      <c r="I452" s="674"/>
      <c r="J452" s="657">
        <v>1842</v>
      </c>
      <c r="K452" s="800">
        <f>K451-Table13[[#This Row],[مدين]]+Table13[[#This Row],[دائن]]</f>
        <v>12946950.17</v>
      </c>
      <c r="L452" s="62"/>
    </row>
    <row r="453" spans="1:12" s="58" customFormat="1" ht="23.25" customHeight="1">
      <c r="A453" s="70" t="s">
        <v>855</v>
      </c>
      <c r="B453" s="70" t="s">
        <v>857</v>
      </c>
      <c r="C453" s="641" t="s">
        <v>2086</v>
      </c>
      <c r="D453" s="685" t="s">
        <v>419</v>
      </c>
      <c r="E453" s="72" t="s">
        <v>171</v>
      </c>
      <c r="F453" s="72" t="s">
        <v>69</v>
      </c>
      <c r="G453" s="72" t="s">
        <v>113</v>
      </c>
      <c r="H453" s="801" t="s">
        <v>1913</v>
      </c>
      <c r="I453" s="674"/>
      <c r="J453" s="657">
        <v>921</v>
      </c>
      <c r="K453" s="800">
        <f>K452-Table13[[#This Row],[مدين]]+Table13[[#This Row],[دائن]]</f>
        <v>12947871.17</v>
      </c>
      <c r="L453" s="62"/>
    </row>
    <row r="454" spans="1:12" s="58" customFormat="1" ht="23.25" customHeight="1">
      <c r="A454" s="70" t="s">
        <v>858</v>
      </c>
      <c r="B454" s="70" t="s">
        <v>859</v>
      </c>
      <c r="C454" s="71" t="s">
        <v>2105</v>
      </c>
      <c r="D454" s="685" t="s">
        <v>2176</v>
      </c>
      <c r="E454" s="72" t="s">
        <v>171</v>
      </c>
      <c r="F454" s="72" t="s">
        <v>196</v>
      </c>
      <c r="G454" s="72" t="s">
        <v>64</v>
      </c>
      <c r="H454" s="801" t="s">
        <v>1913</v>
      </c>
      <c r="I454" s="674"/>
      <c r="J454" s="657">
        <v>591.66999999999996</v>
      </c>
      <c r="K454" s="800">
        <f>K453-Table13[[#This Row],[مدين]]+Table13[[#This Row],[دائن]]</f>
        <v>12948462.84</v>
      </c>
      <c r="L454" s="62"/>
    </row>
    <row r="455" spans="1:12" s="58" customFormat="1" ht="23.25" customHeight="1" thickBot="1">
      <c r="A455" s="70" t="s">
        <v>858</v>
      </c>
      <c r="B455" s="70" t="s">
        <v>860</v>
      </c>
      <c r="C455" s="71" t="s">
        <v>2105</v>
      </c>
      <c r="D455" s="685" t="s">
        <v>2177</v>
      </c>
      <c r="E455" s="72" t="s">
        <v>171</v>
      </c>
      <c r="F455" s="72" t="s">
        <v>196</v>
      </c>
      <c r="G455" s="72" t="s">
        <v>64</v>
      </c>
      <c r="H455" s="801" t="s">
        <v>1913</v>
      </c>
      <c r="I455" s="674"/>
      <c r="J455" s="657">
        <v>294.17</v>
      </c>
      <c r="K455" s="800">
        <f>K454-Table13[[#This Row],[مدين]]+Table13[[#This Row],[دائن]]</f>
        <v>12948757.01</v>
      </c>
      <c r="L455" s="62"/>
    </row>
    <row r="456" spans="1:12" s="58" customFormat="1" ht="23.25" customHeight="1">
      <c r="A456" s="70" t="s">
        <v>858</v>
      </c>
      <c r="B456" s="70" t="s">
        <v>861</v>
      </c>
      <c r="C456" s="836" t="s">
        <v>2105</v>
      </c>
      <c r="D456" s="685" t="s">
        <v>862</v>
      </c>
      <c r="E456" s="806" t="s">
        <v>1655</v>
      </c>
      <c r="F456" s="806" t="s">
        <v>1686</v>
      </c>
      <c r="G456" s="806">
        <v>512</v>
      </c>
      <c r="H456" s="801" t="s">
        <v>1913</v>
      </c>
      <c r="I456" s="674"/>
      <c r="J456" s="657">
        <v>1034.8900000000001</v>
      </c>
      <c r="K456" s="800">
        <f>K455-Table13[[#This Row],[مدين]]+Table13[[#This Row],[دائن]]</f>
        <v>12949791.9</v>
      </c>
      <c r="L456" s="62"/>
    </row>
    <row r="457" spans="1:12" s="58" customFormat="1" ht="23.25" customHeight="1">
      <c r="A457" s="70" t="s">
        <v>863</v>
      </c>
      <c r="B457" s="70" t="s">
        <v>864</v>
      </c>
      <c r="C457" s="71" t="s">
        <v>2200</v>
      </c>
      <c r="D457" s="685" t="s">
        <v>865</v>
      </c>
      <c r="E457" s="72" t="s">
        <v>1667</v>
      </c>
      <c r="F457" s="72" t="s">
        <v>168</v>
      </c>
      <c r="G457" s="72"/>
      <c r="H457" s="801" t="s">
        <v>1913</v>
      </c>
      <c r="I457" s="802">
        <v>77088</v>
      </c>
      <c r="J457" s="802"/>
      <c r="K457" s="800">
        <f>K456-Table13[[#This Row],[مدين]]+Table13[[#This Row],[دائن]]</f>
        <v>12872703.9</v>
      </c>
      <c r="L457" s="62"/>
    </row>
    <row r="458" spans="1:12" s="58" customFormat="1" ht="23.25" customHeight="1">
      <c r="A458" s="70" t="s">
        <v>863</v>
      </c>
      <c r="B458" s="70" t="s">
        <v>866</v>
      </c>
      <c r="C458" s="641" t="s">
        <v>2086</v>
      </c>
      <c r="D458" s="685" t="s">
        <v>867</v>
      </c>
      <c r="E458" s="72" t="s">
        <v>199</v>
      </c>
      <c r="F458" s="72" t="s">
        <v>1690</v>
      </c>
      <c r="G458" s="72"/>
      <c r="H458" s="801" t="s">
        <v>1913</v>
      </c>
      <c r="I458" s="674"/>
      <c r="J458" s="657">
        <v>135000</v>
      </c>
      <c r="K458" s="800">
        <f>K457-Table13[[#This Row],[مدين]]+Table13[[#This Row],[دائن]]</f>
        <v>13007703.9</v>
      </c>
      <c r="L458" s="62"/>
    </row>
    <row r="459" spans="1:12" s="58" customFormat="1" ht="23.25" customHeight="1">
      <c r="A459" s="70" t="s">
        <v>868</v>
      </c>
      <c r="B459" s="70" t="s">
        <v>869</v>
      </c>
      <c r="C459" s="71" t="s">
        <v>2200</v>
      </c>
      <c r="D459" s="685" t="s">
        <v>870</v>
      </c>
      <c r="E459" s="72" t="s">
        <v>171</v>
      </c>
      <c r="F459" s="72" t="s">
        <v>196</v>
      </c>
      <c r="G459" s="72" t="s">
        <v>885</v>
      </c>
      <c r="H459" s="801" t="s">
        <v>1913</v>
      </c>
      <c r="I459" s="802">
        <v>26134.58</v>
      </c>
      <c r="J459" s="802"/>
      <c r="K459" s="800">
        <f>K458-Table13[[#This Row],[مدين]]+Table13[[#This Row],[دائن]]</f>
        <v>12981569.32</v>
      </c>
      <c r="L459" s="62"/>
    </row>
    <row r="460" spans="1:12" s="58" customFormat="1" ht="23.25" customHeight="1">
      <c r="A460" s="70" t="s">
        <v>871</v>
      </c>
      <c r="B460" s="70" t="s">
        <v>872</v>
      </c>
      <c r="C460" s="641" t="s">
        <v>2086</v>
      </c>
      <c r="D460" s="685" t="s">
        <v>419</v>
      </c>
      <c r="E460" s="72" t="s">
        <v>171</v>
      </c>
      <c r="F460" s="72" t="s">
        <v>69</v>
      </c>
      <c r="G460" s="72" t="s">
        <v>113</v>
      </c>
      <c r="H460" s="801" t="s">
        <v>1913</v>
      </c>
      <c r="I460" s="674"/>
      <c r="J460" s="657">
        <v>800</v>
      </c>
      <c r="K460" s="800">
        <f>K459-Table13[[#This Row],[مدين]]+Table13[[#This Row],[دائن]]</f>
        <v>12982369.32</v>
      </c>
      <c r="L460" s="62"/>
    </row>
    <row r="461" spans="1:12" s="58" customFormat="1" ht="23.25" customHeight="1">
      <c r="A461" s="70" t="s">
        <v>873</v>
      </c>
      <c r="B461" s="70" t="s">
        <v>874</v>
      </c>
      <c r="C461" s="71" t="s">
        <v>2104</v>
      </c>
      <c r="D461" s="685" t="s">
        <v>875</v>
      </c>
      <c r="E461" s="72" t="s">
        <v>458</v>
      </c>
      <c r="F461" s="72"/>
      <c r="G461" s="72"/>
      <c r="H461" s="801"/>
      <c r="I461" s="802">
        <v>35000</v>
      </c>
      <c r="J461" s="802"/>
      <c r="K461" s="800">
        <f>K460-Table13[[#This Row],[مدين]]+Table13[[#This Row],[دائن]]</f>
        <v>12947369.32</v>
      </c>
      <c r="L461" s="62"/>
    </row>
    <row r="462" spans="1:12" s="58" customFormat="1" ht="23.25" customHeight="1" thickBot="1">
      <c r="A462" s="70" t="s">
        <v>876</v>
      </c>
      <c r="B462" s="70" t="s">
        <v>877</v>
      </c>
      <c r="C462" s="71" t="s">
        <v>2086</v>
      </c>
      <c r="D462" s="685" t="s">
        <v>474</v>
      </c>
      <c r="E462" s="72" t="s">
        <v>1655</v>
      </c>
      <c r="F462" s="72" t="s">
        <v>205</v>
      </c>
      <c r="G462" s="72" t="s">
        <v>990</v>
      </c>
      <c r="H462" s="801" t="s">
        <v>1913</v>
      </c>
      <c r="I462" s="674"/>
      <c r="J462" s="657">
        <v>40</v>
      </c>
      <c r="K462" s="800">
        <f>K461-Table13[[#This Row],[مدين]]+Table13[[#This Row],[دائن]]</f>
        <v>12947409.32</v>
      </c>
      <c r="L462" s="62"/>
    </row>
    <row r="463" spans="1:12" s="58" customFormat="1" ht="23.25" customHeight="1">
      <c r="A463" s="77" t="s">
        <v>878</v>
      </c>
      <c r="B463" s="77" t="s">
        <v>879</v>
      </c>
      <c r="C463" s="836" t="s">
        <v>2105</v>
      </c>
      <c r="D463" s="686" t="s">
        <v>880</v>
      </c>
      <c r="E463" s="806" t="s">
        <v>1655</v>
      </c>
      <c r="F463" s="806" t="s">
        <v>1703</v>
      </c>
      <c r="G463" s="806"/>
      <c r="H463" s="801" t="s">
        <v>1913</v>
      </c>
      <c r="I463" s="675"/>
      <c r="J463" s="658">
        <v>100</v>
      </c>
      <c r="K463" s="800">
        <f>K462-Table13[[#This Row],[مدين]]+Table13[[#This Row],[دائن]]</f>
        <v>12947509.32</v>
      </c>
      <c r="L463" s="62"/>
    </row>
    <row r="464" spans="1:12" s="58" customFormat="1" ht="23.25" customHeight="1">
      <c r="A464" s="70" t="s">
        <v>878</v>
      </c>
      <c r="B464" s="70" t="s">
        <v>881</v>
      </c>
      <c r="C464" s="71" t="s">
        <v>2105</v>
      </c>
      <c r="D464" s="685" t="s">
        <v>511</v>
      </c>
      <c r="E464" s="72" t="s">
        <v>171</v>
      </c>
      <c r="F464" s="72" t="s">
        <v>1675</v>
      </c>
      <c r="G464" s="72" t="s">
        <v>113</v>
      </c>
      <c r="H464" s="801" t="s">
        <v>1913</v>
      </c>
      <c r="I464" s="674"/>
      <c r="J464" s="657">
        <v>1842</v>
      </c>
      <c r="K464" s="800">
        <f>K463-Table13[[#This Row],[مدين]]+Table13[[#This Row],[دائن]]</f>
        <v>12949351.32</v>
      </c>
      <c r="L464" s="62"/>
    </row>
    <row r="465" spans="1:12" s="578" customFormat="1" ht="23.25" customHeight="1">
      <c r="A465" s="630" t="s">
        <v>882</v>
      </c>
      <c r="B465" s="630" t="s">
        <v>883</v>
      </c>
      <c r="C465" s="807" t="s">
        <v>1611</v>
      </c>
      <c r="D465" s="808" t="s">
        <v>884</v>
      </c>
      <c r="E465" s="72" t="s">
        <v>171</v>
      </c>
      <c r="F465" s="72" t="s">
        <v>196</v>
      </c>
      <c r="G465" s="809" t="s">
        <v>885</v>
      </c>
      <c r="H465" s="801" t="s">
        <v>1913</v>
      </c>
      <c r="I465" s="810"/>
      <c r="J465" s="669">
        <v>7336.67</v>
      </c>
      <c r="K465" s="804">
        <f>K464-Table13[[#This Row],[مدين]]+Table13[[#This Row],[دائن]]</f>
        <v>12956687.99</v>
      </c>
      <c r="L465" s="579"/>
    </row>
    <row r="466" spans="1:12" s="578" customFormat="1" ht="23.25" customHeight="1">
      <c r="A466" s="630" t="s">
        <v>882</v>
      </c>
      <c r="B466" s="630" t="s">
        <v>883</v>
      </c>
      <c r="C466" s="807" t="s">
        <v>1611</v>
      </c>
      <c r="D466" s="808" t="s">
        <v>884</v>
      </c>
      <c r="E466" s="72" t="s">
        <v>171</v>
      </c>
      <c r="F466" s="72" t="s">
        <v>196</v>
      </c>
      <c r="G466" s="809" t="s">
        <v>885</v>
      </c>
      <c r="H466" s="801" t="s">
        <v>1913</v>
      </c>
      <c r="I466" s="810"/>
      <c r="J466" s="669">
        <v>7225</v>
      </c>
      <c r="K466" s="804">
        <f>K465-Table13[[#This Row],[مدين]]+Table13[[#This Row],[دائن]]</f>
        <v>12963912.99</v>
      </c>
      <c r="L466" s="579"/>
    </row>
    <row r="467" spans="1:12" s="578" customFormat="1" ht="23.25" customHeight="1">
      <c r="A467" s="630" t="s">
        <v>882</v>
      </c>
      <c r="B467" s="630" t="s">
        <v>883</v>
      </c>
      <c r="C467" s="807" t="s">
        <v>1611</v>
      </c>
      <c r="D467" s="808" t="s">
        <v>884</v>
      </c>
      <c r="E467" s="72" t="s">
        <v>171</v>
      </c>
      <c r="F467" s="72" t="s">
        <v>196</v>
      </c>
      <c r="G467" s="809" t="s">
        <v>885</v>
      </c>
      <c r="H467" s="801" t="s">
        <v>1913</v>
      </c>
      <c r="I467" s="810"/>
      <c r="J467" s="669">
        <v>3187.5</v>
      </c>
      <c r="K467" s="804">
        <f>K466-Table13[[#This Row],[مدين]]+Table13[[#This Row],[دائن]]</f>
        <v>12967100.49</v>
      </c>
      <c r="L467" s="579"/>
    </row>
    <row r="468" spans="1:12" s="578" customFormat="1" ht="23.25" customHeight="1">
      <c r="A468" s="630" t="s">
        <v>882</v>
      </c>
      <c r="B468" s="630" t="s">
        <v>883</v>
      </c>
      <c r="C468" s="807" t="s">
        <v>1611</v>
      </c>
      <c r="D468" s="808" t="s">
        <v>884</v>
      </c>
      <c r="E468" s="72" t="s">
        <v>171</v>
      </c>
      <c r="F468" s="72" t="s">
        <v>196</v>
      </c>
      <c r="G468" s="809" t="s">
        <v>885</v>
      </c>
      <c r="H468" s="801" t="s">
        <v>1913</v>
      </c>
      <c r="I468" s="810"/>
      <c r="J468" s="669">
        <v>4917.5</v>
      </c>
      <c r="K468" s="804">
        <f>K467-Table13[[#This Row],[مدين]]+Table13[[#This Row],[دائن]]</f>
        <v>12972017.99</v>
      </c>
      <c r="L468" s="579"/>
    </row>
    <row r="469" spans="1:12" s="578" customFormat="1" ht="23.25" customHeight="1">
      <c r="A469" s="630" t="s">
        <v>882</v>
      </c>
      <c r="B469" s="630" t="s">
        <v>883</v>
      </c>
      <c r="C469" s="807" t="s">
        <v>1611</v>
      </c>
      <c r="D469" s="808" t="s">
        <v>884</v>
      </c>
      <c r="E469" s="72" t="s">
        <v>171</v>
      </c>
      <c r="F469" s="72" t="s">
        <v>196</v>
      </c>
      <c r="G469" s="809" t="s">
        <v>885</v>
      </c>
      <c r="H469" s="801" t="s">
        <v>1913</v>
      </c>
      <c r="I469" s="810"/>
      <c r="J469" s="669">
        <v>8150</v>
      </c>
      <c r="K469" s="804">
        <f>K468-Table13[[#This Row],[مدين]]+Table13[[#This Row],[دائن]]</f>
        <v>12980167.99</v>
      </c>
      <c r="L469" s="579"/>
    </row>
    <row r="470" spans="1:12" s="578" customFormat="1" ht="23.25" customHeight="1">
      <c r="A470" s="630" t="s">
        <v>882</v>
      </c>
      <c r="B470" s="630" t="s">
        <v>883</v>
      </c>
      <c r="C470" s="807" t="s">
        <v>1611</v>
      </c>
      <c r="D470" s="808" t="s">
        <v>884</v>
      </c>
      <c r="E470" s="72" t="s">
        <v>171</v>
      </c>
      <c r="F470" s="72" t="s">
        <v>196</v>
      </c>
      <c r="G470" s="809" t="s">
        <v>885</v>
      </c>
      <c r="H470" s="801" t="s">
        <v>1913</v>
      </c>
      <c r="I470" s="810"/>
      <c r="J470" s="669">
        <v>1183.3399999999999</v>
      </c>
      <c r="K470" s="804">
        <f>K469-Table13[[#This Row],[مدين]]+Table13[[#This Row],[دائن]]</f>
        <v>12981351.33</v>
      </c>
      <c r="L470" s="579"/>
    </row>
    <row r="471" spans="1:12" s="578" customFormat="1" ht="23.25" customHeight="1">
      <c r="A471" s="630" t="s">
        <v>882</v>
      </c>
      <c r="B471" s="630" t="s">
        <v>883</v>
      </c>
      <c r="C471" s="807" t="s">
        <v>1611</v>
      </c>
      <c r="D471" s="808" t="s">
        <v>884</v>
      </c>
      <c r="E471" s="72" t="s">
        <v>171</v>
      </c>
      <c r="F471" s="72" t="s">
        <v>196</v>
      </c>
      <c r="G471" s="809" t="s">
        <v>885</v>
      </c>
      <c r="H471" s="801" t="s">
        <v>1913</v>
      </c>
      <c r="I471" s="810"/>
      <c r="J471" s="669">
        <v>12886.67</v>
      </c>
      <c r="K471" s="804">
        <f>K470-Table13[[#This Row],[مدين]]+Table13[[#This Row],[دائن]]</f>
        <v>12994238</v>
      </c>
      <c r="L471" s="579"/>
    </row>
    <row r="472" spans="1:12" s="578" customFormat="1" ht="23.25" customHeight="1">
      <c r="A472" s="630" t="s">
        <v>882</v>
      </c>
      <c r="B472" s="630" t="s">
        <v>883</v>
      </c>
      <c r="C472" s="807" t="s">
        <v>1611</v>
      </c>
      <c r="D472" s="808" t="s">
        <v>884</v>
      </c>
      <c r="E472" s="72" t="s">
        <v>171</v>
      </c>
      <c r="F472" s="72" t="s">
        <v>196</v>
      </c>
      <c r="G472" s="809" t="s">
        <v>885</v>
      </c>
      <c r="H472" s="801" t="s">
        <v>1913</v>
      </c>
      <c r="I472" s="810"/>
      <c r="J472" s="669">
        <v>10600</v>
      </c>
      <c r="K472" s="804">
        <f>K471-Table13[[#This Row],[مدين]]+Table13[[#This Row],[دائن]]</f>
        <v>13004838</v>
      </c>
      <c r="L472" s="579"/>
    </row>
    <row r="473" spans="1:12" s="578" customFormat="1" ht="23.25" customHeight="1">
      <c r="A473" s="630" t="s">
        <v>882</v>
      </c>
      <c r="B473" s="630" t="s">
        <v>883</v>
      </c>
      <c r="C473" s="807" t="s">
        <v>1611</v>
      </c>
      <c r="D473" s="808" t="s">
        <v>884</v>
      </c>
      <c r="E473" s="72" t="s">
        <v>171</v>
      </c>
      <c r="F473" s="72" t="s">
        <v>196</v>
      </c>
      <c r="G473" s="809" t="s">
        <v>885</v>
      </c>
      <c r="H473" s="801" t="s">
        <v>1913</v>
      </c>
      <c r="I473" s="810"/>
      <c r="J473" s="669">
        <v>144467.49</v>
      </c>
      <c r="K473" s="804">
        <f>K472-Table13[[#This Row],[مدين]]+Table13[[#This Row],[دائن]]</f>
        <v>13149305.49</v>
      </c>
      <c r="L473" s="579"/>
    </row>
    <row r="474" spans="1:12" s="58" customFormat="1" ht="23.25" customHeight="1">
      <c r="A474" s="70" t="s">
        <v>882</v>
      </c>
      <c r="B474" s="70" t="s">
        <v>886</v>
      </c>
      <c r="C474" s="71" t="s">
        <v>2086</v>
      </c>
      <c r="D474" s="685" t="s">
        <v>180</v>
      </c>
      <c r="E474" s="72" t="s">
        <v>171</v>
      </c>
      <c r="F474" s="72" t="s">
        <v>181</v>
      </c>
      <c r="G474" s="72" t="s">
        <v>1657</v>
      </c>
      <c r="H474" s="801" t="s">
        <v>1913</v>
      </c>
      <c r="I474" s="674"/>
      <c r="J474" s="657">
        <v>24620.41</v>
      </c>
      <c r="K474" s="800">
        <f>K473-Table13[[#This Row],[مدين]]+Table13[[#This Row],[دائن]]</f>
        <v>13173925.9</v>
      </c>
      <c r="L474" s="62"/>
    </row>
    <row r="475" spans="1:12" s="58" customFormat="1" ht="23.25" customHeight="1">
      <c r="A475" s="70" t="s">
        <v>882</v>
      </c>
      <c r="B475" s="70" t="s">
        <v>887</v>
      </c>
      <c r="C475" s="71" t="s">
        <v>2086</v>
      </c>
      <c r="D475" s="685" t="s">
        <v>227</v>
      </c>
      <c r="E475" s="72" t="s">
        <v>171</v>
      </c>
      <c r="F475" s="72" t="s">
        <v>181</v>
      </c>
      <c r="G475" s="72" t="s">
        <v>1657</v>
      </c>
      <c r="H475" s="801" t="s">
        <v>1913</v>
      </c>
      <c r="I475" s="674"/>
      <c r="J475" s="657">
        <v>7464</v>
      </c>
      <c r="K475" s="800">
        <f>K474-Table13[[#This Row],[مدين]]+Table13[[#This Row],[دائن]]</f>
        <v>13181389.9</v>
      </c>
      <c r="L475" s="62"/>
    </row>
    <row r="476" spans="1:12" s="58" customFormat="1" ht="23.25" customHeight="1">
      <c r="A476" s="70" t="s">
        <v>882</v>
      </c>
      <c r="B476" s="70" t="s">
        <v>888</v>
      </c>
      <c r="C476" s="71" t="s">
        <v>2086</v>
      </c>
      <c r="D476" s="685" t="s">
        <v>229</v>
      </c>
      <c r="E476" s="72" t="s">
        <v>171</v>
      </c>
      <c r="F476" s="72" t="s">
        <v>181</v>
      </c>
      <c r="G476" s="72" t="s">
        <v>1676</v>
      </c>
      <c r="H476" s="801" t="s">
        <v>1913</v>
      </c>
      <c r="I476" s="674"/>
      <c r="J476" s="657">
        <v>36173</v>
      </c>
      <c r="K476" s="800">
        <f>K475-Table13[[#This Row],[مدين]]+Table13[[#This Row],[دائن]]</f>
        <v>13217562.9</v>
      </c>
      <c r="L476" s="62"/>
    </row>
    <row r="477" spans="1:12" s="58" customFormat="1" ht="23.25" customHeight="1">
      <c r="A477" s="70" t="s">
        <v>882</v>
      </c>
      <c r="B477" s="70" t="s">
        <v>889</v>
      </c>
      <c r="C477" s="71" t="s">
        <v>2086</v>
      </c>
      <c r="D477" s="685" t="s">
        <v>231</v>
      </c>
      <c r="E477" s="72" t="s">
        <v>171</v>
      </c>
      <c r="F477" s="72" t="s">
        <v>181</v>
      </c>
      <c r="G477" s="72" t="s">
        <v>1658</v>
      </c>
      <c r="H477" s="801" t="s">
        <v>1913</v>
      </c>
      <c r="I477" s="674"/>
      <c r="J477" s="657">
        <v>8333</v>
      </c>
      <c r="K477" s="800">
        <f>K476-Table13[[#This Row],[مدين]]+Table13[[#This Row],[دائن]]</f>
        <v>13225895.9</v>
      </c>
      <c r="L477" s="62"/>
    </row>
    <row r="478" spans="1:12" s="58" customFormat="1" ht="23.25" customHeight="1">
      <c r="A478" s="70" t="s">
        <v>882</v>
      </c>
      <c r="B478" s="70" t="s">
        <v>890</v>
      </c>
      <c r="C478" s="71" t="s">
        <v>2102</v>
      </c>
      <c r="D478" s="685" t="s">
        <v>891</v>
      </c>
      <c r="E478" s="72" t="s">
        <v>171</v>
      </c>
      <c r="F478" s="72" t="s">
        <v>1696</v>
      </c>
      <c r="G478" s="72"/>
      <c r="H478" s="801" t="s">
        <v>1913</v>
      </c>
      <c r="I478" s="674"/>
      <c r="J478" s="657">
        <v>1420</v>
      </c>
      <c r="K478" s="800">
        <f>K477-Table13[[#This Row],[مدين]]+Table13[[#This Row],[دائن]]</f>
        <v>13227315.9</v>
      </c>
      <c r="L478" s="62"/>
    </row>
    <row r="479" spans="1:12" s="58" customFormat="1" ht="23.25" customHeight="1">
      <c r="A479" s="70" t="s">
        <v>882</v>
      </c>
      <c r="B479" s="70" t="s">
        <v>892</v>
      </c>
      <c r="C479" s="71" t="s">
        <v>2102</v>
      </c>
      <c r="D479" s="685" t="s">
        <v>233</v>
      </c>
      <c r="E479" s="72" t="s">
        <v>171</v>
      </c>
      <c r="F479" s="72" t="s">
        <v>1677</v>
      </c>
      <c r="G479" s="72"/>
      <c r="H479" s="801" t="s">
        <v>1913</v>
      </c>
      <c r="I479" s="674"/>
      <c r="J479" s="657">
        <v>45</v>
      </c>
      <c r="K479" s="800">
        <f>K478-Table13[[#This Row],[مدين]]+Table13[[#This Row],[دائن]]</f>
        <v>13227360.9</v>
      </c>
      <c r="L479" s="62"/>
    </row>
    <row r="480" spans="1:12" s="58" customFormat="1" ht="23.25" customHeight="1">
      <c r="A480" s="70" t="s">
        <v>882</v>
      </c>
      <c r="B480" s="70" t="s">
        <v>893</v>
      </c>
      <c r="C480" s="71" t="s">
        <v>2105</v>
      </c>
      <c r="D480" s="685" t="s">
        <v>894</v>
      </c>
      <c r="E480" s="72" t="s">
        <v>171</v>
      </c>
      <c r="F480" s="72" t="s">
        <v>181</v>
      </c>
      <c r="G480" s="72" t="s">
        <v>1685</v>
      </c>
      <c r="H480" s="801" t="s">
        <v>1913</v>
      </c>
      <c r="I480" s="674"/>
      <c r="J480" s="657">
        <v>102</v>
      </c>
      <c r="K480" s="800">
        <f>K479-Table13[[#This Row],[مدين]]+Table13[[#This Row],[دائن]]</f>
        <v>13227462.9</v>
      </c>
      <c r="L480" s="62"/>
    </row>
    <row r="481" spans="1:36" s="58" customFormat="1" ht="23.25" customHeight="1">
      <c r="A481" s="70" t="s">
        <v>882</v>
      </c>
      <c r="B481" s="70" t="s">
        <v>893</v>
      </c>
      <c r="C481" s="71" t="s">
        <v>2102</v>
      </c>
      <c r="D481" s="685" t="s">
        <v>895</v>
      </c>
      <c r="E481" s="72" t="s">
        <v>1655</v>
      </c>
      <c r="F481" s="72" t="s">
        <v>186</v>
      </c>
      <c r="G481" s="72"/>
      <c r="H481" s="801" t="s">
        <v>1913</v>
      </c>
      <c r="I481" s="674"/>
      <c r="J481" s="657">
        <v>75</v>
      </c>
      <c r="K481" s="800">
        <f>K480-Table13[[#This Row],[مدين]]+Table13[[#This Row],[دائن]]</f>
        <v>13227537.9</v>
      </c>
      <c r="L481" s="62"/>
    </row>
    <row r="482" spans="1:36" s="58" customFormat="1" ht="23.25" customHeight="1">
      <c r="A482" s="70" t="s">
        <v>882</v>
      </c>
      <c r="B482" s="70" t="s">
        <v>896</v>
      </c>
      <c r="C482" s="641" t="s">
        <v>1674</v>
      </c>
      <c r="D482" s="685" t="s">
        <v>897</v>
      </c>
      <c r="E482" s="72" t="s">
        <v>1667</v>
      </c>
      <c r="F482" s="72" t="s">
        <v>168</v>
      </c>
      <c r="G482" s="72" t="s">
        <v>1668</v>
      </c>
      <c r="H482" s="801" t="s">
        <v>1913</v>
      </c>
      <c r="I482" s="802">
        <v>50374</v>
      </c>
      <c r="J482" s="802"/>
      <c r="K482" s="804">
        <f>K481-Table13[[#This Row],[مدين]]+Table13[[#This Row],[دائن]]</f>
        <v>13177163.9</v>
      </c>
      <c r="L482" s="62"/>
    </row>
    <row r="483" spans="1:36" s="58" customFormat="1" ht="23.25" customHeight="1">
      <c r="A483" s="70" t="s">
        <v>882</v>
      </c>
      <c r="B483" s="70" t="s">
        <v>898</v>
      </c>
      <c r="C483" s="71" t="s">
        <v>2105</v>
      </c>
      <c r="D483" s="685" t="s">
        <v>899</v>
      </c>
      <c r="E483" s="72" t="s">
        <v>1655</v>
      </c>
      <c r="F483" s="72" t="s">
        <v>899</v>
      </c>
      <c r="G483" s="72" t="s">
        <v>64</v>
      </c>
      <c r="H483" s="801" t="s">
        <v>1913</v>
      </c>
      <c r="I483" s="674"/>
      <c r="J483" s="657">
        <v>1016</v>
      </c>
      <c r="K483" s="800">
        <f>K482-Table13[[#This Row],[مدين]]+Table13[[#This Row],[دائن]]</f>
        <v>13178179.9</v>
      </c>
      <c r="L483" s="62"/>
    </row>
    <row r="484" spans="1:36" s="58" customFormat="1" ht="23.25" customHeight="1">
      <c r="A484" s="70" t="s">
        <v>882</v>
      </c>
      <c r="B484" s="70" t="s">
        <v>900</v>
      </c>
      <c r="C484" s="641" t="s">
        <v>1937</v>
      </c>
      <c r="D484" s="685" t="s">
        <v>901</v>
      </c>
      <c r="E484" s="72" t="s">
        <v>1667</v>
      </c>
      <c r="F484" s="72" t="s">
        <v>168</v>
      </c>
      <c r="G484" s="72" t="s">
        <v>1678</v>
      </c>
      <c r="H484" s="801" t="s">
        <v>1913</v>
      </c>
      <c r="I484" s="802">
        <v>76697</v>
      </c>
      <c r="J484" s="802"/>
      <c r="K484" s="800">
        <f>K483-Table13[[#This Row],[مدين]]+Table13[[#This Row],[دائن]]</f>
        <v>13101482.9</v>
      </c>
      <c r="L484" s="62"/>
    </row>
    <row r="485" spans="1:36" s="58" customFormat="1" ht="23.25" customHeight="1">
      <c r="A485" s="56"/>
      <c r="B485" s="56"/>
      <c r="C485" s="59"/>
      <c r="D485" s="60"/>
      <c r="E485" s="61"/>
      <c r="F485" s="61"/>
      <c r="G485" s="61"/>
      <c r="H485" s="57"/>
      <c r="I485" s="622"/>
      <c r="J485" s="57"/>
      <c r="K485" s="660"/>
      <c r="M485" s="58" t="s">
        <v>1007</v>
      </c>
      <c r="N485" s="58">
        <v>338825</v>
      </c>
    </row>
    <row r="486" spans="1:36" s="78" customFormat="1" ht="33.75" customHeight="1">
      <c r="A486" s="65"/>
      <c r="B486" s="65"/>
      <c r="C486" s="63"/>
      <c r="D486" s="64"/>
      <c r="G486" s="79" t="s">
        <v>902</v>
      </c>
      <c r="H486" s="80" t="s">
        <v>158</v>
      </c>
      <c r="I486" s="626" t="s">
        <v>159</v>
      </c>
      <c r="J486" s="80" t="s">
        <v>160</v>
      </c>
      <c r="K486" s="661"/>
      <c r="M486" s="78" t="s">
        <v>64</v>
      </c>
      <c r="N486" s="78">
        <v>4408448</v>
      </c>
    </row>
    <row r="487" spans="1:36" s="82" customFormat="1" ht="33.75" customHeight="1" thickBot="1">
      <c r="A487" s="81"/>
      <c r="B487" s="716"/>
      <c r="C487" s="718"/>
      <c r="D487" s="716"/>
      <c r="G487" s="83" t="s">
        <v>903</v>
      </c>
      <c r="H487" s="84">
        <v>0</v>
      </c>
      <c r="I487" s="85">
        <v>2165215.02</v>
      </c>
      <c r="J487" s="86">
        <f>K4</f>
        <v>2165215.02</v>
      </c>
      <c r="K487" s="662"/>
      <c r="M487" s="82" t="s">
        <v>1134</v>
      </c>
      <c r="N487" s="82">
        <v>338825</v>
      </c>
    </row>
    <row r="488" spans="1:36" s="82" customFormat="1" ht="33.75" customHeight="1" thickBot="1">
      <c r="A488" s="81"/>
      <c r="B488" s="716"/>
      <c r="C488" s="718"/>
      <c r="D488" s="716"/>
      <c r="G488" s="87" t="s">
        <v>904</v>
      </c>
      <c r="H488" s="87">
        <f>SUBTOTAL(9,Table13[مدين])</f>
        <v>2978385.77</v>
      </c>
      <c r="I488" s="623">
        <f>SUBTOTAL(9,Table13[دائن])</f>
        <v>16079868.670000002</v>
      </c>
      <c r="J488" s="87">
        <f>I488-H488</f>
        <v>13101482.900000002</v>
      </c>
      <c r="K488" s="662"/>
      <c r="M488" s="82" t="s">
        <v>967</v>
      </c>
      <c r="N488" s="82">
        <v>402425</v>
      </c>
    </row>
    <row r="489" spans="1:36" s="82" customFormat="1" ht="18.75" customHeight="1">
      <c r="A489" s="88"/>
      <c r="B489" s="88"/>
      <c r="C489" s="88"/>
      <c r="D489" s="88"/>
      <c r="G489" s="89"/>
      <c r="H489" s="89"/>
      <c r="I489" s="624"/>
      <c r="J489" s="89"/>
      <c r="K489" s="662"/>
      <c r="M489" s="82" t="s">
        <v>63</v>
      </c>
      <c r="N489" s="82">
        <v>1030733</v>
      </c>
    </row>
    <row r="490" spans="1:36" s="82" customFormat="1" ht="33.75" customHeight="1">
      <c r="B490" s="716"/>
      <c r="C490" s="718"/>
      <c r="D490" s="716"/>
      <c r="G490" s="90" t="s">
        <v>905</v>
      </c>
      <c r="H490" s="91">
        <f>SUM(H487:H488)</f>
        <v>2978385.77</v>
      </c>
      <c r="I490" s="91">
        <f>SUM(I487:I488)</f>
        <v>18245083.690000001</v>
      </c>
      <c r="J490" s="91">
        <f>SUM(J487:J488)</f>
        <v>15266697.920000002</v>
      </c>
      <c r="K490" s="662"/>
      <c r="M490" s="82" t="s">
        <v>1014</v>
      </c>
      <c r="N490" s="82">
        <v>355775</v>
      </c>
    </row>
    <row r="491" spans="1:36">
      <c r="B491" s="716"/>
      <c r="C491" s="718"/>
      <c r="D491" s="857"/>
    </row>
    <row r="493" spans="1:36" ht="29.25" thickBot="1">
      <c r="C493" s="719"/>
    </row>
    <row r="494" spans="1:36" ht="29.25" thickTop="1"/>
    <row r="495" spans="1:36" ht="24.75" customHeight="1">
      <c r="A495" s="617" t="s">
        <v>86</v>
      </c>
      <c r="B495" s="617" t="s">
        <v>954</v>
      </c>
      <c r="C495" s="617" t="s">
        <v>1914</v>
      </c>
      <c r="D495" s="617" t="s">
        <v>1653</v>
      </c>
      <c r="E495" s="617" t="s">
        <v>170</v>
      </c>
      <c r="F495" s="617" t="s">
        <v>205</v>
      </c>
      <c r="G495" s="617" t="s">
        <v>69</v>
      </c>
      <c r="H495" s="617" t="s">
        <v>1657</v>
      </c>
      <c r="I495" s="624" t="s">
        <v>1659</v>
      </c>
      <c r="J495" s="617" t="s">
        <v>1676</v>
      </c>
      <c r="K495" s="663" t="s">
        <v>67</v>
      </c>
      <c r="L495" s="617" t="s">
        <v>1916</v>
      </c>
      <c r="M495" s="617" t="s">
        <v>1918</v>
      </c>
      <c r="N495" s="617" t="s">
        <v>1919</v>
      </c>
      <c r="O495" s="617" t="s">
        <v>1692</v>
      </c>
      <c r="P495" s="617" t="s">
        <v>186</v>
      </c>
      <c r="Q495" s="617" t="s">
        <v>1921</v>
      </c>
      <c r="R495" s="617" t="s">
        <v>1922</v>
      </c>
      <c r="S495" s="617" t="s">
        <v>1923</v>
      </c>
      <c r="T495" s="617" t="s">
        <v>1924</v>
      </c>
      <c r="U495" s="617" t="s">
        <v>1701</v>
      </c>
      <c r="V495" s="617" t="s">
        <v>1925</v>
      </c>
      <c r="W495" s="617" t="s">
        <v>1926</v>
      </c>
      <c r="X495" s="617" t="s">
        <v>196</v>
      </c>
      <c r="Y495" s="617" t="s">
        <v>1675</v>
      </c>
      <c r="Z495" s="617" t="s">
        <v>1680</v>
      </c>
      <c r="AA495" s="617" t="s">
        <v>2072</v>
      </c>
      <c r="AB495" s="617" t="s">
        <v>2074</v>
      </c>
      <c r="AC495" s="617" t="s">
        <v>2075</v>
      </c>
      <c r="AD495" s="617" t="s">
        <v>2076</v>
      </c>
      <c r="AE495" s="617" t="s">
        <v>2077</v>
      </c>
      <c r="AF495" s="617" t="s">
        <v>2079</v>
      </c>
      <c r="AG495" s="617" t="s">
        <v>2080</v>
      </c>
      <c r="AH495" s="617" t="s">
        <v>2081</v>
      </c>
      <c r="AI495" s="617" t="s">
        <v>2078</v>
      </c>
      <c r="AJ495" s="617" t="s">
        <v>2083</v>
      </c>
    </row>
    <row r="496" spans="1:36" ht="24.75" customHeight="1">
      <c r="A496" s="638" t="s">
        <v>67</v>
      </c>
      <c r="B496" s="618">
        <f>SUM(Table8[[#This Row],[الرواتب المسيرات]:[اطراف ذات علاقة]])</f>
        <v>11460000</v>
      </c>
      <c r="C496" s="620"/>
      <c r="D496" s="618"/>
      <c r="E496" s="618"/>
      <c r="F496" s="618"/>
      <c r="G496" s="618"/>
      <c r="H496" s="618"/>
      <c r="I496" s="627"/>
      <c r="J496" s="618"/>
      <c r="K496" s="665">
        <f>11190000+135000+135000</f>
        <v>11460000</v>
      </c>
      <c r="L496" s="618"/>
      <c r="M496" s="618">
        <f>Table8[[#This Row],[الرواتب المسيرات]]/$C$514*43384.1</f>
        <v>0</v>
      </c>
      <c r="N496" s="618"/>
      <c r="O496" s="618"/>
      <c r="P496" s="618"/>
      <c r="Q496" s="618"/>
      <c r="R496" s="618"/>
      <c r="S496" s="618"/>
      <c r="T496" s="618"/>
      <c r="U496" s="618">
        <f>Table8[[#This Row],[الرواتب المسيرات]]/$C$514*5200</f>
        <v>0</v>
      </c>
      <c r="V496" s="618"/>
      <c r="W496" s="618"/>
      <c r="X496" s="618"/>
      <c r="Y496" s="618"/>
      <c r="Z496" s="618"/>
      <c r="AA496" s="618"/>
      <c r="AB496" s="618"/>
      <c r="AC496" s="618"/>
      <c r="AD496" s="618"/>
      <c r="AE496" s="618"/>
      <c r="AF496" s="618"/>
      <c r="AG496" s="618"/>
      <c r="AH496" s="618"/>
      <c r="AI496" s="618"/>
      <c r="AJ496" s="618"/>
    </row>
    <row r="497" spans="1:36" ht="24.75" customHeight="1">
      <c r="A497" s="638" t="s">
        <v>1654</v>
      </c>
      <c r="B497" s="618">
        <f>SUM(Table8[[#This Row],[الرواتب المسيرات]:[اطراف ذات علاقة]])</f>
        <v>750000</v>
      </c>
      <c r="C497" s="620">
        <v>0</v>
      </c>
      <c r="D497" s="618">
        <v>750000</v>
      </c>
      <c r="E497" s="618"/>
      <c r="F497" s="618"/>
      <c r="G497" s="618"/>
      <c r="H497" s="618"/>
      <c r="I497" s="627"/>
      <c r="J497" s="618"/>
      <c r="K497" s="663"/>
      <c r="L497" s="618"/>
      <c r="M497" s="618">
        <f>Table8[[#This Row],[الرواتب المسيرات]]/$C$514*43384.1</f>
        <v>0</v>
      </c>
      <c r="N497" s="618"/>
      <c r="O497" s="618"/>
      <c r="P497" s="618"/>
      <c r="Q497" s="618"/>
      <c r="R497" s="618"/>
      <c r="S497" s="618"/>
      <c r="T497" s="618"/>
      <c r="U497" s="618">
        <f>Table8[[#This Row],[الرواتب المسيرات]]/$C$514*5200</f>
        <v>0</v>
      </c>
      <c r="V497" s="618"/>
      <c r="W497" s="618"/>
      <c r="X497" s="618"/>
      <c r="Y497" s="618"/>
      <c r="Z497" s="618"/>
      <c r="AA497" s="618"/>
      <c r="AB497" s="618"/>
      <c r="AC497" s="618"/>
      <c r="AD497" s="618"/>
      <c r="AE497" s="618"/>
      <c r="AF497" s="618"/>
      <c r="AG497" s="618"/>
      <c r="AH497" s="618"/>
      <c r="AI497" s="618"/>
      <c r="AJ497" s="618"/>
    </row>
    <row r="498" spans="1:36" ht="24.75" customHeight="1">
      <c r="A498" s="667" t="s">
        <v>1656</v>
      </c>
      <c r="B498" s="618">
        <f>SUM(Table8[[#This Row],[الرواتب المسيرات]:[اطراف ذات علاقة]])</f>
        <v>605892.73213003762</v>
      </c>
      <c r="C498" s="620">
        <v>209413.34</v>
      </c>
      <c r="D498" s="618"/>
      <c r="E498" s="618"/>
      <c r="F498" s="618">
        <f>4566+320</f>
        <v>4886</v>
      </c>
      <c r="G498" s="618"/>
      <c r="H498" s="621">
        <f>Table8[[#This Row],[الرواتب المسيرات]]/$C$514*166341.36</f>
        <v>19363.210983809942</v>
      </c>
      <c r="I498" s="628">
        <f>Table8[[#This Row],[الرواتب المسيرات]]/$C$514*98737</f>
        <v>11493.625896219934</v>
      </c>
      <c r="J498" s="618">
        <f>Table8[[#This Row],[الرواتب المسيرات]]/$C$514*392778</f>
        <v>45721.90153909348</v>
      </c>
      <c r="K498" s="663"/>
      <c r="L498" s="618"/>
      <c r="M498" s="618">
        <f>Table8[[#This Row],[الرواتب المسيرات]]/$C$514*43384.1+843</f>
        <v>5893.1900528089291</v>
      </c>
      <c r="N498" s="618"/>
      <c r="O498" s="618"/>
      <c r="P498" s="618">
        <f>1225+100</f>
        <v>1325</v>
      </c>
      <c r="Q498" s="618"/>
      <c r="R498" s="618"/>
      <c r="S498" s="618"/>
      <c r="T498" s="618">
        <f>190.75+138.15</f>
        <v>328.9</v>
      </c>
      <c r="U498" s="618">
        <f>Table8[[#This Row],[الرواتب المسيرات]]/$C$514*5200</f>
        <v>605.31365810530656</v>
      </c>
      <c r="V498" s="618">
        <f>50729+734</f>
        <v>51463</v>
      </c>
      <c r="W498" s="618">
        <v>35714</v>
      </c>
      <c r="X498" s="618"/>
      <c r="Y498" s="618">
        <v>300</v>
      </c>
      <c r="Z498" s="618">
        <v>3000</v>
      </c>
      <c r="AA498" s="618">
        <v>13017.74</v>
      </c>
      <c r="AB498" s="618">
        <v>69726.23</v>
      </c>
      <c r="AC498" s="618">
        <v>35101</v>
      </c>
      <c r="AD498" s="618">
        <v>10370.280000000001</v>
      </c>
      <c r="AE498" s="618">
        <v>100</v>
      </c>
      <c r="AF498" s="618">
        <v>81800</v>
      </c>
      <c r="AG498" s="618">
        <v>1016</v>
      </c>
      <c r="AH498" s="618">
        <v>3050</v>
      </c>
      <c r="AI498" s="618">
        <f>1528+676</f>
        <v>2204</v>
      </c>
      <c r="AJ498" s="618"/>
    </row>
    <row r="499" spans="1:36" ht="24.75" customHeight="1">
      <c r="A499" s="638" t="s">
        <v>64</v>
      </c>
      <c r="B499" s="618">
        <f>SUM(Table8[[#This Row],[الرواتب المسيرات]:[اطراف ذات علاقة]])</f>
        <v>1877717.9737602537</v>
      </c>
      <c r="C499" s="620">
        <f>1023774.19-5333.34</f>
        <v>1018440.85</v>
      </c>
      <c r="D499" s="618"/>
      <c r="E499" s="621">
        <f>(Table8[[#This Row],[الرواتب المسيرات]]+C512+C498)/$C$514*38318</f>
        <v>27720.923774315146</v>
      </c>
      <c r="F499" s="618"/>
      <c r="G499" s="618">
        <v>36807.01</v>
      </c>
      <c r="H499" s="621">
        <f>Table8[[#This Row],[الرواتب المسيرات]]/$C$514*166341.36</f>
        <v>94169.192149271563</v>
      </c>
      <c r="I499" s="628">
        <f>Table8[[#This Row],[الرواتب المسيرات]]/$C$514*98737</f>
        <v>55897.003158099862</v>
      </c>
      <c r="J499" s="618">
        <f>Table8[[#This Row],[الرواتب المسيرات]]/$C$514*392778</f>
        <v>222359.53195288643</v>
      </c>
      <c r="K499" s="663"/>
      <c r="L499" s="618"/>
      <c r="M499" s="618">
        <f>Table8[[#This Row],[الرواتب المسيرات]]/$C$514*43384.1</f>
        <v>24560.612280212285</v>
      </c>
      <c r="N499" s="618">
        <f>(561670/907199)*561204</f>
        <v>347455.68577566772</v>
      </c>
      <c r="O499" s="618">
        <v>1267</v>
      </c>
      <c r="P499" s="618"/>
      <c r="Q499" s="618"/>
      <c r="R499" s="618">
        <v>10515</v>
      </c>
      <c r="S499" s="618">
        <v>476</v>
      </c>
      <c r="T499" s="618"/>
      <c r="U499" s="618">
        <f>Table8[[#This Row],[الرواتب المسيرات]]/$C$514*5200</f>
        <v>2943.824669800777</v>
      </c>
      <c r="V499" s="618"/>
      <c r="W499" s="618"/>
      <c r="X499" s="618">
        <v>33263.339999999997</v>
      </c>
      <c r="Y499" s="618">
        <v>1842</v>
      </c>
      <c r="Z499" s="618"/>
      <c r="AA499" s="618"/>
      <c r="AB499" s="618"/>
      <c r="AC499" s="618"/>
      <c r="AD499" s="618"/>
      <c r="AE499" s="618"/>
      <c r="AF499" s="618"/>
      <c r="AG499" s="618"/>
      <c r="AH499" s="618"/>
      <c r="AI499" s="618"/>
      <c r="AJ499" s="618"/>
    </row>
    <row r="500" spans="1:36" ht="24.75" customHeight="1">
      <c r="A500" s="638" t="s">
        <v>996</v>
      </c>
      <c r="B500" s="618">
        <f>SUM(Table8[[#This Row],[الرواتب المسيرات]:[اطراف ذات علاقة]])</f>
        <v>149252.92633982995</v>
      </c>
      <c r="C500" s="620">
        <v>98063.74</v>
      </c>
      <c r="D500" s="618"/>
      <c r="E500" s="621">
        <f>Table8[[#This Row],[الرواتب المسيرات]]/$C$514*38318</f>
        <v>2088.7384997675686</v>
      </c>
      <c r="F500" s="618"/>
      <c r="G500" s="618">
        <v>950</v>
      </c>
      <c r="H500" s="621">
        <f>Table8[[#This Row],[الرواتب المسيرات]]/$C$514*166341.36</f>
        <v>9067.3731075655578</v>
      </c>
      <c r="I500" s="628">
        <f>Table8[[#This Row],[الرواتب المسيرات]]/$C$514*98737</f>
        <v>5382.216536655108</v>
      </c>
      <c r="J500" s="618">
        <f>Table8[[#This Row],[الرواتب المسيرات]]/$C$514*392778</f>
        <v>21410.578069359206</v>
      </c>
      <c r="K500" s="663"/>
      <c r="L500" s="618"/>
      <c r="M500" s="618">
        <f>Table8[[#This Row],[الرواتب المسيرات]]/$C$514*43384.1</f>
        <v>2364.8948261330493</v>
      </c>
      <c r="N500" s="618">
        <v>0</v>
      </c>
      <c r="O500" s="618"/>
      <c r="P500" s="618"/>
      <c r="Q500" s="618">
        <v>1553</v>
      </c>
      <c r="R500" s="618"/>
      <c r="S500" s="618"/>
      <c r="T500" s="618"/>
      <c r="U500" s="618">
        <f>Table8[[#This Row],[الرواتب المسيرات]]/$C$514*5200</f>
        <v>283.45530034947956</v>
      </c>
      <c r="V500" s="618"/>
      <c r="W500" s="618"/>
      <c r="X500" s="618">
        <v>758</v>
      </c>
      <c r="Y500" s="618">
        <v>7330.93</v>
      </c>
      <c r="Z500" s="618"/>
      <c r="AA500" s="618"/>
      <c r="AB500" s="618"/>
      <c r="AC500" s="618"/>
      <c r="AD500" s="618"/>
      <c r="AE500" s="618"/>
      <c r="AF500" s="618"/>
      <c r="AG500" s="618"/>
      <c r="AH500" s="618"/>
      <c r="AI500" s="618"/>
      <c r="AJ500" s="618"/>
    </row>
    <row r="501" spans="1:36" ht="24.75" customHeight="1">
      <c r="A501" s="638" t="s">
        <v>1134</v>
      </c>
      <c r="B501" s="618">
        <f>SUM(Table8[[#This Row],[الرواتب المسيرات]:[اطراف ذات علاقة]])</f>
        <v>145257.68447098476</v>
      </c>
      <c r="C501" s="620">
        <v>62140.86</v>
      </c>
      <c r="D501" s="618"/>
      <c r="E501" s="621">
        <f>Table8[[#This Row],[الرواتب المسيرات]]/$C$514*38318</f>
        <v>1323.5881753099211</v>
      </c>
      <c r="F501" s="618"/>
      <c r="G501" s="618">
        <v>12339.34</v>
      </c>
      <c r="H501" s="621">
        <f>Table8[[#This Row],[الرواتب المسيرات]]/$C$514*166341.36</f>
        <v>5745.7972013406406</v>
      </c>
      <c r="I501" s="628">
        <f>Table8[[#This Row],[الرواتب المسيرات]]/$C$514*98737</f>
        <v>3410.5936026299828</v>
      </c>
      <c r="J501" s="618">
        <f>Table8[[#This Row],[الرواتب المسيرات]]/$C$514*392778</f>
        <v>13567.417827701869</v>
      </c>
      <c r="K501" s="663"/>
      <c r="L501" s="618"/>
      <c r="M501" s="618">
        <f>Table8[[#This Row],[الرواتب المسيرات]]/$C$514*43384.1</f>
        <v>1498.5824353166436</v>
      </c>
      <c r="N501" s="618">
        <f>(50824/907199)*561204</f>
        <v>31440.325767554856</v>
      </c>
      <c r="O501" s="618"/>
      <c r="P501" s="618"/>
      <c r="Q501" s="618"/>
      <c r="R501" s="618"/>
      <c r="S501" s="618"/>
      <c r="T501" s="618"/>
      <c r="U501" s="618">
        <f>Table8[[#This Row],[الرواتب المسيرات]]/$C$514*5200</f>
        <v>179.61946113084164</v>
      </c>
      <c r="V501" s="618"/>
      <c r="W501" s="618"/>
      <c r="X501" s="618">
        <v>787.5</v>
      </c>
      <c r="Y501" s="618">
        <v>12824.06</v>
      </c>
      <c r="Z501" s="618"/>
      <c r="AA501" s="618"/>
      <c r="AB501" s="618"/>
      <c r="AC501" s="618"/>
      <c r="AD501" s="618"/>
      <c r="AE501" s="618"/>
      <c r="AF501" s="618"/>
      <c r="AG501" s="618"/>
      <c r="AH501" s="618"/>
      <c r="AI501" s="618"/>
      <c r="AJ501" s="618"/>
    </row>
    <row r="502" spans="1:36" ht="24.75" customHeight="1">
      <c r="A502" s="638" t="s">
        <v>1014</v>
      </c>
      <c r="B502" s="618">
        <f>SUM(Table8[[#This Row],[الرواتب المسيرات]:[اطراف ذات علاقة]])</f>
        <v>119143.20760436541</v>
      </c>
      <c r="C502" s="620">
        <v>83818.37</v>
      </c>
      <c r="D502" s="618"/>
      <c r="E502" s="621">
        <f>Table8[[#This Row],[الرواتب المسيرات]]/$C$514*38318</f>
        <v>1785.3149023967776</v>
      </c>
      <c r="F502" s="618"/>
      <c r="G502" s="618"/>
      <c r="H502" s="621">
        <f>Table8[[#This Row],[الرواتب المسيرات]]/$C$514*166341.36</f>
        <v>7750.1881333302163</v>
      </c>
      <c r="I502" s="628">
        <f>Table8[[#This Row],[الرواتب المسيرات]]/$C$514*98737</f>
        <v>4600.361123178418</v>
      </c>
      <c r="J502" s="618">
        <f>Table8[[#This Row],[الرواتب المسيرات]]/$C$514*392778</f>
        <v>18300.339702844656</v>
      </c>
      <c r="K502" s="663"/>
      <c r="L502" s="618"/>
      <c r="M502" s="618">
        <f>Table8[[#This Row],[الرواتب المسيرات]]/$C$514*43384.1</f>
        <v>2021.3549834822286</v>
      </c>
      <c r="N502" s="618">
        <f>(0/907199)*561204</f>
        <v>0</v>
      </c>
      <c r="O502" s="618"/>
      <c r="P502" s="618"/>
      <c r="Q502" s="618"/>
      <c r="R502" s="618"/>
      <c r="S502" s="618"/>
      <c r="T502" s="618"/>
      <c r="U502" s="618">
        <f>Table8[[#This Row],[الرواتب المسيرات]]/$C$514*5200</f>
        <v>242.27875913312917</v>
      </c>
      <c r="V502" s="618"/>
      <c r="W502" s="618"/>
      <c r="X502" s="618">
        <v>625</v>
      </c>
      <c r="Y502" s="618"/>
      <c r="Z502" s="618"/>
      <c r="AA502" s="618"/>
      <c r="AB502" s="618"/>
      <c r="AC502" s="618"/>
      <c r="AD502" s="618"/>
      <c r="AE502" s="618"/>
      <c r="AF502" s="618"/>
      <c r="AG502" s="618"/>
      <c r="AH502" s="618"/>
      <c r="AI502" s="618"/>
      <c r="AJ502" s="618"/>
    </row>
    <row r="503" spans="1:36" ht="24.75" customHeight="1">
      <c r="A503" s="638" t="s">
        <v>1007</v>
      </c>
      <c r="B503" s="618">
        <f>SUM(Table8[[#This Row],[الرواتب المسيرات]:[اطراف ذات علاقة]])</f>
        <v>116792.9972590071</v>
      </c>
      <c r="C503" s="620">
        <v>59187.91</v>
      </c>
      <c r="D503" s="618"/>
      <c r="E503" s="621">
        <f>Table8[[#This Row],[الرواتب المسيرات]]/$C$514*38318</f>
        <v>1260.6909173337451</v>
      </c>
      <c r="F503" s="618"/>
      <c r="G503" s="618"/>
      <c r="H503" s="621">
        <f>Table8[[#This Row],[الرواتب المسيرات]]/$C$514*166341.36</f>
        <v>5472.755408135673</v>
      </c>
      <c r="I503" s="628">
        <f>Table8[[#This Row],[الرواتب المسيرات]]/$C$514*98737</f>
        <v>3248.5212982092485</v>
      </c>
      <c r="J503" s="618">
        <f>Table8[[#This Row],[الرواتب المسيرات]]/$C$514*392778</f>
        <v>12922.690566535668</v>
      </c>
      <c r="K503" s="663"/>
      <c r="L503" s="618"/>
      <c r="M503" s="618">
        <f>Table8[[#This Row],[الرواتب المسيرات]]/$C$514*43384.1</f>
        <v>1427.3694041103117</v>
      </c>
      <c r="N503" s="618">
        <f>(50824/907199)*561204</f>
        <v>31440.325767554856</v>
      </c>
      <c r="O503" s="618"/>
      <c r="P503" s="618"/>
      <c r="Q503" s="618"/>
      <c r="R503" s="618"/>
      <c r="S503" s="618"/>
      <c r="T503" s="618"/>
      <c r="U503" s="618">
        <f>Table8[[#This Row],[الرواتب المسيرات]]/$C$514*5200</f>
        <v>171.08389712760254</v>
      </c>
      <c r="V503" s="618"/>
      <c r="W503" s="618"/>
      <c r="X503" s="618">
        <v>1661.65</v>
      </c>
      <c r="Y503" s="618"/>
      <c r="Z503" s="618"/>
      <c r="AA503" s="618"/>
      <c r="AB503" s="618"/>
      <c r="AC503" s="618"/>
      <c r="AD503" s="618"/>
      <c r="AE503" s="618"/>
      <c r="AF503" s="618"/>
      <c r="AG503" s="618"/>
      <c r="AH503" s="618"/>
      <c r="AI503" s="618"/>
      <c r="AJ503" s="618"/>
    </row>
    <row r="504" spans="1:36" ht="24.75" customHeight="1">
      <c r="A504" s="638" t="s">
        <v>994</v>
      </c>
      <c r="B504" s="618">
        <f>SUM(Table8[[#This Row],[الرواتب المسيرات]:[اطراف ذات علاقة]])</f>
        <v>194578.32281611042</v>
      </c>
      <c r="C504" s="620">
        <v>77327.3</v>
      </c>
      <c r="D504" s="618"/>
      <c r="E504" s="621">
        <f>Table8[[#This Row],[الرواتب المسيرات]]/$C$514*38318</f>
        <v>1647.0563797900907</v>
      </c>
      <c r="F504" s="618"/>
      <c r="G504" s="618">
        <v>2269.5700000000002</v>
      </c>
      <c r="H504" s="621">
        <f>Table8[[#This Row],[الرواتب المسيرات]]/$C$514*166341.36</f>
        <v>7149.9973435711718</v>
      </c>
      <c r="I504" s="628">
        <f>Table8[[#This Row],[الرواتب المسيرات]]/$C$514*98737</f>
        <v>4244.0995294987779</v>
      </c>
      <c r="J504" s="618">
        <f>Table8[[#This Row],[الرواتب المسيرات]]/$C$514*392778</f>
        <v>16883.12309466027</v>
      </c>
      <c r="K504" s="663"/>
      <c r="L504" s="618"/>
      <c r="M504" s="618">
        <f>Table8[[#This Row],[الرواتب المسيرات]]/$C$514*43384.1</f>
        <v>1864.8170229774851</v>
      </c>
      <c r="N504" s="618">
        <f>(132694/907199)*561204</f>
        <v>82086.073260662772</v>
      </c>
      <c r="O504" s="618"/>
      <c r="P504" s="618"/>
      <c r="Q504" s="618"/>
      <c r="R504" s="618"/>
      <c r="S504" s="618"/>
      <c r="T504" s="618"/>
      <c r="U504" s="618">
        <f>Table8[[#This Row],[الرواتب المسيرات]]/$C$514*5200</f>
        <v>223.51618494985311</v>
      </c>
      <c r="V504" s="618"/>
      <c r="W504" s="618"/>
      <c r="X504" s="618"/>
      <c r="Y504" s="618">
        <v>882.77</v>
      </c>
      <c r="Z504" s="618"/>
      <c r="AA504" s="618"/>
      <c r="AB504" s="618"/>
      <c r="AC504" s="618"/>
      <c r="AD504" s="618"/>
      <c r="AE504" s="618"/>
      <c r="AF504" s="618"/>
      <c r="AG504" s="618"/>
      <c r="AH504" s="618"/>
      <c r="AI504" s="618"/>
      <c r="AJ504" s="618"/>
    </row>
    <row r="505" spans="1:36" ht="24.75" customHeight="1">
      <c r="A505" s="638" t="s">
        <v>63</v>
      </c>
      <c r="B505" s="618">
        <f>SUM(Table8[[#This Row],[الرواتب المسيرات]:[اطراف ذات علاقة]])</f>
        <v>206580.72916378765</v>
      </c>
      <c r="C505" s="620">
        <v>116981.7</v>
      </c>
      <c r="D505" s="618"/>
      <c r="E505" s="621">
        <f>Table8[[#This Row],[الرواتب المسيرات]]/$C$514*38318</f>
        <v>2491.6873510867499</v>
      </c>
      <c r="F505" s="618"/>
      <c r="G505" s="618"/>
      <c r="H505" s="621">
        <f>Table8[[#This Row],[الرواتب المسيرات]]/$C$514*166341.36</f>
        <v>10816.604798647304</v>
      </c>
      <c r="I505" s="628">
        <f>Table8[[#This Row],[الرواتب المسيرات]]/$C$514*98737</f>
        <v>6420.5264884454409</v>
      </c>
      <c r="J505" s="618">
        <f>Table8[[#This Row],[الرواتب المسيرات]]/$C$514*392778</f>
        <v>25540.998339818139</v>
      </c>
      <c r="K505" s="663"/>
      <c r="L505" s="618"/>
      <c r="M505" s="618">
        <f>Table8[[#This Row],[الرواتب المسيرات]]/$C$514*43384.1</f>
        <v>2821.1183571241363</v>
      </c>
      <c r="N505" s="618">
        <f>(50824/907199)*561204-0.62</f>
        <v>31439.705767554857</v>
      </c>
      <c r="O505" s="618"/>
      <c r="P505" s="618"/>
      <c r="Q505" s="618"/>
      <c r="R505" s="618"/>
      <c r="S505" s="618"/>
      <c r="T505" s="618"/>
      <c r="U505" s="618">
        <f>Table8[[#This Row],[الرواتب المسيرات]]/$C$514*5200</f>
        <v>338.13806111099478</v>
      </c>
      <c r="V505" s="618"/>
      <c r="W505" s="618"/>
      <c r="X505" s="618">
        <v>9730.25</v>
      </c>
      <c r="Y505" s="618"/>
      <c r="Z505" s="618"/>
      <c r="AA505" s="618"/>
      <c r="AB505" s="618"/>
      <c r="AC505" s="618"/>
      <c r="AD505" s="618"/>
      <c r="AE505" s="618"/>
      <c r="AF505" s="618"/>
      <c r="AG505" s="618"/>
      <c r="AH505" s="618"/>
      <c r="AI505" s="618"/>
      <c r="AJ505" s="618"/>
    </row>
    <row r="506" spans="1:36" ht="24.75" customHeight="1">
      <c r="A506" s="638" t="s">
        <v>1915</v>
      </c>
      <c r="B506" s="618">
        <f>SUM(Table8[[#This Row],[الرواتب المسيرات]:[اطراف ذات علاقة]])</f>
        <v>-60000</v>
      </c>
      <c r="C506" s="620"/>
      <c r="D506" s="618"/>
      <c r="E506" s="618"/>
      <c r="F506" s="618"/>
      <c r="G506" s="618"/>
      <c r="H506" s="618"/>
      <c r="I506" s="628">
        <f>Table8[[#This Row],[الرواتب المسيرات]]/$C$514*98737</f>
        <v>0</v>
      </c>
      <c r="J506" s="618"/>
      <c r="K506" s="663"/>
      <c r="L506" s="618">
        <v>-60000</v>
      </c>
      <c r="M506" s="618">
        <f>Table8[[#This Row],[الرواتب المسيرات]]/$C$514*43384.1</f>
        <v>0</v>
      </c>
      <c r="N506" s="618"/>
      <c r="O506" s="618"/>
      <c r="P506" s="618"/>
      <c r="Q506" s="618"/>
      <c r="R506" s="618"/>
      <c r="S506" s="618"/>
      <c r="T506" s="618"/>
      <c r="U506" s="618">
        <f>Table8[[#This Row],[الرواتب المسيرات]]/$C$514*5200</f>
        <v>0</v>
      </c>
      <c r="V506" s="618"/>
      <c r="W506" s="618"/>
      <c r="X506" s="618"/>
      <c r="Y506" s="618"/>
      <c r="Z506" s="618"/>
      <c r="AA506" s="618"/>
      <c r="AB506" s="618"/>
      <c r="AC506" s="618"/>
      <c r="AD506" s="618"/>
      <c r="AE506" s="618"/>
      <c r="AF506" s="618"/>
      <c r="AG506" s="618"/>
      <c r="AH506" s="618"/>
      <c r="AI506" s="618"/>
      <c r="AJ506" s="618"/>
    </row>
    <row r="507" spans="1:36" ht="24.75" customHeight="1">
      <c r="A507" s="638">
        <v>80972</v>
      </c>
      <c r="B507" s="618">
        <f>SUM(Table8[[#This Row],[الرواتب المسيرات]:[اطراف ذات علاقة]])</f>
        <v>1400</v>
      </c>
      <c r="C507" s="620"/>
      <c r="D507" s="618"/>
      <c r="E507" s="618"/>
      <c r="F507" s="618"/>
      <c r="G507" s="618"/>
      <c r="H507" s="618"/>
      <c r="I507" s="628">
        <f>Table8[[#This Row],[الرواتب المسيرات]]/$C$514*98737</f>
        <v>0</v>
      </c>
      <c r="J507" s="618"/>
      <c r="K507" s="663"/>
      <c r="L507" s="618">
        <v>1400</v>
      </c>
      <c r="M507" s="618">
        <f>Table8[[#This Row],[الرواتب المسيرات]]/$C$514*43384.1</f>
        <v>0</v>
      </c>
      <c r="N507" s="618"/>
      <c r="O507" s="618"/>
      <c r="P507" s="618"/>
      <c r="Q507" s="618"/>
      <c r="R507" s="618"/>
      <c r="S507" s="618"/>
      <c r="T507" s="618"/>
      <c r="U507" s="618">
        <f>Table8[[#This Row],[الرواتب المسيرات]]/$C$514*5200</f>
        <v>0</v>
      </c>
      <c r="V507" s="618"/>
      <c r="W507" s="618"/>
      <c r="X507" s="618"/>
      <c r="Y507" s="618"/>
      <c r="Z507" s="618"/>
      <c r="AA507" s="618"/>
      <c r="AB507" s="618"/>
      <c r="AC507" s="618"/>
      <c r="AD507" s="618"/>
      <c r="AE507" s="618"/>
      <c r="AF507" s="618"/>
      <c r="AG507" s="618"/>
      <c r="AH507" s="618"/>
      <c r="AI507" s="618"/>
      <c r="AJ507" s="618"/>
    </row>
    <row r="508" spans="1:36" ht="24.75" customHeight="1">
      <c r="A508" s="638">
        <v>8432</v>
      </c>
      <c r="B508" s="618">
        <f>SUM(Table8[[#This Row],[الرواتب المسيرات]:[اطراف ذات علاقة]])</f>
        <v>500</v>
      </c>
      <c r="C508" s="620"/>
      <c r="D508" s="618"/>
      <c r="E508" s="618"/>
      <c r="F508" s="618"/>
      <c r="G508" s="618"/>
      <c r="H508" s="618"/>
      <c r="I508" s="628">
        <f>Table8[[#This Row],[الرواتب المسيرات]]/$C$514*98737</f>
        <v>0</v>
      </c>
      <c r="J508" s="618"/>
      <c r="K508" s="663"/>
      <c r="L508" s="618">
        <v>500</v>
      </c>
      <c r="M508" s="618">
        <f>Table8[[#This Row],[الرواتب المسيرات]]/$C$514*43384.1</f>
        <v>0</v>
      </c>
      <c r="N508" s="618"/>
      <c r="O508" s="618"/>
      <c r="P508" s="618"/>
      <c r="Q508" s="618"/>
      <c r="R508" s="618"/>
      <c r="S508" s="618"/>
      <c r="T508" s="618"/>
      <c r="U508" s="618">
        <f>Table8[[#This Row],[الرواتب المسيرات]]/$C$514*5200</f>
        <v>0</v>
      </c>
      <c r="V508" s="618"/>
      <c r="W508" s="618"/>
      <c r="X508" s="618"/>
      <c r="Y508" s="618"/>
      <c r="Z508" s="618"/>
      <c r="AA508" s="618"/>
      <c r="AB508" s="618"/>
      <c r="AC508" s="618"/>
      <c r="AD508" s="618"/>
      <c r="AE508" s="618"/>
      <c r="AF508" s="618"/>
      <c r="AG508" s="618"/>
      <c r="AH508" s="618"/>
      <c r="AI508" s="618"/>
      <c r="AJ508" s="618"/>
    </row>
    <row r="509" spans="1:36" ht="24.75" customHeight="1">
      <c r="A509" s="638">
        <v>8467</v>
      </c>
      <c r="B509" s="618">
        <f>SUM(Table8[[#This Row],[الرواتب المسيرات]:[اطراف ذات علاقة]])</f>
        <v>300</v>
      </c>
      <c r="C509" s="620"/>
      <c r="D509" s="618"/>
      <c r="E509" s="618"/>
      <c r="F509" s="618"/>
      <c r="G509" s="618"/>
      <c r="H509" s="618"/>
      <c r="I509" s="628">
        <f>Table8[[#This Row],[الرواتب المسيرات]]/$C$514*98737</f>
        <v>0</v>
      </c>
      <c r="J509" s="618"/>
      <c r="K509" s="663"/>
      <c r="L509" s="618">
        <v>300</v>
      </c>
      <c r="M509" s="618">
        <f>Table8[[#This Row],[الرواتب المسيرات]]/$C$514*43384.1</f>
        <v>0</v>
      </c>
      <c r="N509" s="618"/>
      <c r="O509" s="618"/>
      <c r="P509" s="618"/>
      <c r="Q509" s="618"/>
      <c r="R509" s="618"/>
      <c r="S509" s="618"/>
      <c r="T509" s="618"/>
      <c r="U509" s="618">
        <f>Table8[[#This Row],[الرواتب المسيرات]]/$C$514*5200</f>
        <v>0</v>
      </c>
      <c r="V509" s="618"/>
      <c r="W509" s="618"/>
      <c r="X509" s="618"/>
      <c r="Y509" s="618"/>
      <c r="Z509" s="618"/>
      <c r="AA509" s="618"/>
      <c r="AB509" s="618"/>
      <c r="AC509" s="618"/>
      <c r="AD509" s="618"/>
      <c r="AE509" s="618"/>
      <c r="AF509" s="618"/>
      <c r="AG509" s="618"/>
      <c r="AH509" s="618"/>
      <c r="AI509" s="618"/>
      <c r="AJ509" s="618"/>
    </row>
    <row r="510" spans="1:36" ht="24.75" customHeight="1">
      <c r="A510" s="638">
        <v>8468</v>
      </c>
      <c r="B510" s="618">
        <f>SUM(Table8[[#This Row],[الرواتب المسيرات]:[اطراف ذات علاقة]])</f>
        <v>100</v>
      </c>
      <c r="C510" s="620"/>
      <c r="D510" s="618"/>
      <c r="E510" s="618"/>
      <c r="F510" s="618"/>
      <c r="G510" s="618"/>
      <c r="H510" s="618"/>
      <c r="I510" s="628">
        <f>Table8[[#This Row],[الرواتب المسيرات]]/$C$514*98737</f>
        <v>0</v>
      </c>
      <c r="J510" s="618"/>
      <c r="K510" s="663"/>
      <c r="L510" s="618">
        <v>100</v>
      </c>
      <c r="M510" s="618">
        <f>Table8[[#This Row],[الرواتب المسيرات]]/$C$514*43384.1</f>
        <v>0</v>
      </c>
      <c r="N510" s="618"/>
      <c r="O510" s="618"/>
      <c r="P510" s="618"/>
      <c r="Q510" s="618"/>
      <c r="R510" s="618"/>
      <c r="S510" s="618"/>
      <c r="T510" s="618"/>
      <c r="U510" s="618">
        <f>Table8[[#This Row],[الرواتب المسيرات]]/$C$514*5200</f>
        <v>0</v>
      </c>
      <c r="V510" s="618"/>
      <c r="W510" s="618"/>
      <c r="X510" s="618"/>
      <c r="Y510" s="618"/>
      <c r="Z510" s="618"/>
      <c r="AA510" s="618"/>
      <c r="AB510" s="618"/>
      <c r="AC510" s="618"/>
      <c r="AD510" s="618"/>
      <c r="AE510" s="618"/>
      <c r="AF510" s="618"/>
      <c r="AG510" s="618"/>
      <c r="AH510" s="618"/>
      <c r="AI510" s="618"/>
      <c r="AJ510" s="618"/>
    </row>
    <row r="511" spans="1:36" ht="24.75" customHeight="1">
      <c r="A511" s="617" t="s">
        <v>1651</v>
      </c>
      <c r="B511" s="618">
        <f>SUM(Table8[[#This Row],[الرواتب المسيرات]:[اطراف ذات علاقة]])</f>
        <v>0</v>
      </c>
      <c r="C511" s="620">
        <v>0</v>
      </c>
      <c r="D511" s="618"/>
      <c r="E511" s="621">
        <f>Table8[[#This Row],[الرواتب المسيرات]]/$C$514*15250</f>
        <v>0</v>
      </c>
      <c r="F511" s="618"/>
      <c r="G511" s="618"/>
      <c r="H511" s="621">
        <f>Table8[[#This Row],[الرواتب المسيرات]]/$C$514*166341.36</f>
        <v>0</v>
      </c>
      <c r="I511" s="628">
        <f>Table8[[#This Row],[الرواتب المسيرات]]/$C$514*98737</f>
        <v>0</v>
      </c>
      <c r="J511" s="618">
        <f>Table8[[#This Row],[الرواتب المسيرات]]/$C$514*392778</f>
        <v>0</v>
      </c>
      <c r="K511" s="663"/>
      <c r="L511" s="618"/>
      <c r="M511" s="618">
        <f>Table8[[#This Row],[الرواتب المسيرات]]/$C$514*43384.1</f>
        <v>0</v>
      </c>
      <c r="N511" s="618"/>
      <c r="O511" s="618"/>
      <c r="P511" s="618"/>
      <c r="Q511" s="618"/>
      <c r="R511" s="618"/>
      <c r="S511" s="618"/>
      <c r="T511" s="618"/>
      <c r="U511" s="618">
        <f>Table8[[#This Row],[الرواتب المسيرات]]/$C$514*5200</f>
        <v>0</v>
      </c>
      <c r="V511" s="618"/>
      <c r="W511" s="618"/>
      <c r="X511" s="618"/>
      <c r="Y511" s="618"/>
      <c r="Z511" s="618"/>
      <c r="AA511" s="618"/>
      <c r="AB511" s="618"/>
      <c r="AC511" s="618"/>
      <c r="AD511" s="618"/>
      <c r="AE511" s="618"/>
      <c r="AF511" s="618"/>
      <c r="AG511" s="618"/>
      <c r="AH511" s="618"/>
      <c r="AI511" s="618"/>
      <c r="AJ511" s="618"/>
    </row>
    <row r="512" spans="1:36" ht="24.75" customHeight="1">
      <c r="A512" s="617" t="s">
        <v>1652</v>
      </c>
      <c r="B512" s="618">
        <f>SUM(Table8[[#This Row],[الرواتب المسيرات]:[اطراف ذات علاقة]])</f>
        <v>140337.09506741623</v>
      </c>
      <c r="C512" s="620">
        <v>73609.570000000007</v>
      </c>
      <c r="D512" s="618"/>
      <c r="E512" s="621"/>
      <c r="F512" s="618"/>
      <c r="G512" s="618"/>
      <c r="H512" s="621">
        <f>Table8[[#This Row],[الرواتب المسيرات]]/$C$514*166341.36</f>
        <v>6806.2408743279066</v>
      </c>
      <c r="I512" s="628">
        <f>Table8[[#This Row],[الرواتب المسيرات]]/$C$514*98737</f>
        <v>4040.052367063216</v>
      </c>
      <c r="J512" s="618">
        <f>Table8[[#This Row],[الرواتب المسيرات]]/$C$514*392778</f>
        <v>16071.418907100235</v>
      </c>
      <c r="K512" s="663"/>
      <c r="L512" s="618"/>
      <c r="M512" s="618">
        <f>Table8[[#This Row],[الرواتب المسيرات]]/$C$514*43384.1</f>
        <v>1775.1606378349279</v>
      </c>
      <c r="N512" s="618">
        <f>(60364/907199)*561204</f>
        <v>37341.88227279792</v>
      </c>
      <c r="O512" s="618"/>
      <c r="P512" s="618"/>
      <c r="Q512" s="618"/>
      <c r="R512" s="618"/>
      <c r="S512" s="618"/>
      <c r="T512" s="618"/>
      <c r="U512" s="618">
        <f>Table8[[#This Row],[الرواتب المسيرات]]/$C$514*5200</f>
        <v>212.7700082920154</v>
      </c>
      <c r="V512" s="618"/>
      <c r="W512" s="618"/>
      <c r="X512" s="618">
        <v>480</v>
      </c>
      <c r="Y512" s="618"/>
      <c r="Z512" s="618"/>
      <c r="AA512" s="618"/>
      <c r="AB512" s="618"/>
      <c r="AC512" s="618"/>
      <c r="AD512" s="618"/>
      <c r="AE512" s="618"/>
      <c r="AF512" s="618"/>
      <c r="AG512" s="618"/>
      <c r="AH512" s="618"/>
      <c r="AI512" s="618"/>
      <c r="AJ512" s="618"/>
    </row>
    <row r="513" spans="1:36" ht="24.75" customHeight="1">
      <c r="A513" s="617" t="s">
        <v>1413</v>
      </c>
      <c r="B513" s="618">
        <f>SUM(Table8[[#This Row],[الرواتب المسيرات]:[اطراف ذات علاقة]])</f>
        <v>312015</v>
      </c>
      <c r="C513" s="620"/>
      <c r="D513" s="618"/>
      <c r="E513" s="618"/>
      <c r="F513" s="618"/>
      <c r="G513" s="618"/>
      <c r="H513" s="618"/>
      <c r="I513" s="627"/>
      <c r="J513" s="618"/>
      <c r="K513" s="663"/>
      <c r="L513" s="618"/>
      <c r="M513" s="618">
        <f>Table8[[#This Row],[الرواتب المسيرات]]/$C$514*43384.1</f>
        <v>0</v>
      </c>
      <c r="N513" s="618">
        <f>Table8[[#This Row],[الرواتب المسيرات]]/$C$514*43384.1</f>
        <v>0</v>
      </c>
      <c r="O513" s="618"/>
      <c r="P513" s="618"/>
      <c r="Q513" s="618"/>
      <c r="R513" s="618"/>
      <c r="S513" s="618"/>
      <c r="T513" s="618"/>
      <c r="U513" s="618"/>
      <c r="V513" s="618"/>
      <c r="W513" s="618"/>
      <c r="X513" s="618"/>
      <c r="Y513" s="618"/>
      <c r="Z513" s="618"/>
      <c r="AA513" s="618"/>
      <c r="AB513" s="618"/>
      <c r="AC513" s="618"/>
      <c r="AD513" s="618"/>
      <c r="AE513" s="618"/>
      <c r="AF513" s="618"/>
      <c r="AG513" s="618"/>
      <c r="AH513" s="618"/>
      <c r="AI513" s="618"/>
      <c r="AJ513" s="620">
        <v>312015</v>
      </c>
    </row>
    <row r="514" spans="1:36" ht="24.75" customHeight="1">
      <c r="A514" s="654" t="s">
        <v>954</v>
      </c>
      <c r="B514" s="620">
        <f>SUM(Table8[[#This Row],[الرواتب المسيرات]:[اطراف ذات علاقة]])</f>
        <v>16019868.668611793</v>
      </c>
      <c r="C514" s="620">
        <f>SUM(C496:C513)</f>
        <v>1798983.6400000001</v>
      </c>
      <c r="D514" s="620">
        <f t="shared" ref="D514:AJ514" si="0">SUM(D496:D513)</f>
        <v>750000</v>
      </c>
      <c r="E514" s="620">
        <f t="shared" si="0"/>
        <v>38318</v>
      </c>
      <c r="F514" s="620">
        <f t="shared" si="0"/>
        <v>4886</v>
      </c>
      <c r="G514" s="620">
        <f t="shared" si="0"/>
        <v>52365.920000000006</v>
      </c>
      <c r="H514" s="620">
        <f t="shared" si="0"/>
        <v>166341.35999999996</v>
      </c>
      <c r="I514" s="620">
        <f t="shared" si="0"/>
        <v>98736.999999999985</v>
      </c>
      <c r="J514" s="620">
        <f t="shared" si="0"/>
        <v>392778</v>
      </c>
      <c r="K514" s="620">
        <f t="shared" si="0"/>
        <v>11460000</v>
      </c>
      <c r="L514" s="620">
        <f t="shared" si="0"/>
        <v>-57700</v>
      </c>
      <c r="M514" s="620">
        <f t="shared" si="0"/>
        <v>44227.099999999991</v>
      </c>
      <c r="N514" s="620">
        <f t="shared" si="0"/>
        <v>561203.99861179304</v>
      </c>
      <c r="O514" s="620">
        <f t="shared" si="0"/>
        <v>1267</v>
      </c>
      <c r="P514" s="620">
        <f t="shared" si="0"/>
        <v>1325</v>
      </c>
      <c r="Q514" s="620">
        <f t="shared" si="0"/>
        <v>1553</v>
      </c>
      <c r="R514" s="620">
        <f t="shared" si="0"/>
        <v>10515</v>
      </c>
      <c r="S514" s="620">
        <f t="shared" si="0"/>
        <v>476</v>
      </c>
      <c r="T514" s="620">
        <f t="shared" si="0"/>
        <v>328.9</v>
      </c>
      <c r="U514" s="620">
        <f t="shared" si="0"/>
        <v>5199.9999999999991</v>
      </c>
      <c r="V514" s="620">
        <f t="shared" si="0"/>
        <v>51463</v>
      </c>
      <c r="W514" s="620">
        <f t="shared" si="0"/>
        <v>35714</v>
      </c>
      <c r="X514" s="620">
        <f t="shared" si="0"/>
        <v>47305.74</v>
      </c>
      <c r="Y514" s="620">
        <f t="shared" si="0"/>
        <v>23179.759999999998</v>
      </c>
      <c r="Z514" s="620">
        <f t="shared" si="0"/>
        <v>3000</v>
      </c>
      <c r="AA514" s="620">
        <f t="shared" si="0"/>
        <v>13017.74</v>
      </c>
      <c r="AB514" s="620">
        <f t="shared" si="0"/>
        <v>69726.23</v>
      </c>
      <c r="AC514" s="620">
        <f t="shared" si="0"/>
        <v>35101</v>
      </c>
      <c r="AD514" s="620">
        <f t="shared" si="0"/>
        <v>10370.280000000001</v>
      </c>
      <c r="AE514" s="620">
        <f t="shared" si="0"/>
        <v>100</v>
      </c>
      <c r="AF514" s="620">
        <f t="shared" si="0"/>
        <v>81800</v>
      </c>
      <c r="AG514" s="620">
        <f t="shared" si="0"/>
        <v>1016</v>
      </c>
      <c r="AH514" s="620">
        <f t="shared" si="0"/>
        <v>3050</v>
      </c>
      <c r="AI514" s="620">
        <f t="shared" si="0"/>
        <v>2204</v>
      </c>
      <c r="AJ514" s="620">
        <f t="shared" si="0"/>
        <v>312015</v>
      </c>
    </row>
    <row r="516" spans="1:36">
      <c r="B516" s="666">
        <f>J488-B514</f>
        <v>-2918385.7686117906</v>
      </c>
      <c r="C516" s="619"/>
    </row>
    <row r="517" spans="1:36">
      <c r="B517" s="666">
        <f>B516-60000</f>
        <v>-2978385.7686117906</v>
      </c>
    </row>
    <row r="518" spans="1:36">
      <c r="C518" s="619"/>
    </row>
    <row r="521" spans="1:36">
      <c r="C521" s="655"/>
    </row>
  </sheetData>
  <mergeCells count="2">
    <mergeCell ref="A1:J2"/>
    <mergeCell ref="L2:M2"/>
  </mergeCells>
  <printOptions horizontalCentered="1"/>
  <pageMargins left="0.74803149606299213" right="0.74803149606299213" top="0.59055118110236227" bottom="0.98425196850393704" header="0.51181102362204722" footer="0.51181102362204722"/>
  <pageSetup paperSize="9" scale="36" orientation="landscape" r:id="rId1"/>
  <rowBreaks count="2" manualBreakCount="2">
    <brk id="432" max="10" man="1"/>
    <brk id="490" max="16383" man="1"/>
  </rowBreaks>
  <colBreaks count="1" manualBreakCount="1">
    <brk id="11" max="516" man="1"/>
  </colBreaks>
  <ignoredErrors>
    <ignoredError sqref="M498 N499:N512" calculatedColumn="1"/>
  </ignoredErrors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1007-FB5B-4E25-AA5F-B7767609BEE1}">
  <sheetPr codeName="Sheet7"/>
  <dimension ref="A9:AJ33"/>
  <sheetViews>
    <sheetView rightToLeft="1" tabSelected="1" topLeftCell="N5" zoomScaleNormal="100" workbookViewId="0">
      <selection activeCell="T32" sqref="T32"/>
    </sheetView>
  </sheetViews>
  <sheetFormatPr defaultRowHeight="15"/>
  <cols>
    <col min="1" max="1" width="14.140625" bestFit="1" customWidth="1"/>
    <col min="2" max="2" width="12.7109375" customWidth="1"/>
    <col min="3" max="3" width="16" customWidth="1"/>
    <col min="4" max="4" width="14.42578125" customWidth="1"/>
    <col min="5" max="5" width="14.7109375" customWidth="1"/>
    <col min="6" max="6" width="13.42578125" customWidth="1"/>
    <col min="7" max="7" width="10" customWidth="1"/>
    <col min="8" max="8" width="15.7109375" customWidth="1"/>
    <col min="9" max="9" width="12.7109375" customWidth="1"/>
    <col min="10" max="10" width="10.140625" customWidth="1"/>
    <col min="11" max="11" width="12.7109375" customWidth="1"/>
    <col min="12" max="12" width="9.85546875" customWidth="1"/>
    <col min="13" max="13" width="12.28515625" customWidth="1"/>
    <col min="14" max="14" width="12.5703125" customWidth="1"/>
    <col min="15" max="15" width="10.140625" customWidth="1"/>
    <col min="16" max="16" width="10.28515625" customWidth="1"/>
    <col min="17" max="18" width="9.42578125" customWidth="1"/>
    <col min="19" max="19" width="11.28515625" customWidth="1"/>
    <col min="20" max="20" width="9.42578125" customWidth="1"/>
    <col min="21" max="21" width="13.140625" customWidth="1"/>
    <col min="22" max="22" width="13.7109375" customWidth="1"/>
    <col min="23" max="23" width="14" customWidth="1"/>
    <col min="24" max="27" width="9.42578125" bestFit="1" customWidth="1"/>
    <col min="28" max="28" width="13.28515625" customWidth="1"/>
    <col min="29" max="29" width="13.5703125" customWidth="1"/>
    <col min="30" max="31" width="9.42578125" bestFit="1" customWidth="1"/>
    <col min="32" max="32" width="21.140625" bestFit="1" customWidth="1"/>
    <col min="33" max="33" width="9.42578125" bestFit="1" customWidth="1"/>
    <col min="34" max="34" width="11.42578125" customWidth="1"/>
    <col min="35" max="35" width="9.42578125" bestFit="1" customWidth="1"/>
    <col min="36" max="36" width="16" customWidth="1"/>
  </cols>
  <sheetData>
    <row r="9" spans="1:36" s="655" customFormat="1">
      <c r="A9" s="655" t="s">
        <v>86</v>
      </c>
      <c r="B9" s="655" t="s">
        <v>954</v>
      </c>
      <c r="C9" s="655" t="s">
        <v>1914</v>
      </c>
      <c r="D9" s="655" t="s">
        <v>1653</v>
      </c>
      <c r="E9" s="655" t="s">
        <v>170</v>
      </c>
      <c r="F9" s="655" t="s">
        <v>205</v>
      </c>
      <c r="G9" s="655" t="s">
        <v>69</v>
      </c>
      <c r="H9" s="655" t="s">
        <v>1657</v>
      </c>
      <c r="I9" s="655" t="s">
        <v>1659</v>
      </c>
      <c r="J9" s="655" t="s">
        <v>1676</v>
      </c>
      <c r="K9" s="655" t="s">
        <v>67</v>
      </c>
      <c r="L9" s="655" t="s">
        <v>1916</v>
      </c>
      <c r="M9" s="655" t="s">
        <v>1918</v>
      </c>
      <c r="N9" s="655" t="s">
        <v>1919</v>
      </c>
      <c r="O9" s="655" t="s">
        <v>1692</v>
      </c>
      <c r="P9" s="655" t="s">
        <v>186</v>
      </c>
      <c r="Q9" s="655" t="s">
        <v>1921</v>
      </c>
      <c r="R9" s="655" t="s">
        <v>1922</v>
      </c>
      <c r="S9" s="655" t="s">
        <v>1923</v>
      </c>
      <c r="T9" s="655" t="s">
        <v>1924</v>
      </c>
      <c r="U9" s="655" t="s">
        <v>1701</v>
      </c>
      <c r="V9" s="655" t="s">
        <v>1925</v>
      </c>
      <c r="W9" s="655" t="s">
        <v>1926</v>
      </c>
      <c r="X9" s="655" t="s">
        <v>196</v>
      </c>
      <c r="Y9" s="655" t="s">
        <v>1675</v>
      </c>
      <c r="Z9" s="655" t="s">
        <v>1680</v>
      </c>
      <c r="AA9" s="655" t="s">
        <v>2072</v>
      </c>
      <c r="AB9" s="655" t="s">
        <v>2074</v>
      </c>
      <c r="AC9" s="655" t="s">
        <v>2075</v>
      </c>
      <c r="AD9" s="655" t="s">
        <v>2076</v>
      </c>
      <c r="AE9" s="655" t="s">
        <v>2077</v>
      </c>
      <c r="AF9" s="655" t="s">
        <v>2079</v>
      </c>
      <c r="AG9" s="655" t="s">
        <v>2080</v>
      </c>
      <c r="AH9" s="655" t="s">
        <v>2081</v>
      </c>
      <c r="AI9" s="655" t="s">
        <v>2078</v>
      </c>
      <c r="AJ9" s="655" t="s">
        <v>2083</v>
      </c>
    </row>
    <row r="10" spans="1:36" s="655" customFormat="1">
      <c r="A10" s="655" t="s">
        <v>67</v>
      </c>
      <c r="B10" s="655">
        <f>SUM(C10:AJ10)</f>
        <v>11460000</v>
      </c>
      <c r="K10" s="655">
        <v>11460000</v>
      </c>
      <c r="M10" s="655">
        <v>0</v>
      </c>
      <c r="U10" s="655">
        <v>0</v>
      </c>
    </row>
    <row r="11" spans="1:36" s="655" customFormat="1">
      <c r="A11" s="655" t="s">
        <v>1654</v>
      </c>
      <c r="B11" s="655">
        <f t="shared" ref="B11:B27" si="0">SUM(C11:AJ11)</f>
        <v>750000</v>
      </c>
      <c r="C11" s="655">
        <v>0</v>
      </c>
      <c r="D11" s="655">
        <v>750000</v>
      </c>
      <c r="M11" s="655">
        <v>0</v>
      </c>
      <c r="U11" s="655">
        <v>0</v>
      </c>
    </row>
    <row r="12" spans="1:36" s="655" customFormat="1">
      <c r="A12" s="655" t="s">
        <v>1656</v>
      </c>
      <c r="B12" s="655">
        <f t="shared" si="0"/>
        <v>570892.73213003762</v>
      </c>
      <c r="C12" s="655">
        <v>209413.34</v>
      </c>
      <c r="F12" s="655">
        <v>4886</v>
      </c>
      <c r="H12" s="655">
        <v>19363.210983809942</v>
      </c>
      <c r="I12" s="655">
        <v>11493.625896219934</v>
      </c>
      <c r="J12" s="655">
        <v>45721.90153909348</v>
      </c>
      <c r="M12" s="655">
        <v>5893.1900528089291</v>
      </c>
      <c r="P12" s="655">
        <v>1325</v>
      </c>
      <c r="T12" s="655">
        <v>328.9</v>
      </c>
      <c r="U12" s="655">
        <v>605.31365810530656</v>
      </c>
      <c r="V12" s="655">
        <v>51463</v>
      </c>
      <c r="W12" s="655">
        <v>35714</v>
      </c>
      <c r="Y12" s="655">
        <v>300</v>
      </c>
      <c r="Z12" s="655">
        <v>3000</v>
      </c>
      <c r="AA12" s="655">
        <v>13017.74</v>
      </c>
      <c r="AB12" s="655">
        <v>69726.23</v>
      </c>
      <c r="AC12" s="655">
        <v>101</v>
      </c>
      <c r="AD12" s="655">
        <v>10370.280000000001</v>
      </c>
      <c r="AE12" s="655">
        <v>100</v>
      </c>
      <c r="AF12" s="655">
        <v>81800</v>
      </c>
      <c r="AG12" s="655">
        <v>1016</v>
      </c>
      <c r="AH12" s="655">
        <v>3050</v>
      </c>
      <c r="AI12" s="655">
        <v>2204</v>
      </c>
    </row>
    <row r="13" spans="1:36" s="655" customFormat="1">
      <c r="A13" s="655" t="s">
        <v>64</v>
      </c>
      <c r="B13" s="655">
        <f t="shared" si="0"/>
        <v>1877717.9737602537</v>
      </c>
      <c r="C13" s="655">
        <v>1018440.85</v>
      </c>
      <c r="E13" s="655">
        <v>27720.923774315146</v>
      </c>
      <c r="G13" s="655">
        <v>36807.01</v>
      </c>
      <c r="H13" s="655">
        <v>94169.192149271563</v>
      </c>
      <c r="I13" s="655">
        <v>55897.003158099862</v>
      </c>
      <c r="J13" s="655">
        <v>222359.53195288643</v>
      </c>
      <c r="M13" s="655">
        <v>24560.612280212285</v>
      </c>
      <c r="N13" s="655">
        <v>347455.68577566772</v>
      </c>
      <c r="O13" s="655">
        <v>1267</v>
      </c>
      <c r="R13" s="655">
        <v>10515</v>
      </c>
      <c r="S13" s="655">
        <v>476</v>
      </c>
      <c r="U13" s="655">
        <v>2943.824669800777</v>
      </c>
      <c r="X13" s="655">
        <v>33263.339999999997</v>
      </c>
      <c r="Y13" s="655">
        <v>1842</v>
      </c>
    </row>
    <row r="14" spans="1:36" s="655" customFormat="1">
      <c r="A14" s="655" t="s">
        <v>996</v>
      </c>
      <c r="B14" s="655">
        <f t="shared" si="0"/>
        <v>149252.92633982995</v>
      </c>
      <c r="C14" s="655">
        <v>98063.74</v>
      </c>
      <c r="E14" s="655">
        <v>2088.7384997675686</v>
      </c>
      <c r="G14" s="655">
        <v>950</v>
      </c>
      <c r="H14" s="655">
        <v>9067.3731075655578</v>
      </c>
      <c r="I14" s="655">
        <v>5382.216536655108</v>
      </c>
      <c r="J14" s="655">
        <v>21410.578069359206</v>
      </c>
      <c r="M14" s="655">
        <v>2364.8948261330493</v>
      </c>
      <c r="N14" s="655">
        <v>0</v>
      </c>
      <c r="Q14" s="655">
        <v>1553</v>
      </c>
      <c r="U14" s="655">
        <v>283.45530034947956</v>
      </c>
      <c r="X14" s="655">
        <v>758</v>
      </c>
      <c r="Y14" s="655">
        <v>7330.93</v>
      </c>
    </row>
    <row r="15" spans="1:36" s="655" customFormat="1">
      <c r="A15" s="655" t="s">
        <v>1134</v>
      </c>
      <c r="B15" s="655">
        <f t="shared" si="0"/>
        <v>145257.68447098476</v>
      </c>
      <c r="C15" s="655">
        <v>62140.86</v>
      </c>
      <c r="E15" s="655">
        <v>1323.5881753099211</v>
      </c>
      <c r="G15" s="655">
        <v>12339.34</v>
      </c>
      <c r="H15" s="655">
        <v>5745.7972013406406</v>
      </c>
      <c r="I15" s="655">
        <v>3410.5936026299828</v>
      </c>
      <c r="J15" s="655">
        <v>13567.417827701869</v>
      </c>
      <c r="M15" s="655">
        <v>1498.5824353166436</v>
      </c>
      <c r="N15" s="655">
        <v>31440.325767554856</v>
      </c>
      <c r="U15" s="655">
        <v>179.61946113084164</v>
      </c>
      <c r="X15" s="655">
        <v>787.5</v>
      </c>
      <c r="Y15" s="655">
        <v>12824.06</v>
      </c>
    </row>
    <row r="16" spans="1:36" s="655" customFormat="1">
      <c r="A16" s="655" t="s">
        <v>1014</v>
      </c>
      <c r="B16" s="655">
        <f t="shared" si="0"/>
        <v>119143.20760436541</v>
      </c>
      <c r="C16" s="655">
        <v>83818.37</v>
      </c>
      <c r="E16" s="655">
        <v>1785.3149023967776</v>
      </c>
      <c r="H16" s="655">
        <v>7750.1881333302163</v>
      </c>
      <c r="I16" s="655">
        <v>4600.361123178418</v>
      </c>
      <c r="J16" s="655">
        <v>18300.339702844656</v>
      </c>
      <c r="M16" s="655">
        <v>2021.3549834822286</v>
      </c>
      <c r="N16" s="655">
        <v>0</v>
      </c>
      <c r="U16" s="655">
        <v>242.27875913312917</v>
      </c>
      <c r="X16" s="655">
        <v>625</v>
      </c>
    </row>
    <row r="17" spans="1:36" s="655" customFormat="1">
      <c r="A17" s="655" t="s">
        <v>1007</v>
      </c>
      <c r="B17" s="655">
        <f t="shared" si="0"/>
        <v>116792.9972590071</v>
      </c>
      <c r="C17" s="655">
        <v>59187.91</v>
      </c>
      <c r="E17" s="655">
        <v>1260.6909173337451</v>
      </c>
      <c r="H17" s="655">
        <v>5472.755408135673</v>
      </c>
      <c r="I17" s="655">
        <v>3248.5212982092485</v>
      </c>
      <c r="J17" s="655">
        <v>12922.690566535668</v>
      </c>
      <c r="M17" s="655">
        <v>1427.3694041103117</v>
      </c>
      <c r="N17" s="655">
        <v>31440.325767554856</v>
      </c>
      <c r="U17" s="655">
        <v>171.08389712760254</v>
      </c>
      <c r="X17" s="655">
        <v>1661.65</v>
      </c>
    </row>
    <row r="18" spans="1:36" s="655" customFormat="1">
      <c r="A18" s="655" t="s">
        <v>994</v>
      </c>
      <c r="B18" s="655">
        <f t="shared" si="0"/>
        <v>194578.32281611042</v>
      </c>
      <c r="C18" s="655">
        <v>77327.3</v>
      </c>
      <c r="E18" s="655">
        <v>1647.0563797900907</v>
      </c>
      <c r="G18" s="655">
        <v>2269.5700000000002</v>
      </c>
      <c r="H18" s="655">
        <v>7149.9973435711718</v>
      </c>
      <c r="I18" s="655">
        <v>4244.0995294987779</v>
      </c>
      <c r="J18" s="655">
        <v>16883.12309466027</v>
      </c>
      <c r="M18" s="655">
        <v>1864.8170229774851</v>
      </c>
      <c r="N18" s="655">
        <v>82086.073260662772</v>
      </c>
      <c r="U18" s="655">
        <v>223.51618494985311</v>
      </c>
      <c r="Y18" s="655">
        <v>882.77</v>
      </c>
    </row>
    <row r="19" spans="1:36" s="655" customFormat="1">
      <c r="A19" s="655" t="s">
        <v>63</v>
      </c>
      <c r="B19" s="655">
        <f t="shared" si="0"/>
        <v>206580.72916378765</v>
      </c>
      <c r="C19" s="655">
        <v>116981.7</v>
      </c>
      <c r="E19" s="655">
        <v>2491.6873510867499</v>
      </c>
      <c r="H19" s="655">
        <v>10816.604798647304</v>
      </c>
      <c r="I19" s="655">
        <v>6420.5264884454409</v>
      </c>
      <c r="J19" s="655">
        <v>25540.998339818139</v>
      </c>
      <c r="M19" s="655">
        <v>2821.1183571241363</v>
      </c>
      <c r="N19" s="655">
        <v>31439.705767554857</v>
      </c>
      <c r="U19" s="655">
        <v>338.13806111099478</v>
      </c>
      <c r="X19" s="655">
        <v>9730.25</v>
      </c>
    </row>
    <row r="20" spans="1:36" s="655" customFormat="1">
      <c r="A20" s="655" t="s">
        <v>1915</v>
      </c>
      <c r="B20" s="655">
        <f t="shared" si="0"/>
        <v>-60000</v>
      </c>
      <c r="I20" s="655">
        <v>0</v>
      </c>
      <c r="L20" s="655">
        <v>-60000</v>
      </c>
      <c r="M20" s="655">
        <v>0</v>
      </c>
      <c r="U20" s="655">
        <v>0</v>
      </c>
    </row>
    <row r="21" spans="1:36" s="655" customFormat="1">
      <c r="A21" s="655">
        <v>80972</v>
      </c>
      <c r="B21" s="655">
        <f t="shared" si="0"/>
        <v>1400</v>
      </c>
      <c r="I21" s="655">
        <v>0</v>
      </c>
      <c r="L21" s="655">
        <v>1400</v>
      </c>
      <c r="M21" s="655">
        <v>0</v>
      </c>
      <c r="U21" s="655">
        <v>0</v>
      </c>
    </row>
    <row r="22" spans="1:36" s="655" customFormat="1">
      <c r="A22" s="655">
        <v>8432</v>
      </c>
      <c r="B22" s="655">
        <f t="shared" si="0"/>
        <v>500</v>
      </c>
      <c r="I22" s="655">
        <v>0</v>
      </c>
      <c r="L22" s="655">
        <v>500</v>
      </c>
      <c r="M22" s="655">
        <v>0</v>
      </c>
      <c r="U22" s="655">
        <v>0</v>
      </c>
    </row>
    <row r="23" spans="1:36" s="655" customFormat="1">
      <c r="A23" s="655">
        <v>8467</v>
      </c>
      <c r="B23" s="655">
        <f t="shared" si="0"/>
        <v>300</v>
      </c>
      <c r="I23" s="655">
        <v>0</v>
      </c>
      <c r="L23" s="655">
        <v>300</v>
      </c>
      <c r="M23" s="655">
        <v>0</v>
      </c>
      <c r="U23" s="655">
        <v>0</v>
      </c>
    </row>
    <row r="24" spans="1:36" s="655" customFormat="1">
      <c r="A24" s="655">
        <v>8468</v>
      </c>
      <c r="B24" s="655">
        <f t="shared" si="0"/>
        <v>100</v>
      </c>
      <c r="I24" s="655">
        <v>0</v>
      </c>
      <c r="L24" s="655">
        <v>100</v>
      </c>
      <c r="M24" s="655">
        <v>0</v>
      </c>
      <c r="U24" s="655">
        <v>0</v>
      </c>
    </row>
    <row r="25" spans="1:36" s="655" customFormat="1">
      <c r="A25" s="655" t="s">
        <v>1651</v>
      </c>
      <c r="B25" s="655">
        <f t="shared" si="0"/>
        <v>0</v>
      </c>
      <c r="C25" s="655">
        <v>0</v>
      </c>
      <c r="E25" s="655">
        <v>0</v>
      </c>
      <c r="H25" s="655">
        <v>0</v>
      </c>
      <c r="I25" s="655">
        <v>0</v>
      </c>
      <c r="J25" s="655">
        <v>0</v>
      </c>
      <c r="M25" s="655">
        <v>0</v>
      </c>
      <c r="U25" s="655">
        <v>0</v>
      </c>
    </row>
    <row r="26" spans="1:36" s="655" customFormat="1">
      <c r="A26" s="655" t="s">
        <v>1652</v>
      </c>
      <c r="B26" s="655">
        <f t="shared" si="0"/>
        <v>140337.09506741623</v>
      </c>
      <c r="C26" s="655">
        <v>73609.570000000007</v>
      </c>
      <c r="H26" s="655">
        <v>6806.2408743279066</v>
      </c>
      <c r="I26" s="655">
        <v>4040.052367063216</v>
      </c>
      <c r="J26" s="655">
        <v>16071.418907100235</v>
      </c>
      <c r="M26" s="655">
        <v>1775.1606378349279</v>
      </c>
      <c r="N26" s="655">
        <v>37341.88227279792</v>
      </c>
      <c r="U26" s="655">
        <v>212.7700082920154</v>
      </c>
      <c r="X26" s="655">
        <v>480</v>
      </c>
    </row>
    <row r="27" spans="1:36" s="655" customFormat="1">
      <c r="A27" s="655" t="s">
        <v>1413</v>
      </c>
      <c r="B27" s="655">
        <f t="shared" si="0"/>
        <v>312015</v>
      </c>
      <c r="M27" s="655">
        <v>0</v>
      </c>
      <c r="N27" s="655">
        <v>0</v>
      </c>
      <c r="AJ27" s="655">
        <v>312015</v>
      </c>
    </row>
    <row r="28" spans="1:36" s="655" customFormat="1">
      <c r="A28" s="710" t="s">
        <v>954</v>
      </c>
      <c r="B28" s="711">
        <f>SUM(B10:B27)</f>
        <v>15984868.668611793</v>
      </c>
      <c r="C28" s="711">
        <f t="shared" ref="C28:K28" si="1">SUM(C10:C27)</f>
        <v>1798983.6400000001</v>
      </c>
      <c r="D28" s="711">
        <f t="shared" si="1"/>
        <v>750000</v>
      </c>
      <c r="E28" s="711">
        <f t="shared" si="1"/>
        <v>38318</v>
      </c>
      <c r="F28" s="711">
        <f t="shared" si="1"/>
        <v>4886</v>
      </c>
      <c r="G28" s="711">
        <f t="shared" si="1"/>
        <v>52365.920000000006</v>
      </c>
      <c r="H28" s="711">
        <f t="shared" si="1"/>
        <v>166341.35999999996</v>
      </c>
      <c r="I28" s="711">
        <f t="shared" si="1"/>
        <v>98736.999999999985</v>
      </c>
      <c r="J28" s="711">
        <f t="shared" si="1"/>
        <v>392778</v>
      </c>
      <c r="K28" s="711">
        <f t="shared" si="1"/>
        <v>11460000</v>
      </c>
      <c r="L28" s="711">
        <f t="shared" ref="L28:AJ28" si="2">SUM(L10:L27)</f>
        <v>-57700</v>
      </c>
      <c r="M28" s="711">
        <f t="shared" si="2"/>
        <v>44227.099999999991</v>
      </c>
      <c r="N28" s="711">
        <f t="shared" si="2"/>
        <v>561203.99861179304</v>
      </c>
      <c r="O28" s="711">
        <f t="shared" si="2"/>
        <v>1267</v>
      </c>
      <c r="P28" s="711">
        <f t="shared" si="2"/>
        <v>1325</v>
      </c>
      <c r="Q28" s="711">
        <f t="shared" si="2"/>
        <v>1553</v>
      </c>
      <c r="R28" s="711">
        <f t="shared" si="2"/>
        <v>10515</v>
      </c>
      <c r="S28" s="711">
        <f t="shared" si="2"/>
        <v>476</v>
      </c>
      <c r="T28" s="711">
        <f t="shared" si="2"/>
        <v>328.9</v>
      </c>
      <c r="U28" s="711">
        <f t="shared" si="2"/>
        <v>5199.9999999999991</v>
      </c>
      <c r="V28" s="711">
        <f t="shared" si="2"/>
        <v>51463</v>
      </c>
      <c r="W28" s="711">
        <f t="shared" si="2"/>
        <v>35714</v>
      </c>
      <c r="X28" s="711">
        <f t="shared" si="2"/>
        <v>47305.74</v>
      </c>
      <c r="Y28" s="711">
        <f t="shared" si="2"/>
        <v>23179.759999999998</v>
      </c>
      <c r="Z28" s="711">
        <f t="shared" si="2"/>
        <v>3000</v>
      </c>
      <c r="AA28" s="711">
        <f t="shared" si="2"/>
        <v>13017.74</v>
      </c>
      <c r="AB28" s="711">
        <f t="shared" si="2"/>
        <v>69726.23</v>
      </c>
      <c r="AC28" s="711">
        <f t="shared" si="2"/>
        <v>101</v>
      </c>
      <c r="AD28" s="711">
        <f t="shared" si="2"/>
        <v>10370.280000000001</v>
      </c>
      <c r="AE28" s="711">
        <f t="shared" si="2"/>
        <v>100</v>
      </c>
      <c r="AF28" s="711">
        <f t="shared" si="2"/>
        <v>81800</v>
      </c>
      <c r="AG28" s="711">
        <f t="shared" si="2"/>
        <v>1016</v>
      </c>
      <c r="AH28" s="711">
        <f t="shared" si="2"/>
        <v>3050</v>
      </c>
      <c r="AI28" s="711">
        <f t="shared" si="2"/>
        <v>2204</v>
      </c>
      <c r="AJ28" s="711">
        <f t="shared" si="2"/>
        <v>312015</v>
      </c>
    </row>
    <row r="30" spans="1:36">
      <c r="B30" s="655">
        <f>SUM(C28:AJ28)</f>
        <v>15984868.668611793</v>
      </c>
    </row>
    <row r="33" spans="2:2">
      <c r="B33" s="655">
        <f>B28-B30</f>
        <v>0</v>
      </c>
    </row>
  </sheetData>
  <printOptions horizontalCentered="1"/>
  <pageMargins left="0" right="0" top="0.74803149606299213" bottom="0.74803149606299213" header="0.31496062992125984" footer="0.31496062992125984"/>
  <pageSetup paperSize="9" scale="75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4:N32"/>
  <sheetViews>
    <sheetView rightToLeft="1" workbookViewId="0">
      <selection activeCell="H35" sqref="H35"/>
    </sheetView>
  </sheetViews>
  <sheetFormatPr defaultRowHeight="15"/>
  <cols>
    <col min="1" max="1" width="6.85546875" style="713" customWidth="1"/>
    <col min="2" max="2" width="15.5703125" style="713" customWidth="1"/>
    <col min="3" max="3" width="15.140625" style="713" bestFit="1" customWidth="1"/>
    <col min="4" max="4" width="13.140625" style="712" customWidth="1"/>
    <col min="5" max="5" width="13.140625" style="713" customWidth="1"/>
    <col min="6" max="6" width="11.140625" style="712" customWidth="1"/>
    <col min="7" max="7" width="11.140625" style="713" customWidth="1"/>
    <col min="8" max="8" width="20.28515625" style="712" bestFit="1" customWidth="1"/>
    <col min="9" max="9" width="13.7109375" style="712" bestFit="1" customWidth="1"/>
    <col min="10" max="10" width="6.85546875" style="713" bestFit="1" customWidth="1"/>
    <col min="11" max="11" width="24.7109375" style="713" bestFit="1" customWidth="1"/>
    <col min="12" max="12" width="9.42578125" style="713" bestFit="1" customWidth="1"/>
    <col min="13" max="13" width="12.140625" style="713" bestFit="1" customWidth="1"/>
    <col min="14" max="14" width="24.5703125" style="713" bestFit="1" customWidth="1"/>
  </cols>
  <sheetData>
    <row r="4" spans="1:14">
      <c r="A4" s="714" t="s">
        <v>72</v>
      </c>
      <c r="B4" s="714" t="s">
        <v>86</v>
      </c>
      <c r="C4" s="714" t="s">
        <v>73</v>
      </c>
      <c r="D4" s="715" t="s">
        <v>96</v>
      </c>
      <c r="E4" s="714" t="s">
        <v>81</v>
      </c>
      <c r="F4" s="715" t="s">
        <v>74</v>
      </c>
      <c r="G4" s="714" t="s">
        <v>83</v>
      </c>
      <c r="H4" s="715" t="s">
        <v>100</v>
      </c>
      <c r="I4" s="715" t="s">
        <v>75</v>
      </c>
      <c r="J4" s="714" t="s">
        <v>76</v>
      </c>
      <c r="K4" s="714" t="s">
        <v>77</v>
      </c>
      <c r="L4" s="714" t="s">
        <v>78</v>
      </c>
      <c r="M4" s="714" t="s">
        <v>79</v>
      </c>
      <c r="N4" s="714" t="s">
        <v>80</v>
      </c>
    </row>
    <row r="5" spans="1:14">
      <c r="B5" s="713" t="s">
        <v>87</v>
      </c>
      <c r="C5" s="713" t="s">
        <v>82</v>
      </c>
      <c r="D5" s="712">
        <v>22</v>
      </c>
      <c r="E5" s="713" t="s">
        <v>84</v>
      </c>
      <c r="F5" s="712">
        <v>2012</v>
      </c>
      <c r="I5" s="712">
        <v>9305</v>
      </c>
      <c r="J5" s="713" t="s">
        <v>85</v>
      </c>
    </row>
    <row r="6" spans="1:14">
      <c r="B6" s="713" t="s">
        <v>87</v>
      </c>
      <c r="C6" s="713" t="s">
        <v>82</v>
      </c>
      <c r="D6" s="712">
        <v>22</v>
      </c>
      <c r="E6" s="713" t="s">
        <v>84</v>
      </c>
      <c r="F6" s="712">
        <v>2009</v>
      </c>
      <c r="I6" s="712">
        <v>1307</v>
      </c>
      <c r="J6" s="713" t="s">
        <v>88</v>
      </c>
    </row>
    <row r="7" spans="1:14">
      <c r="B7" s="713" t="s">
        <v>87</v>
      </c>
      <c r="C7" s="713" t="s">
        <v>82</v>
      </c>
      <c r="D7" s="712">
        <v>22</v>
      </c>
      <c r="E7" s="713" t="s">
        <v>84</v>
      </c>
      <c r="F7" s="712">
        <v>2010</v>
      </c>
      <c r="I7" s="712">
        <v>4106</v>
      </c>
      <c r="J7" s="713" t="s">
        <v>92</v>
      </c>
    </row>
    <row r="8" spans="1:14">
      <c r="B8" s="713" t="s">
        <v>87</v>
      </c>
      <c r="C8" s="713" t="s">
        <v>90</v>
      </c>
      <c r="E8" s="713" t="s">
        <v>91</v>
      </c>
      <c r="F8" s="712">
        <v>2014</v>
      </c>
      <c r="I8" s="712">
        <v>3495</v>
      </c>
      <c r="J8" s="713" t="s">
        <v>89</v>
      </c>
    </row>
    <row r="9" spans="1:14">
      <c r="B9" s="713" t="s">
        <v>87</v>
      </c>
      <c r="C9" s="713" t="s">
        <v>93</v>
      </c>
      <c r="E9" s="713" t="s">
        <v>94</v>
      </c>
      <c r="F9" s="712">
        <v>2003</v>
      </c>
      <c r="I9" s="712">
        <v>7132</v>
      </c>
      <c r="J9" s="713" t="s">
        <v>95</v>
      </c>
    </row>
    <row r="10" spans="1:14">
      <c r="B10" s="713" t="s">
        <v>98</v>
      </c>
      <c r="C10" s="713" t="s">
        <v>82</v>
      </c>
      <c r="D10" s="712">
        <v>32</v>
      </c>
      <c r="E10" s="713" t="s">
        <v>91</v>
      </c>
      <c r="F10" s="712">
        <v>2016</v>
      </c>
      <c r="I10" s="712">
        <v>8876</v>
      </c>
      <c r="J10" s="713" t="s">
        <v>97</v>
      </c>
    </row>
    <row r="11" spans="1:14">
      <c r="B11" s="713" t="s">
        <v>99</v>
      </c>
      <c r="C11" s="713" t="s">
        <v>82</v>
      </c>
      <c r="D11" s="712">
        <v>22</v>
      </c>
      <c r="E11" s="713" t="s">
        <v>84</v>
      </c>
      <c r="F11" s="712">
        <v>2016</v>
      </c>
      <c r="G11" s="713" t="s">
        <v>104</v>
      </c>
      <c r="H11" s="712">
        <v>10337</v>
      </c>
      <c r="I11" s="712">
        <v>6841</v>
      </c>
      <c r="J11" s="713" t="s">
        <v>101</v>
      </c>
    </row>
    <row r="12" spans="1:14">
      <c r="B12" s="713" t="s">
        <v>99</v>
      </c>
      <c r="C12" s="713" t="s">
        <v>82</v>
      </c>
      <c r="D12" s="712">
        <v>22</v>
      </c>
      <c r="E12" s="713" t="s">
        <v>94</v>
      </c>
      <c r="F12" s="712">
        <v>2010</v>
      </c>
      <c r="G12" s="713" t="s">
        <v>103</v>
      </c>
      <c r="H12" s="712" t="s">
        <v>102</v>
      </c>
      <c r="I12" s="712">
        <v>2262</v>
      </c>
      <c r="J12" s="713" t="s">
        <v>105</v>
      </c>
    </row>
    <row r="13" spans="1:14">
      <c r="B13" s="713" t="s">
        <v>99</v>
      </c>
      <c r="C13" s="713" t="s">
        <v>82</v>
      </c>
      <c r="D13" s="712">
        <v>22</v>
      </c>
      <c r="E13" s="713" t="s">
        <v>84</v>
      </c>
      <c r="F13" s="712">
        <v>2016</v>
      </c>
      <c r="G13" s="713" t="s">
        <v>104</v>
      </c>
      <c r="H13" s="712">
        <v>10248</v>
      </c>
      <c r="I13" s="712">
        <v>4106</v>
      </c>
      <c r="J13" s="713" t="s">
        <v>106</v>
      </c>
    </row>
    <row r="14" spans="1:14">
      <c r="B14" s="713" t="s">
        <v>99</v>
      </c>
      <c r="C14" s="713" t="s">
        <v>108</v>
      </c>
      <c r="D14" s="712" t="s">
        <v>107</v>
      </c>
      <c r="E14" s="713" t="s">
        <v>109</v>
      </c>
      <c r="F14" s="712">
        <v>2017</v>
      </c>
      <c r="G14" s="713" t="s">
        <v>104</v>
      </c>
      <c r="H14" s="712">
        <v>191743</v>
      </c>
      <c r="I14" s="712">
        <v>9788</v>
      </c>
      <c r="J14" s="713" t="s">
        <v>110</v>
      </c>
    </row>
    <row r="15" spans="1:14">
      <c r="B15" s="713" t="s">
        <v>99</v>
      </c>
      <c r="C15" s="713" t="s">
        <v>93</v>
      </c>
      <c r="D15" s="712" t="s">
        <v>93</v>
      </c>
      <c r="E15" s="713" t="s">
        <v>111</v>
      </c>
      <c r="F15" s="712">
        <v>2013</v>
      </c>
      <c r="G15" s="713" t="s">
        <v>103</v>
      </c>
      <c r="H15" s="712">
        <v>328</v>
      </c>
      <c r="I15" s="712">
        <v>6110</v>
      </c>
      <c r="J15" s="713" t="s">
        <v>112</v>
      </c>
    </row>
    <row r="16" spans="1:14">
      <c r="B16" s="713" t="s">
        <v>113</v>
      </c>
      <c r="C16" s="713" t="s">
        <v>108</v>
      </c>
      <c r="D16" s="712" t="s">
        <v>107</v>
      </c>
      <c r="E16" s="713" t="s">
        <v>109</v>
      </c>
      <c r="F16" s="712">
        <v>2017</v>
      </c>
      <c r="G16" s="713" t="s">
        <v>104</v>
      </c>
      <c r="H16" s="712" t="s">
        <v>115</v>
      </c>
      <c r="I16" s="712">
        <v>8432</v>
      </c>
      <c r="J16" s="713" t="s">
        <v>114</v>
      </c>
      <c r="K16" s="713" t="s">
        <v>118</v>
      </c>
    </row>
    <row r="17" spans="2:11">
      <c r="B17" s="713" t="s">
        <v>113</v>
      </c>
      <c r="C17" s="713" t="s">
        <v>82</v>
      </c>
      <c r="D17" s="712">
        <v>22</v>
      </c>
      <c r="E17" s="713" t="s">
        <v>84</v>
      </c>
      <c r="F17" s="712">
        <v>2012</v>
      </c>
      <c r="G17" s="713" t="s">
        <v>103</v>
      </c>
      <c r="H17" s="712" t="s">
        <v>121</v>
      </c>
      <c r="I17" s="712">
        <v>9213</v>
      </c>
      <c r="J17" s="713" t="s">
        <v>85</v>
      </c>
      <c r="K17" s="713" t="s">
        <v>119</v>
      </c>
    </row>
    <row r="18" spans="2:11">
      <c r="B18" s="713" t="s">
        <v>113</v>
      </c>
      <c r="C18" s="713" t="s">
        <v>90</v>
      </c>
      <c r="E18" s="713" t="s">
        <v>91</v>
      </c>
      <c r="F18" s="712">
        <v>2015</v>
      </c>
      <c r="G18" s="713" t="s">
        <v>103</v>
      </c>
      <c r="H18" s="712" t="s">
        <v>116</v>
      </c>
      <c r="I18" s="712">
        <v>6181</v>
      </c>
      <c r="J18" s="713" t="s">
        <v>117</v>
      </c>
      <c r="K18" s="713" t="s">
        <v>119</v>
      </c>
    </row>
    <row r="19" spans="2:11">
      <c r="B19" s="713" t="s">
        <v>113</v>
      </c>
      <c r="C19" s="713" t="s">
        <v>82</v>
      </c>
      <c r="E19" s="713" t="s">
        <v>84</v>
      </c>
      <c r="F19" s="712">
        <v>2016</v>
      </c>
      <c r="G19" s="713" t="s">
        <v>104</v>
      </c>
      <c r="H19" s="712" t="s">
        <v>120</v>
      </c>
      <c r="I19" s="712">
        <v>6839</v>
      </c>
      <c r="J19" s="713" t="s">
        <v>101</v>
      </c>
      <c r="K19" s="713" t="s">
        <v>119</v>
      </c>
    </row>
    <row r="20" spans="2:11">
      <c r="B20" s="713" t="s">
        <v>122</v>
      </c>
      <c r="C20" s="713" t="s">
        <v>82</v>
      </c>
      <c r="D20" s="712">
        <v>22</v>
      </c>
      <c r="E20" s="713" t="s">
        <v>84</v>
      </c>
      <c r="F20" s="712">
        <v>2016</v>
      </c>
      <c r="G20" s="713" t="s">
        <v>104</v>
      </c>
      <c r="I20" s="712">
        <v>4108</v>
      </c>
      <c r="J20" s="713" t="s">
        <v>106</v>
      </c>
    </row>
    <row r="21" spans="2:11">
      <c r="B21" s="713" t="s">
        <v>122</v>
      </c>
      <c r="C21" s="713" t="s">
        <v>82</v>
      </c>
      <c r="D21" s="712">
        <v>22</v>
      </c>
      <c r="E21" s="713" t="s">
        <v>91</v>
      </c>
      <c r="F21" s="712">
        <v>2012</v>
      </c>
      <c r="G21" s="713" t="s">
        <v>104</v>
      </c>
      <c r="I21" s="712">
        <v>7665</v>
      </c>
      <c r="J21" s="713" t="s">
        <v>123</v>
      </c>
    </row>
    <row r="22" spans="2:11">
      <c r="B22" s="713" t="s">
        <v>122</v>
      </c>
      <c r="C22" s="713" t="s">
        <v>82</v>
      </c>
      <c r="D22" s="712">
        <v>22</v>
      </c>
      <c r="E22" s="713" t="s">
        <v>91</v>
      </c>
      <c r="F22" s="712">
        <v>2008</v>
      </c>
      <c r="G22" s="713" t="s">
        <v>104</v>
      </c>
      <c r="I22" s="712">
        <v>7201</v>
      </c>
      <c r="J22" s="713" t="s">
        <v>124</v>
      </c>
    </row>
    <row r="23" spans="2:11">
      <c r="B23" s="713" t="s">
        <v>122</v>
      </c>
      <c r="C23" s="713" t="s">
        <v>82</v>
      </c>
      <c r="D23" s="712">
        <v>22</v>
      </c>
      <c r="E23" s="713" t="s">
        <v>91</v>
      </c>
      <c r="F23" s="712">
        <v>2008</v>
      </c>
      <c r="G23" s="713" t="s">
        <v>104</v>
      </c>
      <c r="I23" s="712">
        <v>7211</v>
      </c>
      <c r="J23" s="713" t="s">
        <v>124</v>
      </c>
    </row>
    <row r="24" spans="2:11">
      <c r="B24" s="713" t="s">
        <v>122</v>
      </c>
      <c r="C24" s="713" t="s">
        <v>90</v>
      </c>
      <c r="E24" s="713" t="s">
        <v>91</v>
      </c>
      <c r="F24" s="712">
        <v>2016</v>
      </c>
      <c r="G24" s="713" t="s">
        <v>104</v>
      </c>
      <c r="I24" s="712">
        <v>6795</v>
      </c>
      <c r="J24" s="713" t="s">
        <v>125</v>
      </c>
    </row>
    <row r="25" spans="2:11">
      <c r="B25" s="713" t="s">
        <v>122</v>
      </c>
      <c r="C25" s="713" t="s">
        <v>90</v>
      </c>
      <c r="E25" s="713" t="s">
        <v>91</v>
      </c>
      <c r="F25" s="712">
        <v>2008</v>
      </c>
      <c r="G25" s="713" t="s">
        <v>104</v>
      </c>
      <c r="I25" s="712">
        <v>2644</v>
      </c>
      <c r="J25" s="713" t="s">
        <v>124</v>
      </c>
    </row>
    <row r="26" spans="2:11">
      <c r="B26" s="713" t="s">
        <v>126</v>
      </c>
      <c r="C26" s="713" t="s">
        <v>82</v>
      </c>
      <c r="E26" s="713" t="s">
        <v>91</v>
      </c>
      <c r="F26" s="712">
        <v>2008</v>
      </c>
      <c r="G26" s="713" t="s">
        <v>132</v>
      </c>
      <c r="H26" s="712" t="s">
        <v>127</v>
      </c>
      <c r="I26" s="712">
        <v>1987</v>
      </c>
      <c r="J26" s="713" t="s">
        <v>124</v>
      </c>
      <c r="K26" s="713" t="s">
        <v>119</v>
      </c>
    </row>
    <row r="27" spans="2:11">
      <c r="B27" s="713" t="s">
        <v>126</v>
      </c>
      <c r="C27" s="713" t="s">
        <v>82</v>
      </c>
      <c r="E27" s="713" t="s">
        <v>91</v>
      </c>
      <c r="F27" s="712">
        <v>2008</v>
      </c>
      <c r="G27" s="713" t="s">
        <v>132</v>
      </c>
      <c r="H27" s="712" t="s">
        <v>128</v>
      </c>
      <c r="I27" s="712">
        <v>2641</v>
      </c>
      <c r="J27" s="713" t="s">
        <v>124</v>
      </c>
      <c r="K27" s="713" t="s">
        <v>119</v>
      </c>
    </row>
    <row r="28" spans="2:11">
      <c r="B28" s="713" t="s">
        <v>126</v>
      </c>
      <c r="C28" s="713" t="s">
        <v>82</v>
      </c>
      <c r="E28" s="713" t="s">
        <v>91</v>
      </c>
      <c r="F28" s="712">
        <v>2008</v>
      </c>
      <c r="G28" s="713" t="s">
        <v>132</v>
      </c>
      <c r="H28" s="712" t="s">
        <v>129</v>
      </c>
      <c r="I28" s="712">
        <v>1957</v>
      </c>
      <c r="J28" s="713" t="s">
        <v>124</v>
      </c>
      <c r="K28" s="713" t="s">
        <v>119</v>
      </c>
    </row>
    <row r="29" spans="2:11">
      <c r="B29" s="713" t="s">
        <v>126</v>
      </c>
      <c r="C29" s="713" t="s">
        <v>82</v>
      </c>
      <c r="E29" s="713" t="s">
        <v>91</v>
      </c>
      <c r="F29" s="712">
        <v>2008</v>
      </c>
      <c r="G29" s="713" t="s">
        <v>132</v>
      </c>
      <c r="H29" s="712" t="s">
        <v>130</v>
      </c>
      <c r="I29" s="712">
        <v>1990</v>
      </c>
      <c r="J29" s="713" t="s">
        <v>124</v>
      </c>
      <c r="K29" s="713" t="s">
        <v>131</v>
      </c>
    </row>
    <row r="30" spans="2:11">
      <c r="B30" s="713" t="s">
        <v>126</v>
      </c>
      <c r="C30" s="713" t="s">
        <v>82</v>
      </c>
      <c r="E30" s="713" t="s">
        <v>84</v>
      </c>
      <c r="F30" s="712">
        <v>2016</v>
      </c>
      <c r="G30" s="713" t="s">
        <v>133</v>
      </c>
      <c r="H30" s="712" t="s">
        <v>136</v>
      </c>
      <c r="I30" s="712">
        <v>6843</v>
      </c>
      <c r="J30" s="713" t="s">
        <v>101</v>
      </c>
      <c r="K30" s="713" t="s">
        <v>119</v>
      </c>
    </row>
    <row r="31" spans="2:11">
      <c r="B31" s="713" t="s">
        <v>126</v>
      </c>
      <c r="C31" s="713" t="s">
        <v>82</v>
      </c>
      <c r="E31" s="713" t="s">
        <v>84</v>
      </c>
      <c r="F31" s="712">
        <v>2010</v>
      </c>
      <c r="G31" s="713" t="s">
        <v>132</v>
      </c>
      <c r="H31" s="712" t="s">
        <v>137</v>
      </c>
      <c r="I31" s="712">
        <v>4103</v>
      </c>
      <c r="J31" s="713" t="s">
        <v>92</v>
      </c>
      <c r="K31" s="713" t="s">
        <v>119</v>
      </c>
    </row>
    <row r="32" spans="2:11">
      <c r="B32" s="713" t="s">
        <v>126</v>
      </c>
      <c r="C32" s="713" t="s">
        <v>134</v>
      </c>
      <c r="D32" s="712" t="s">
        <v>135</v>
      </c>
      <c r="E32" s="713" t="s">
        <v>94</v>
      </c>
      <c r="F32" s="712">
        <v>2010</v>
      </c>
      <c r="G32" s="713" t="s">
        <v>132</v>
      </c>
      <c r="H32" s="712" t="s">
        <v>139</v>
      </c>
      <c r="I32" s="712">
        <v>4696</v>
      </c>
      <c r="J32" s="713" t="s">
        <v>138</v>
      </c>
      <c r="K32" s="713" t="s">
        <v>119</v>
      </c>
    </row>
  </sheetData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2:H8"/>
  <sheetViews>
    <sheetView rightToLeft="1" workbookViewId="0">
      <selection activeCell="C12" sqref="C12"/>
    </sheetView>
  </sheetViews>
  <sheetFormatPr defaultRowHeight="15"/>
  <cols>
    <col min="1" max="1" width="20.42578125" bestFit="1" customWidth="1"/>
    <col min="2" max="2" width="18.7109375" bestFit="1" customWidth="1"/>
    <col min="3" max="3" width="19" style="635" bestFit="1" customWidth="1"/>
    <col min="4" max="4" width="23" style="636" bestFit="1" customWidth="1"/>
    <col min="6" max="6" width="16" bestFit="1" customWidth="1"/>
    <col min="7" max="7" width="4.7109375" bestFit="1" customWidth="1"/>
  </cols>
  <sheetData>
    <row r="2" spans="1:8" ht="18.75">
      <c r="B2" s="637"/>
    </row>
    <row r="3" spans="1:8" ht="21">
      <c r="A3" s="639">
        <v>510000000000</v>
      </c>
      <c r="B3" s="640" t="s">
        <v>1722</v>
      </c>
    </row>
    <row r="4" spans="1:8" ht="18.75">
      <c r="B4" s="638">
        <v>511100000000</v>
      </c>
      <c r="C4" s="637" t="s">
        <v>1720</v>
      </c>
      <c r="E4" s="793" t="s">
        <v>1717</v>
      </c>
      <c r="F4" s="793"/>
      <c r="G4" s="793"/>
      <c r="H4" s="793"/>
    </row>
    <row r="5" spans="1:8">
      <c r="C5" s="635">
        <v>511108000000</v>
      </c>
      <c r="D5" s="636" t="s">
        <v>1714</v>
      </c>
      <c r="F5" t="s">
        <v>1716</v>
      </c>
      <c r="G5" t="s">
        <v>60</v>
      </c>
    </row>
    <row r="6" spans="1:8">
      <c r="C6" s="635">
        <v>511118000000</v>
      </c>
      <c r="D6" s="636" t="s">
        <v>1715</v>
      </c>
    </row>
    <row r="7" spans="1:8">
      <c r="C7" s="635">
        <v>511119000000</v>
      </c>
      <c r="D7" s="636" t="s">
        <v>1718</v>
      </c>
      <c r="F7" t="s">
        <v>1719</v>
      </c>
    </row>
    <row r="8" spans="1:8">
      <c r="C8" s="635">
        <v>511109000000</v>
      </c>
      <c r="D8" s="636" t="s">
        <v>1721</v>
      </c>
    </row>
  </sheetData>
  <mergeCells count="1">
    <mergeCell ref="E4:H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B7:E130"/>
  <sheetViews>
    <sheetView rightToLeft="1" workbookViewId="0">
      <selection activeCell="E1" sqref="E1:E1048576"/>
    </sheetView>
  </sheetViews>
  <sheetFormatPr defaultRowHeight="15"/>
  <cols>
    <col min="5" max="5" width="9.28515625" style="689" customWidth="1"/>
  </cols>
  <sheetData>
    <row r="7" spans="2:5">
      <c r="B7" t="s">
        <v>1729</v>
      </c>
      <c r="E7" s="689">
        <v>400</v>
      </c>
    </row>
    <row r="8" spans="2:5">
      <c r="E8" s="689">
        <v>400</v>
      </c>
    </row>
    <row r="9" spans="2:5">
      <c r="E9" s="689">
        <v>400</v>
      </c>
    </row>
    <row r="10" spans="2:5">
      <c r="E10" s="689">
        <v>400</v>
      </c>
    </row>
    <row r="11" spans="2:5">
      <c r="E11" s="689">
        <v>400</v>
      </c>
    </row>
    <row r="12" spans="2:5">
      <c r="E12" s="689">
        <v>400</v>
      </c>
    </row>
    <row r="13" spans="2:5">
      <c r="E13" s="689">
        <v>400</v>
      </c>
    </row>
    <row r="14" spans="2:5">
      <c r="E14" s="689">
        <v>400</v>
      </c>
    </row>
    <row r="15" spans="2:5">
      <c r="E15" s="689">
        <v>400</v>
      </c>
    </row>
    <row r="16" spans="2:5">
      <c r="E16" s="689">
        <v>400</v>
      </c>
    </row>
    <row r="17" spans="5:5">
      <c r="E17" s="689">
        <v>400</v>
      </c>
    </row>
    <row r="18" spans="5:5">
      <c r="E18" s="689">
        <v>400</v>
      </c>
    </row>
    <row r="19" spans="5:5">
      <c r="E19" s="689">
        <v>300</v>
      </c>
    </row>
    <row r="20" spans="5:5">
      <c r="E20" s="689">
        <v>300</v>
      </c>
    </row>
    <row r="21" spans="5:5">
      <c r="E21" s="689">
        <v>300</v>
      </c>
    </row>
    <row r="22" spans="5:5">
      <c r="E22" s="689">
        <v>300</v>
      </c>
    </row>
    <row r="23" spans="5:5">
      <c r="E23" s="689">
        <v>300</v>
      </c>
    </row>
    <row r="24" spans="5:5">
      <c r="E24" s="689">
        <v>300</v>
      </c>
    </row>
    <row r="25" spans="5:5">
      <c r="E25" s="689">
        <v>300</v>
      </c>
    </row>
    <row r="26" spans="5:5">
      <c r="E26" s="689">
        <v>900</v>
      </c>
    </row>
    <row r="27" spans="5:5">
      <c r="E27" s="689">
        <v>900</v>
      </c>
    </row>
    <row r="28" spans="5:5">
      <c r="E28" s="689">
        <v>1500</v>
      </c>
    </row>
    <row r="29" spans="5:5">
      <c r="E29" s="689">
        <v>1500</v>
      </c>
    </row>
    <row r="30" spans="5:5">
      <c r="E30" s="689">
        <v>3000</v>
      </c>
    </row>
    <row r="31" spans="5:5">
      <c r="E31" s="689">
        <v>800</v>
      </c>
    </row>
    <row r="32" spans="5:5">
      <c r="E32" s="689">
        <v>500</v>
      </c>
    </row>
    <row r="33" spans="5:5">
      <c r="E33" s="689">
        <v>200</v>
      </c>
    </row>
    <row r="34" spans="5:5">
      <c r="E34" s="689">
        <v>250</v>
      </c>
    </row>
    <row r="35" spans="5:5">
      <c r="E35" s="689">
        <v>800</v>
      </c>
    </row>
    <row r="36" spans="5:5">
      <c r="E36" s="689">
        <v>800</v>
      </c>
    </row>
    <row r="37" spans="5:5">
      <c r="E37" s="689">
        <v>2000</v>
      </c>
    </row>
    <row r="38" spans="5:5">
      <c r="E38" s="689">
        <v>2000</v>
      </c>
    </row>
    <row r="39" spans="5:5">
      <c r="E39" s="689">
        <v>1200</v>
      </c>
    </row>
    <row r="40" spans="5:5">
      <c r="E40" s="689">
        <v>1200</v>
      </c>
    </row>
    <row r="41" spans="5:5">
      <c r="E41" s="689">
        <v>500</v>
      </c>
    </row>
    <row r="42" spans="5:5">
      <c r="E42" s="689">
        <v>500</v>
      </c>
    </row>
    <row r="43" spans="5:5">
      <c r="E43" s="689">
        <v>500</v>
      </c>
    </row>
    <row r="44" spans="5:5">
      <c r="E44" s="689">
        <v>540</v>
      </c>
    </row>
    <row r="45" spans="5:5">
      <c r="E45" s="689">
        <v>1000</v>
      </c>
    </row>
    <row r="46" spans="5:5">
      <c r="E46" s="689">
        <v>600</v>
      </c>
    </row>
    <row r="47" spans="5:5">
      <c r="E47" s="689">
        <v>600</v>
      </c>
    </row>
    <row r="48" spans="5:5">
      <c r="E48" s="689">
        <v>600</v>
      </c>
    </row>
    <row r="49" spans="5:5">
      <c r="E49" s="689">
        <v>600</v>
      </c>
    </row>
    <row r="50" spans="5:5">
      <c r="E50" s="689">
        <v>600</v>
      </c>
    </row>
    <row r="51" spans="5:5">
      <c r="E51" s="689">
        <v>600</v>
      </c>
    </row>
    <row r="52" spans="5:5">
      <c r="E52" s="689">
        <v>600</v>
      </c>
    </row>
    <row r="53" spans="5:5">
      <c r="E53" s="689">
        <v>600</v>
      </c>
    </row>
    <row r="54" spans="5:5">
      <c r="E54" s="689">
        <v>600</v>
      </c>
    </row>
    <row r="55" spans="5:5">
      <c r="E55" s="689">
        <v>600</v>
      </c>
    </row>
    <row r="56" spans="5:5">
      <c r="E56" s="689">
        <v>600</v>
      </c>
    </row>
    <row r="57" spans="5:5">
      <c r="E57" s="689">
        <v>600</v>
      </c>
    </row>
    <row r="58" spans="5:5">
      <c r="E58" s="689">
        <v>600</v>
      </c>
    </row>
    <row r="59" spans="5:5">
      <c r="E59" s="689">
        <v>600</v>
      </c>
    </row>
    <row r="60" spans="5:5">
      <c r="E60" s="689">
        <v>600</v>
      </c>
    </row>
    <row r="61" spans="5:5">
      <c r="E61" s="689">
        <v>600</v>
      </c>
    </row>
    <row r="62" spans="5:5">
      <c r="E62" s="689">
        <v>600</v>
      </c>
    </row>
    <row r="63" spans="5:5">
      <c r="E63" s="689">
        <v>600</v>
      </c>
    </row>
    <row r="64" spans="5:5">
      <c r="E64" s="689">
        <v>600</v>
      </c>
    </row>
    <row r="65" spans="5:5">
      <c r="E65" s="689">
        <v>600</v>
      </c>
    </row>
    <row r="66" spans="5:5">
      <c r="E66" s="689">
        <v>600</v>
      </c>
    </row>
    <row r="67" spans="5:5">
      <c r="E67" s="689">
        <v>600</v>
      </c>
    </row>
    <row r="68" spans="5:5">
      <c r="E68" s="689">
        <v>600</v>
      </c>
    </row>
    <row r="69" spans="5:5">
      <c r="E69" s="689">
        <v>600</v>
      </c>
    </row>
    <row r="70" spans="5:5">
      <c r="E70" s="689">
        <v>600</v>
      </c>
    </row>
    <row r="71" spans="5:5">
      <c r="E71" s="689">
        <v>600</v>
      </c>
    </row>
    <row r="72" spans="5:5">
      <c r="E72" s="689">
        <v>600</v>
      </c>
    </row>
    <row r="73" spans="5:5">
      <c r="E73" s="689">
        <v>600</v>
      </c>
    </row>
    <row r="74" spans="5:5">
      <c r="E74" s="689">
        <v>600</v>
      </c>
    </row>
    <row r="75" spans="5:5">
      <c r="E75" s="689">
        <v>600</v>
      </c>
    </row>
    <row r="76" spans="5:5">
      <c r="E76" s="689">
        <v>600</v>
      </c>
    </row>
    <row r="77" spans="5:5">
      <c r="E77" s="689">
        <v>600</v>
      </c>
    </row>
    <row r="78" spans="5:5">
      <c r="E78" s="689">
        <v>600</v>
      </c>
    </row>
    <row r="79" spans="5:5">
      <c r="E79" s="689">
        <v>600</v>
      </c>
    </row>
    <row r="80" spans="5:5">
      <c r="E80" s="689">
        <v>600</v>
      </c>
    </row>
    <row r="81" spans="5:5">
      <c r="E81" s="689">
        <v>600</v>
      </c>
    </row>
    <row r="82" spans="5:5">
      <c r="E82" s="689">
        <v>600</v>
      </c>
    </row>
    <row r="83" spans="5:5">
      <c r="E83" s="689">
        <v>600</v>
      </c>
    </row>
    <row r="84" spans="5:5">
      <c r="E84" s="689">
        <v>600</v>
      </c>
    </row>
    <row r="85" spans="5:5">
      <c r="E85" s="689">
        <v>600</v>
      </c>
    </row>
    <row r="86" spans="5:5">
      <c r="E86" s="689">
        <v>600</v>
      </c>
    </row>
    <row r="87" spans="5:5">
      <c r="E87" s="689">
        <v>600</v>
      </c>
    </row>
    <row r="88" spans="5:5">
      <c r="E88" s="689">
        <v>600</v>
      </c>
    </row>
    <row r="89" spans="5:5">
      <c r="E89" s="689">
        <v>600</v>
      </c>
    </row>
    <row r="90" spans="5:5">
      <c r="E90" s="689">
        <v>600</v>
      </c>
    </row>
    <row r="91" spans="5:5">
      <c r="E91" s="689">
        <v>600</v>
      </c>
    </row>
    <row r="92" spans="5:5">
      <c r="E92" s="689">
        <v>600</v>
      </c>
    </row>
    <row r="93" spans="5:5">
      <c r="E93" s="689">
        <v>600</v>
      </c>
    </row>
    <row r="94" spans="5:5">
      <c r="E94" s="689">
        <v>600</v>
      </c>
    </row>
    <row r="95" spans="5:5">
      <c r="E95" s="689">
        <v>600</v>
      </c>
    </row>
    <row r="96" spans="5:5">
      <c r="E96" s="689">
        <v>600</v>
      </c>
    </row>
    <row r="97" spans="5:5">
      <c r="E97" s="689">
        <v>600</v>
      </c>
    </row>
    <row r="98" spans="5:5">
      <c r="E98" s="689">
        <v>600</v>
      </c>
    </row>
    <row r="99" spans="5:5">
      <c r="E99" s="689">
        <v>600</v>
      </c>
    </row>
    <row r="100" spans="5:5">
      <c r="E100" s="689">
        <v>600</v>
      </c>
    </row>
    <row r="101" spans="5:5">
      <c r="E101" s="689">
        <v>600</v>
      </c>
    </row>
    <row r="102" spans="5:5">
      <c r="E102" s="689">
        <v>600</v>
      </c>
    </row>
    <row r="103" spans="5:5">
      <c r="E103" s="689">
        <v>600</v>
      </c>
    </row>
    <row r="104" spans="5:5">
      <c r="E104" s="689">
        <v>600</v>
      </c>
    </row>
    <row r="105" spans="5:5">
      <c r="E105" s="689">
        <v>600</v>
      </c>
    </row>
    <row r="106" spans="5:5">
      <c r="E106" s="689">
        <v>600</v>
      </c>
    </row>
    <row r="107" spans="5:5">
      <c r="E107" s="689">
        <v>600</v>
      </c>
    </row>
    <row r="108" spans="5:5">
      <c r="E108" s="689">
        <v>600</v>
      </c>
    </row>
    <row r="109" spans="5:5">
      <c r="E109" s="689">
        <v>600</v>
      </c>
    </row>
    <row r="110" spans="5:5">
      <c r="E110" s="689">
        <v>600</v>
      </c>
    </row>
    <row r="111" spans="5:5">
      <c r="E111" s="689">
        <v>600</v>
      </c>
    </row>
    <row r="112" spans="5:5">
      <c r="E112" s="689">
        <v>600</v>
      </c>
    </row>
    <row r="113" spans="5:5">
      <c r="E113" s="689">
        <v>600</v>
      </c>
    </row>
    <row r="114" spans="5:5">
      <c r="E114" s="689">
        <v>600</v>
      </c>
    </row>
    <row r="115" spans="5:5">
      <c r="E115" s="689">
        <v>600</v>
      </c>
    </row>
    <row r="116" spans="5:5">
      <c r="E116" s="689">
        <v>600</v>
      </c>
    </row>
    <row r="117" spans="5:5">
      <c r="E117" s="689">
        <v>600</v>
      </c>
    </row>
    <row r="118" spans="5:5">
      <c r="E118" s="689">
        <v>600</v>
      </c>
    </row>
    <row r="119" spans="5:5">
      <c r="E119" s="689">
        <v>600</v>
      </c>
    </row>
    <row r="120" spans="5:5">
      <c r="E120" s="689">
        <v>600</v>
      </c>
    </row>
    <row r="121" spans="5:5">
      <c r="E121" s="689">
        <v>600</v>
      </c>
    </row>
    <row r="122" spans="5:5">
      <c r="E122" s="689">
        <v>600</v>
      </c>
    </row>
    <row r="123" spans="5:5">
      <c r="E123" s="689">
        <v>600</v>
      </c>
    </row>
    <row r="124" spans="5:5">
      <c r="E124" s="689">
        <v>600</v>
      </c>
    </row>
    <row r="125" spans="5:5">
      <c r="E125" s="689">
        <v>600</v>
      </c>
    </row>
    <row r="126" spans="5:5">
      <c r="E126" s="689">
        <v>600</v>
      </c>
    </row>
    <row r="127" spans="5:5">
      <c r="E127" s="689">
        <v>600</v>
      </c>
    </row>
    <row r="128" spans="5:5">
      <c r="E128" s="689">
        <v>600</v>
      </c>
    </row>
    <row r="129" spans="5:5">
      <c r="E129" s="689">
        <v>600</v>
      </c>
    </row>
    <row r="130" spans="5:5">
      <c r="E130" s="689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A75B-1721-4777-B38A-18B3FD068299}">
  <sheetPr codeName="Sheet1"/>
  <dimension ref="A1:J74"/>
  <sheetViews>
    <sheetView rightToLeft="1" view="pageBreakPreview" topLeftCell="A40" zoomScaleNormal="100" zoomScaleSheetLayoutView="100" workbookViewId="0">
      <selection activeCell="H57" sqref="H57"/>
    </sheetView>
  </sheetViews>
  <sheetFormatPr defaultRowHeight="15"/>
  <cols>
    <col min="1" max="1" width="16.28515625" customWidth="1"/>
    <col min="3" max="3" width="11.85546875" style="14" bestFit="1" customWidth="1"/>
    <col min="4" max="4" width="88.42578125" customWidth="1"/>
    <col min="5" max="5" width="14.85546875" style="693" customWidth="1"/>
    <col min="6" max="6" width="13.140625" style="16" bestFit="1" customWidth="1"/>
    <col min="7" max="7" width="9.140625" style="16"/>
    <col min="8" max="9" width="16.42578125" bestFit="1" customWidth="1"/>
    <col min="10" max="10" width="17.7109375" customWidth="1"/>
  </cols>
  <sheetData>
    <row r="1" spans="1:10" ht="29.25" customHeight="1">
      <c r="A1" s="732" t="s">
        <v>2002</v>
      </c>
      <c r="B1" s="732"/>
      <c r="C1" s="732"/>
      <c r="D1" s="732"/>
      <c r="E1" s="732"/>
      <c r="F1" s="732"/>
      <c r="G1" s="732"/>
      <c r="H1" s="732"/>
      <c r="I1" s="732"/>
      <c r="J1" s="732"/>
    </row>
    <row r="2" spans="1:10" ht="29.25" customHeight="1">
      <c r="A2" s="732"/>
      <c r="B2" s="732"/>
      <c r="C2" s="732"/>
      <c r="D2" s="732"/>
      <c r="E2" s="732"/>
      <c r="F2" s="732"/>
      <c r="G2" s="732"/>
      <c r="H2" s="732"/>
      <c r="I2" s="732"/>
      <c r="J2" s="732"/>
    </row>
    <row r="3" spans="1:10" ht="29.25" customHeight="1">
      <c r="A3" s="732"/>
      <c r="B3" s="732"/>
      <c r="C3" s="732"/>
      <c r="D3" s="732"/>
      <c r="E3" s="732"/>
      <c r="F3" s="732"/>
      <c r="G3" s="732"/>
      <c r="H3" s="732"/>
      <c r="I3" s="732"/>
      <c r="J3" s="732"/>
    </row>
    <row r="4" spans="1:10" ht="29.25" customHeight="1">
      <c r="A4" s="732"/>
      <c r="B4" s="732"/>
      <c r="C4" s="732"/>
      <c r="D4" s="732"/>
      <c r="E4" s="732"/>
      <c r="F4" s="732"/>
      <c r="G4" s="732"/>
      <c r="H4" s="732"/>
      <c r="I4" s="732"/>
      <c r="J4" s="732"/>
    </row>
    <row r="5" spans="1:10" ht="45.75" thickBot="1">
      <c r="A5" s="21" t="s">
        <v>47</v>
      </c>
      <c r="B5" s="9" t="s">
        <v>46</v>
      </c>
      <c r="C5" s="10" t="s">
        <v>41</v>
      </c>
      <c r="D5" s="7" t="s">
        <v>2</v>
      </c>
      <c r="E5" s="690" t="s">
        <v>50</v>
      </c>
      <c r="F5" s="18" t="s">
        <v>45</v>
      </c>
      <c r="G5" s="18" t="s">
        <v>62</v>
      </c>
      <c r="H5" s="8" t="s">
        <v>0</v>
      </c>
      <c r="I5" s="8" t="s">
        <v>1</v>
      </c>
      <c r="J5" s="22" t="s">
        <v>43</v>
      </c>
    </row>
    <row r="6" spans="1:10" ht="16.5" thickTop="1">
      <c r="A6" s="23">
        <v>42736</v>
      </c>
      <c r="B6" s="6">
        <v>1</v>
      </c>
      <c r="C6" s="11" t="s">
        <v>42</v>
      </c>
      <c r="D6" s="1" t="s">
        <v>3</v>
      </c>
      <c r="E6" s="691"/>
      <c r="F6" s="19"/>
      <c r="G6" s="41"/>
      <c r="H6" s="706">
        <f>146400</f>
        <v>146400</v>
      </c>
      <c r="I6" s="706"/>
      <c r="J6" s="24">
        <f>H6</f>
        <v>146400</v>
      </c>
    </row>
    <row r="7" spans="1:10" ht="15.75">
      <c r="A7" s="23">
        <v>42750</v>
      </c>
      <c r="B7" s="6">
        <v>1</v>
      </c>
      <c r="C7" s="12"/>
      <c r="D7" s="1" t="s">
        <v>1956</v>
      </c>
      <c r="E7" s="692" t="s">
        <v>1953</v>
      </c>
      <c r="F7" s="12"/>
      <c r="G7" s="42"/>
      <c r="H7" s="706"/>
      <c r="I7" s="706">
        <v>55250</v>
      </c>
      <c r="J7" s="24">
        <f t="shared" ref="J7:J68" si="0">J6+H7-I7</f>
        <v>91150</v>
      </c>
    </row>
    <row r="8" spans="1:10" ht="15.75">
      <c r="A8" s="23">
        <v>42750</v>
      </c>
      <c r="B8" s="6">
        <v>1</v>
      </c>
      <c r="C8" s="12"/>
      <c r="D8" s="1" t="s">
        <v>1955</v>
      </c>
      <c r="E8" s="692" t="s">
        <v>1954</v>
      </c>
      <c r="F8" s="12"/>
      <c r="G8" s="42"/>
      <c r="H8" s="706"/>
      <c r="I8" s="706">
        <v>48000</v>
      </c>
      <c r="J8" s="24">
        <f t="shared" si="0"/>
        <v>43150</v>
      </c>
    </row>
    <row r="9" spans="1:10" ht="15.75">
      <c r="A9" s="23">
        <v>42760</v>
      </c>
      <c r="B9" s="6">
        <v>1</v>
      </c>
      <c r="C9" s="12"/>
      <c r="D9" s="1" t="s">
        <v>2042</v>
      </c>
      <c r="E9" s="692"/>
      <c r="F9" s="12"/>
      <c r="G9" s="708"/>
      <c r="H9" s="706"/>
      <c r="I9" s="706">
        <v>5300</v>
      </c>
      <c r="J9" s="24">
        <f>J8+H9-I9</f>
        <v>37850</v>
      </c>
    </row>
    <row r="10" spans="1:10" ht="15.75">
      <c r="A10" s="23">
        <v>42766</v>
      </c>
      <c r="B10" s="6">
        <v>1</v>
      </c>
      <c r="C10" s="12"/>
      <c r="D10" s="1" t="s">
        <v>1965</v>
      </c>
      <c r="E10" s="692">
        <v>154</v>
      </c>
      <c r="F10" s="12"/>
      <c r="G10" s="42"/>
      <c r="H10" s="706">
        <v>38800</v>
      </c>
      <c r="I10" s="706"/>
      <c r="J10" s="24">
        <f>J9+H10-I10</f>
        <v>76650</v>
      </c>
    </row>
    <row r="11" spans="1:10" ht="15.75">
      <c r="A11" s="23">
        <v>42766</v>
      </c>
      <c r="B11" s="6">
        <v>1</v>
      </c>
      <c r="C11" s="12"/>
      <c r="D11" s="1" t="s">
        <v>1966</v>
      </c>
      <c r="E11" s="692">
        <v>155</v>
      </c>
      <c r="F11" s="12"/>
      <c r="G11" s="42"/>
      <c r="H11" s="706">
        <v>4400</v>
      </c>
      <c r="I11" s="706"/>
      <c r="J11" s="24">
        <f t="shared" si="0"/>
        <v>81050</v>
      </c>
    </row>
    <row r="12" spans="1:10" ht="15.75">
      <c r="A12" s="23">
        <v>42766</v>
      </c>
      <c r="B12" s="6">
        <v>1</v>
      </c>
      <c r="C12" s="12"/>
      <c r="D12" s="1" t="s">
        <v>1967</v>
      </c>
      <c r="E12" s="692">
        <v>156</v>
      </c>
      <c r="F12" s="12"/>
      <c r="G12" s="42"/>
      <c r="H12" s="706">
        <v>9900</v>
      </c>
      <c r="I12" s="706"/>
      <c r="J12" s="24">
        <f t="shared" si="0"/>
        <v>90950</v>
      </c>
    </row>
    <row r="13" spans="1:10" ht="15.75">
      <c r="A13" s="23">
        <v>42787</v>
      </c>
      <c r="B13" s="6">
        <v>2</v>
      </c>
      <c r="C13" s="12"/>
      <c r="D13" s="1" t="s">
        <v>1957</v>
      </c>
      <c r="E13" s="692"/>
      <c r="F13" s="12"/>
      <c r="G13" s="42"/>
      <c r="H13" s="706"/>
      <c r="I13" s="706">
        <v>1960</v>
      </c>
      <c r="J13" s="24">
        <f>J12+H13-I13</f>
        <v>88990</v>
      </c>
    </row>
    <row r="14" spans="1:10" ht="15.75">
      <c r="A14" s="23">
        <v>42794</v>
      </c>
      <c r="B14" s="6">
        <v>2</v>
      </c>
      <c r="C14" s="12"/>
      <c r="D14" s="1" t="s">
        <v>1968</v>
      </c>
      <c r="E14" s="692">
        <v>180</v>
      </c>
      <c r="F14" s="12"/>
      <c r="G14" s="42"/>
      <c r="H14" s="706">
        <v>38400</v>
      </c>
      <c r="I14" s="706"/>
      <c r="J14" s="24">
        <f>J13+H14-I14</f>
        <v>127390</v>
      </c>
    </row>
    <row r="15" spans="1:10" ht="15.75">
      <c r="A15" s="23">
        <v>42794</v>
      </c>
      <c r="B15" s="6">
        <v>2</v>
      </c>
      <c r="C15" s="12"/>
      <c r="D15" s="1" t="s">
        <v>1969</v>
      </c>
      <c r="E15" s="692">
        <v>181</v>
      </c>
      <c r="F15" s="12"/>
      <c r="G15" s="42"/>
      <c r="H15" s="706">
        <v>5200</v>
      </c>
      <c r="I15" s="706"/>
      <c r="J15" s="24">
        <f t="shared" si="0"/>
        <v>132590</v>
      </c>
    </row>
    <row r="16" spans="1:10" ht="15.75">
      <c r="A16" s="23">
        <v>42794</v>
      </c>
      <c r="B16" s="6">
        <v>2</v>
      </c>
      <c r="C16" s="12"/>
      <c r="D16" s="1" t="s">
        <v>1970</v>
      </c>
      <c r="E16" s="692">
        <v>187</v>
      </c>
      <c r="F16" s="12"/>
      <c r="G16" s="42"/>
      <c r="H16" s="706">
        <v>8000</v>
      </c>
      <c r="I16" s="706"/>
      <c r="J16" s="24">
        <f t="shared" si="0"/>
        <v>140590</v>
      </c>
    </row>
    <row r="17" spans="1:10" ht="15.75">
      <c r="A17" s="23">
        <v>42794</v>
      </c>
      <c r="B17" s="6">
        <v>2</v>
      </c>
      <c r="C17" s="12"/>
      <c r="D17" s="1" t="s">
        <v>1971</v>
      </c>
      <c r="E17" s="692">
        <v>188</v>
      </c>
      <c r="F17" s="12"/>
      <c r="G17" s="42"/>
      <c r="H17" s="706">
        <v>4950</v>
      </c>
      <c r="I17" s="706"/>
      <c r="J17" s="24">
        <f t="shared" si="0"/>
        <v>145540</v>
      </c>
    </row>
    <row r="18" spans="1:10" ht="15.75">
      <c r="A18" s="23">
        <v>42807</v>
      </c>
      <c r="B18" s="6">
        <v>3</v>
      </c>
      <c r="C18" s="12"/>
      <c r="D18" s="1" t="s">
        <v>1957</v>
      </c>
      <c r="E18" s="692"/>
      <c r="F18" s="12"/>
      <c r="G18" s="42"/>
      <c r="H18" s="706"/>
      <c r="I18" s="706">
        <v>100150</v>
      </c>
      <c r="J18" s="24">
        <f t="shared" si="0"/>
        <v>45390</v>
      </c>
    </row>
    <row r="19" spans="1:10" ht="15.75">
      <c r="A19" s="23">
        <v>42814</v>
      </c>
      <c r="B19" s="6">
        <v>3</v>
      </c>
      <c r="C19" s="12"/>
      <c r="D19" s="1" t="s">
        <v>1972</v>
      </c>
      <c r="E19" s="692">
        <v>189</v>
      </c>
      <c r="F19" s="12"/>
      <c r="G19" s="42"/>
      <c r="H19" s="706">
        <v>650</v>
      </c>
      <c r="I19" s="706"/>
      <c r="J19" s="24">
        <f t="shared" si="0"/>
        <v>46040</v>
      </c>
    </row>
    <row r="20" spans="1:10" ht="15.75">
      <c r="A20" s="23">
        <v>42814</v>
      </c>
      <c r="B20" s="6">
        <v>3</v>
      </c>
      <c r="C20" s="12"/>
      <c r="D20" s="1" t="s">
        <v>1973</v>
      </c>
      <c r="E20" s="692">
        <v>190</v>
      </c>
      <c r="F20" s="12"/>
      <c r="G20" s="42"/>
      <c r="H20" s="706">
        <v>650</v>
      </c>
      <c r="I20" s="706"/>
      <c r="J20" s="24">
        <f t="shared" si="0"/>
        <v>46690</v>
      </c>
    </row>
    <row r="21" spans="1:10" ht="15.75">
      <c r="A21" s="23">
        <v>42820</v>
      </c>
      <c r="B21" s="6">
        <v>3</v>
      </c>
      <c r="C21" s="12"/>
      <c r="D21" s="1" t="s">
        <v>1958</v>
      </c>
      <c r="E21" s="692">
        <v>181</v>
      </c>
      <c r="F21" s="12"/>
      <c r="G21" s="42"/>
      <c r="H21" s="706"/>
      <c r="I21" s="706">
        <v>5200</v>
      </c>
      <c r="J21" s="24">
        <f t="shared" si="0"/>
        <v>41490</v>
      </c>
    </row>
    <row r="22" spans="1:10" ht="15.75">
      <c r="A22" s="23">
        <v>42825</v>
      </c>
      <c r="B22" s="6">
        <v>3</v>
      </c>
      <c r="C22" s="12"/>
      <c r="D22" s="1" t="s">
        <v>1974</v>
      </c>
      <c r="E22" s="692">
        <v>207</v>
      </c>
      <c r="F22" s="12"/>
      <c r="G22" s="42"/>
      <c r="H22" s="706">
        <v>10400</v>
      </c>
      <c r="I22" s="706"/>
      <c r="J22" s="24">
        <f t="shared" si="0"/>
        <v>51890</v>
      </c>
    </row>
    <row r="23" spans="1:10" ht="15.75">
      <c r="A23" s="23">
        <v>42825</v>
      </c>
      <c r="B23" s="6">
        <v>3</v>
      </c>
      <c r="C23" s="12"/>
      <c r="D23" s="1" t="s">
        <v>1975</v>
      </c>
      <c r="E23" s="692">
        <v>208</v>
      </c>
      <c r="F23" s="12"/>
      <c r="G23" s="42"/>
      <c r="H23" s="706">
        <v>6000</v>
      </c>
      <c r="I23" s="706"/>
      <c r="J23" s="24">
        <f t="shared" si="0"/>
        <v>57890</v>
      </c>
    </row>
    <row r="24" spans="1:10" ht="15.75">
      <c r="A24" s="23">
        <v>42794</v>
      </c>
      <c r="B24" s="6">
        <v>2</v>
      </c>
      <c r="C24" s="12"/>
      <c r="D24" s="1" t="s">
        <v>1976</v>
      </c>
      <c r="E24" s="692">
        <v>209</v>
      </c>
      <c r="F24" s="12"/>
      <c r="G24" s="42"/>
      <c r="H24" s="706">
        <v>40000</v>
      </c>
      <c r="I24" s="706"/>
      <c r="J24" s="24">
        <f t="shared" si="0"/>
        <v>97890</v>
      </c>
    </row>
    <row r="25" spans="1:10" ht="15.75">
      <c r="A25" s="23">
        <v>42848</v>
      </c>
      <c r="B25" s="6">
        <v>4</v>
      </c>
      <c r="C25" s="12"/>
      <c r="D25" s="1" t="s">
        <v>1957</v>
      </c>
      <c r="E25" s="692"/>
      <c r="F25" s="12"/>
      <c r="G25" s="42"/>
      <c r="H25" s="706"/>
      <c r="I25" s="706">
        <v>51350</v>
      </c>
      <c r="J25" s="24">
        <f t="shared" si="0"/>
        <v>46540</v>
      </c>
    </row>
    <row r="26" spans="1:10" ht="15.75">
      <c r="A26" s="23">
        <v>42855</v>
      </c>
      <c r="B26" s="6">
        <v>4</v>
      </c>
      <c r="C26" s="12"/>
      <c r="D26" s="1" t="s">
        <v>1964</v>
      </c>
      <c r="E26" s="692">
        <v>250</v>
      </c>
      <c r="F26" s="12"/>
      <c r="G26" s="42"/>
      <c r="H26" s="706">
        <v>44400</v>
      </c>
      <c r="I26" s="706"/>
      <c r="J26" s="24">
        <f t="shared" si="0"/>
        <v>90940</v>
      </c>
    </row>
    <row r="27" spans="1:10" ht="15.75">
      <c r="A27" s="23">
        <v>42855</v>
      </c>
      <c r="B27" s="6">
        <v>4</v>
      </c>
      <c r="C27" s="12"/>
      <c r="D27" s="1" t="s">
        <v>1963</v>
      </c>
      <c r="E27" s="692">
        <v>251</v>
      </c>
      <c r="F27" s="12"/>
      <c r="G27" s="42"/>
      <c r="H27" s="706">
        <v>15200</v>
      </c>
      <c r="I27" s="706"/>
      <c r="J27" s="24">
        <f t="shared" si="0"/>
        <v>106140</v>
      </c>
    </row>
    <row r="28" spans="1:10" ht="15.75">
      <c r="A28" s="23">
        <v>42855</v>
      </c>
      <c r="B28" s="6">
        <v>4</v>
      </c>
      <c r="C28" s="12"/>
      <c r="D28" s="1" t="s">
        <v>1962</v>
      </c>
      <c r="E28" s="692">
        <v>252</v>
      </c>
      <c r="F28" s="12"/>
      <c r="G28" s="42"/>
      <c r="H28" s="706">
        <v>6000</v>
      </c>
      <c r="I28" s="706"/>
      <c r="J28" s="38">
        <f t="shared" si="0"/>
        <v>112140</v>
      </c>
    </row>
    <row r="29" spans="1:10" ht="15.75">
      <c r="A29" s="23">
        <v>42855</v>
      </c>
      <c r="B29" s="6">
        <v>4</v>
      </c>
      <c r="C29" s="12"/>
      <c r="D29" s="1" t="s">
        <v>1961</v>
      </c>
      <c r="E29" s="692">
        <v>253</v>
      </c>
      <c r="F29" s="12"/>
      <c r="G29" s="42"/>
      <c r="H29" s="706">
        <v>3150</v>
      </c>
      <c r="I29" s="706"/>
      <c r="J29" s="24">
        <f t="shared" si="0"/>
        <v>115290</v>
      </c>
    </row>
    <row r="30" spans="1:10" ht="15.75">
      <c r="A30" s="23">
        <v>42864</v>
      </c>
      <c r="B30" s="6">
        <v>5</v>
      </c>
      <c r="C30" s="12"/>
      <c r="D30" s="1" t="s">
        <v>1957</v>
      </c>
      <c r="E30" s="692">
        <v>207</v>
      </c>
      <c r="F30" s="12"/>
      <c r="G30" s="42"/>
      <c r="H30" s="706"/>
      <c r="I30" s="706">
        <v>10400</v>
      </c>
      <c r="J30" s="38">
        <f t="shared" si="0"/>
        <v>104890</v>
      </c>
    </row>
    <row r="31" spans="1:10" ht="15.75">
      <c r="A31" s="23">
        <v>42886</v>
      </c>
      <c r="B31" s="6">
        <v>5</v>
      </c>
      <c r="C31" s="12"/>
      <c r="D31" s="1" t="s">
        <v>1960</v>
      </c>
      <c r="E31" s="692">
        <v>263</v>
      </c>
      <c r="F31" s="12"/>
      <c r="G31" s="42"/>
      <c r="H31" s="706">
        <v>1800</v>
      </c>
      <c r="I31" s="706"/>
      <c r="J31" s="24">
        <f t="shared" si="0"/>
        <v>106690</v>
      </c>
    </row>
    <row r="32" spans="1:10" ht="15.75">
      <c r="A32" s="23">
        <v>42886</v>
      </c>
      <c r="B32" s="6">
        <v>5</v>
      </c>
      <c r="C32" s="12"/>
      <c r="D32" s="1" t="s">
        <v>1959</v>
      </c>
      <c r="E32" s="692">
        <v>264</v>
      </c>
      <c r="F32" s="12"/>
      <c r="G32" s="50"/>
      <c r="H32" s="707">
        <v>45600</v>
      </c>
      <c r="I32" s="707"/>
      <c r="J32" s="52">
        <f>J31+H32-I32</f>
        <v>152290</v>
      </c>
    </row>
    <row r="33" spans="1:10" ht="15.75">
      <c r="A33" s="23">
        <v>42886</v>
      </c>
      <c r="B33" s="6">
        <v>5</v>
      </c>
      <c r="C33" s="12"/>
      <c r="D33" s="1" t="s">
        <v>1977</v>
      </c>
      <c r="E33" s="692">
        <v>265</v>
      </c>
      <c r="F33" s="12"/>
      <c r="G33" s="42"/>
      <c r="H33" s="706">
        <v>10400</v>
      </c>
      <c r="I33" s="706"/>
      <c r="J33" s="52">
        <f>J32+H33-I33</f>
        <v>162690</v>
      </c>
    </row>
    <row r="34" spans="1:10" ht="15.75">
      <c r="A34" s="23">
        <v>42886</v>
      </c>
      <c r="B34" s="6">
        <v>5</v>
      </c>
      <c r="C34" s="12"/>
      <c r="D34" s="1" t="s">
        <v>1978</v>
      </c>
      <c r="E34" s="692">
        <v>266</v>
      </c>
      <c r="F34" s="12"/>
      <c r="G34" s="42"/>
      <c r="H34" s="706">
        <v>6400</v>
      </c>
      <c r="I34" s="706"/>
      <c r="J34" s="24">
        <f t="shared" si="0"/>
        <v>169090</v>
      </c>
    </row>
    <row r="35" spans="1:10" ht="15.75">
      <c r="A35" s="23">
        <v>42899</v>
      </c>
      <c r="B35" s="6">
        <v>6</v>
      </c>
      <c r="C35" s="12"/>
      <c r="D35" s="1" t="s">
        <v>1957</v>
      </c>
      <c r="E35" s="692">
        <v>265</v>
      </c>
      <c r="F35" s="12"/>
      <c r="G35" s="42"/>
      <c r="H35" s="706"/>
      <c r="I35" s="706">
        <v>10400</v>
      </c>
      <c r="J35" s="24">
        <f t="shared" si="0"/>
        <v>158690</v>
      </c>
    </row>
    <row r="36" spans="1:10" ht="15.75">
      <c r="A36" s="46">
        <v>42916</v>
      </c>
      <c r="B36" s="47">
        <v>6</v>
      </c>
      <c r="C36" s="48"/>
      <c r="D36" s="1" t="s">
        <v>1979</v>
      </c>
      <c r="E36" s="692">
        <v>299</v>
      </c>
      <c r="F36" s="12"/>
      <c r="G36" s="50"/>
      <c r="H36" s="706">
        <v>6000</v>
      </c>
      <c r="I36" s="707"/>
      <c r="J36" s="24">
        <f t="shared" si="0"/>
        <v>164690</v>
      </c>
    </row>
    <row r="37" spans="1:10" ht="15.75">
      <c r="A37" s="46">
        <v>42916</v>
      </c>
      <c r="B37" s="47">
        <v>6</v>
      </c>
      <c r="C37" s="12"/>
      <c r="D37" s="1" t="s">
        <v>1980</v>
      </c>
      <c r="E37" s="692">
        <v>300</v>
      </c>
      <c r="F37" s="12"/>
      <c r="G37" s="42"/>
      <c r="H37" s="706">
        <v>10800</v>
      </c>
      <c r="I37" s="706"/>
      <c r="J37" s="24">
        <f t="shared" si="0"/>
        <v>175490</v>
      </c>
    </row>
    <row r="38" spans="1:10" ht="15.75">
      <c r="A38" s="46">
        <v>42916</v>
      </c>
      <c r="B38" s="47">
        <v>6</v>
      </c>
      <c r="C38" s="12"/>
      <c r="D38" s="1" t="s">
        <v>1981</v>
      </c>
      <c r="E38" s="692">
        <v>301</v>
      </c>
      <c r="F38" s="12"/>
      <c r="G38" s="42"/>
      <c r="H38" s="706">
        <v>39200</v>
      </c>
      <c r="I38" s="706"/>
      <c r="J38" s="24">
        <f t="shared" si="0"/>
        <v>214690</v>
      </c>
    </row>
    <row r="39" spans="1:10" ht="15.75">
      <c r="A39" s="23">
        <v>42919</v>
      </c>
      <c r="B39" s="6">
        <v>7</v>
      </c>
      <c r="C39" s="12"/>
      <c r="D39" s="1" t="s">
        <v>1957</v>
      </c>
      <c r="E39" s="692"/>
      <c r="F39" s="12"/>
      <c r="G39" s="42"/>
      <c r="H39" s="706"/>
      <c r="I39" s="706">
        <v>110050</v>
      </c>
      <c r="J39" s="24">
        <f t="shared" si="0"/>
        <v>104640</v>
      </c>
    </row>
    <row r="40" spans="1:10" ht="15.75">
      <c r="A40" s="23">
        <v>42946</v>
      </c>
      <c r="B40" s="6">
        <v>7</v>
      </c>
      <c r="C40" s="12"/>
      <c r="D40" s="1" t="s">
        <v>1982</v>
      </c>
      <c r="E40" s="692">
        <v>324</v>
      </c>
      <c r="F40" s="12"/>
      <c r="G40" s="42"/>
      <c r="H40" s="706">
        <v>6000</v>
      </c>
      <c r="I40" s="706"/>
      <c r="J40" s="24">
        <f t="shared" si="0"/>
        <v>110640</v>
      </c>
    </row>
    <row r="41" spans="1:10" ht="15.75">
      <c r="A41" s="23">
        <v>42946</v>
      </c>
      <c r="B41" s="6">
        <v>7</v>
      </c>
      <c r="C41" s="12"/>
      <c r="D41" s="1" t="s">
        <v>1983</v>
      </c>
      <c r="E41" s="692">
        <v>325</v>
      </c>
      <c r="F41" s="12"/>
      <c r="G41" s="42"/>
      <c r="H41" s="706">
        <v>7600</v>
      </c>
      <c r="I41" s="706"/>
      <c r="J41" s="24">
        <f t="shared" si="0"/>
        <v>118240</v>
      </c>
    </row>
    <row r="42" spans="1:10" ht="15.75">
      <c r="A42" s="23">
        <v>42946</v>
      </c>
      <c r="B42" s="6">
        <v>7</v>
      </c>
      <c r="C42" s="12"/>
      <c r="D42" s="1" t="s">
        <v>1984</v>
      </c>
      <c r="E42" s="692">
        <v>326</v>
      </c>
      <c r="F42" s="12"/>
      <c r="G42" s="42"/>
      <c r="H42" s="706">
        <v>38000</v>
      </c>
      <c r="I42" s="706"/>
      <c r="J42" s="24">
        <f t="shared" si="0"/>
        <v>156240</v>
      </c>
    </row>
    <row r="43" spans="1:10" ht="15.75">
      <c r="A43" s="23">
        <v>42958</v>
      </c>
      <c r="B43" s="6">
        <v>8</v>
      </c>
      <c r="C43" s="12"/>
      <c r="D43" s="1" t="s">
        <v>1985</v>
      </c>
      <c r="E43" s="692">
        <v>336</v>
      </c>
      <c r="F43" s="12"/>
      <c r="G43" s="42"/>
      <c r="H43" s="706">
        <v>4200</v>
      </c>
      <c r="I43" s="706"/>
      <c r="J43" s="24">
        <f t="shared" si="0"/>
        <v>160440</v>
      </c>
    </row>
    <row r="44" spans="1:10" ht="15.75">
      <c r="A44" s="23">
        <v>42978</v>
      </c>
      <c r="B44" s="6">
        <v>8</v>
      </c>
      <c r="C44" s="12"/>
      <c r="D44" s="1" t="s">
        <v>1986</v>
      </c>
      <c r="E44" s="692">
        <v>354</v>
      </c>
      <c r="F44" s="12"/>
      <c r="G44" s="42"/>
      <c r="H44" s="706">
        <v>6400</v>
      </c>
      <c r="I44" s="706"/>
      <c r="J44" s="24">
        <f t="shared" si="0"/>
        <v>166840</v>
      </c>
    </row>
    <row r="45" spans="1:10" ht="15.75">
      <c r="A45" s="23">
        <v>42978</v>
      </c>
      <c r="B45" s="6">
        <v>8</v>
      </c>
      <c r="C45" s="12"/>
      <c r="D45" s="1" t="s">
        <v>1987</v>
      </c>
      <c r="E45" s="692">
        <v>355</v>
      </c>
      <c r="F45" s="12"/>
      <c r="G45" s="42"/>
      <c r="H45" s="706">
        <v>5600</v>
      </c>
      <c r="I45" s="706"/>
      <c r="J45" s="24">
        <f t="shared" si="0"/>
        <v>172440</v>
      </c>
    </row>
    <row r="46" spans="1:10" ht="15.75">
      <c r="A46" s="23">
        <v>42978</v>
      </c>
      <c r="B46" s="6">
        <v>8</v>
      </c>
      <c r="C46" s="12"/>
      <c r="D46" s="1" t="s">
        <v>1988</v>
      </c>
      <c r="E46" s="692">
        <v>356</v>
      </c>
      <c r="F46" s="12"/>
      <c r="G46" s="42"/>
      <c r="H46" s="706">
        <v>38000</v>
      </c>
      <c r="I46" s="706"/>
      <c r="J46" s="24">
        <f t="shared" si="0"/>
        <v>210440</v>
      </c>
    </row>
    <row r="47" spans="1:10" ht="15.75">
      <c r="A47" s="23">
        <v>42989</v>
      </c>
      <c r="B47" s="6">
        <v>9</v>
      </c>
      <c r="C47" s="12"/>
      <c r="D47" s="1" t="s">
        <v>1989</v>
      </c>
      <c r="E47" s="692">
        <v>357</v>
      </c>
      <c r="F47" s="12"/>
      <c r="G47" s="42"/>
      <c r="H47" s="706">
        <v>4200</v>
      </c>
      <c r="I47" s="706"/>
      <c r="J47" s="24">
        <f t="shared" si="0"/>
        <v>214640</v>
      </c>
    </row>
    <row r="48" spans="1:10" ht="15.75">
      <c r="A48" s="23">
        <v>42998</v>
      </c>
      <c r="B48" s="6">
        <v>9</v>
      </c>
      <c r="C48" s="12"/>
      <c r="D48" s="1" t="s">
        <v>1957</v>
      </c>
      <c r="E48" s="692"/>
      <c r="F48" s="12"/>
      <c r="G48" s="42"/>
      <c r="H48" s="706"/>
      <c r="I48" s="706">
        <v>55800</v>
      </c>
      <c r="J48" s="24">
        <f t="shared" si="0"/>
        <v>158840</v>
      </c>
    </row>
    <row r="49" spans="1:10" ht="15.75">
      <c r="A49" s="23">
        <v>43008</v>
      </c>
      <c r="B49" s="6">
        <v>9</v>
      </c>
      <c r="C49" s="12"/>
      <c r="D49" s="1" t="s">
        <v>1990</v>
      </c>
      <c r="E49" s="692">
        <v>391</v>
      </c>
      <c r="F49" s="12"/>
      <c r="G49" s="42"/>
      <c r="H49" s="706">
        <v>5600</v>
      </c>
      <c r="I49" s="706"/>
      <c r="J49" s="24">
        <f t="shared" si="0"/>
        <v>164440</v>
      </c>
    </row>
    <row r="50" spans="1:10" ht="15.75">
      <c r="A50" s="23">
        <v>43008</v>
      </c>
      <c r="B50" s="6">
        <v>9</v>
      </c>
      <c r="C50" s="12"/>
      <c r="D50" s="1" t="s">
        <v>1991</v>
      </c>
      <c r="E50" s="692">
        <v>392</v>
      </c>
      <c r="F50" s="12"/>
      <c r="G50" s="42"/>
      <c r="H50" s="706">
        <v>6400</v>
      </c>
      <c r="I50" s="706"/>
      <c r="J50" s="24">
        <f t="shared" si="0"/>
        <v>170840</v>
      </c>
    </row>
    <row r="51" spans="1:10" ht="15.75">
      <c r="A51" s="23">
        <v>43008</v>
      </c>
      <c r="B51" s="6">
        <v>9</v>
      </c>
      <c r="C51" s="12"/>
      <c r="D51" s="1" t="s">
        <v>1993</v>
      </c>
      <c r="E51" s="692">
        <v>393</v>
      </c>
      <c r="F51" s="12"/>
      <c r="G51" s="42"/>
      <c r="H51" s="706">
        <v>37200</v>
      </c>
      <c r="I51" s="706"/>
      <c r="J51" s="24">
        <f t="shared" si="0"/>
        <v>208040</v>
      </c>
    </row>
    <row r="52" spans="1:10" ht="15.75">
      <c r="A52" s="23">
        <v>43008</v>
      </c>
      <c r="B52" s="6">
        <v>9</v>
      </c>
      <c r="C52" s="12"/>
      <c r="D52" s="1" t="s">
        <v>1992</v>
      </c>
      <c r="E52" s="692">
        <v>394</v>
      </c>
      <c r="F52" s="12"/>
      <c r="G52" s="42"/>
      <c r="H52" s="706">
        <v>7000</v>
      </c>
      <c r="I52" s="706"/>
      <c r="J52" s="24">
        <f t="shared" si="0"/>
        <v>215040</v>
      </c>
    </row>
    <row r="53" spans="1:10" ht="15.75">
      <c r="A53" s="23">
        <v>43023</v>
      </c>
      <c r="B53" s="6">
        <v>10</v>
      </c>
      <c r="C53" s="12"/>
      <c r="D53" s="1" t="s">
        <v>1994</v>
      </c>
      <c r="E53" s="692">
        <v>409</v>
      </c>
      <c r="F53" s="12"/>
      <c r="G53" s="42"/>
      <c r="H53" s="706">
        <v>800</v>
      </c>
      <c r="I53" s="706"/>
      <c r="J53" s="24">
        <f t="shared" si="0"/>
        <v>215840</v>
      </c>
    </row>
    <row r="54" spans="1:10" ht="15.75">
      <c r="A54" s="23">
        <v>43038</v>
      </c>
      <c r="B54" s="6">
        <v>10</v>
      </c>
      <c r="C54" s="12"/>
      <c r="D54" s="1" t="s">
        <v>2049</v>
      </c>
      <c r="E54" s="692">
        <v>410</v>
      </c>
      <c r="F54" s="12"/>
      <c r="G54" s="42"/>
      <c r="H54" s="706">
        <v>6400</v>
      </c>
      <c r="I54" s="706"/>
      <c r="J54" s="24">
        <f t="shared" ref="J54:J59" si="1">J53+H54-I54</f>
        <v>222240</v>
      </c>
    </row>
    <row r="55" spans="1:10" ht="15.75">
      <c r="A55" s="23">
        <v>43038</v>
      </c>
      <c r="B55" s="6">
        <v>10</v>
      </c>
      <c r="C55" s="12"/>
      <c r="D55" s="1" t="s">
        <v>2050</v>
      </c>
      <c r="E55" s="692">
        <v>411</v>
      </c>
      <c r="F55" s="12"/>
      <c r="G55" s="42"/>
      <c r="H55" s="706">
        <v>6400</v>
      </c>
      <c r="I55" s="706"/>
      <c r="J55" s="24">
        <f t="shared" si="1"/>
        <v>228640</v>
      </c>
    </row>
    <row r="56" spans="1:10" ht="15.75">
      <c r="A56" s="23">
        <v>43038</v>
      </c>
      <c r="B56" s="6">
        <v>10</v>
      </c>
      <c r="C56" s="12"/>
      <c r="D56" s="1" t="s">
        <v>2051</v>
      </c>
      <c r="E56" s="692">
        <v>412</v>
      </c>
      <c r="F56" s="12"/>
      <c r="G56" s="42"/>
      <c r="H56" s="706">
        <v>38000</v>
      </c>
      <c r="I56" s="706"/>
      <c r="J56" s="24">
        <f t="shared" si="1"/>
        <v>266640</v>
      </c>
    </row>
    <row r="57" spans="1:10" ht="15.75">
      <c r="A57" s="23">
        <v>43058</v>
      </c>
      <c r="B57" s="6">
        <v>11</v>
      </c>
      <c r="C57" s="12"/>
      <c r="D57" s="1" t="s">
        <v>1957</v>
      </c>
      <c r="E57" s="692"/>
      <c r="F57" s="12"/>
      <c r="G57" s="42"/>
      <c r="H57" s="706"/>
      <c r="I57" s="706">
        <v>6400</v>
      </c>
      <c r="J57" s="24">
        <f t="shared" si="1"/>
        <v>260240</v>
      </c>
    </row>
    <row r="58" spans="1:10" ht="15.75">
      <c r="A58" s="23">
        <v>43065</v>
      </c>
      <c r="B58" s="6">
        <v>11</v>
      </c>
      <c r="C58" s="12"/>
      <c r="D58" s="1" t="s">
        <v>1957</v>
      </c>
      <c r="E58" s="692"/>
      <c r="F58" s="12"/>
      <c r="G58" s="42"/>
      <c r="H58" s="706"/>
      <c r="I58" s="706">
        <v>44400</v>
      </c>
      <c r="J58" s="24">
        <f t="shared" si="1"/>
        <v>215840</v>
      </c>
    </row>
    <row r="59" spans="1:10" ht="15.75">
      <c r="A59" s="23">
        <v>43069</v>
      </c>
      <c r="B59" s="6">
        <v>11</v>
      </c>
      <c r="C59" s="12"/>
      <c r="D59" s="1" t="s">
        <v>1995</v>
      </c>
      <c r="E59" s="692">
        <v>416</v>
      </c>
      <c r="F59" s="12"/>
      <c r="G59" s="42"/>
      <c r="H59" s="706">
        <v>40400</v>
      </c>
      <c r="I59" s="706"/>
      <c r="J59" s="24">
        <f t="shared" si="1"/>
        <v>256240</v>
      </c>
    </row>
    <row r="60" spans="1:10" ht="15.75">
      <c r="A60" s="23">
        <v>43069</v>
      </c>
      <c r="B60" s="6">
        <v>11</v>
      </c>
      <c r="C60" s="12"/>
      <c r="D60" s="1" t="s">
        <v>1996</v>
      </c>
      <c r="E60" s="692">
        <v>417</v>
      </c>
      <c r="F60" s="12"/>
      <c r="G60" s="42"/>
      <c r="H60" s="706">
        <v>8000</v>
      </c>
      <c r="I60" s="706"/>
      <c r="J60" s="24">
        <f t="shared" si="0"/>
        <v>264240</v>
      </c>
    </row>
    <row r="61" spans="1:10" ht="15.75">
      <c r="A61" s="23">
        <v>43069</v>
      </c>
      <c r="B61" s="6">
        <v>11</v>
      </c>
      <c r="C61" s="12"/>
      <c r="D61" s="1" t="s">
        <v>1997</v>
      </c>
      <c r="E61" s="692">
        <v>418</v>
      </c>
      <c r="F61" s="12"/>
      <c r="G61" s="42"/>
      <c r="H61" s="706">
        <v>7600</v>
      </c>
      <c r="I61" s="706"/>
      <c r="J61" s="24">
        <f t="shared" si="0"/>
        <v>271840</v>
      </c>
    </row>
    <row r="62" spans="1:10" ht="15.75">
      <c r="A62" s="23">
        <v>43100</v>
      </c>
      <c r="B62" s="36">
        <v>12</v>
      </c>
      <c r="C62" s="12"/>
      <c r="D62" s="1" t="s">
        <v>2001</v>
      </c>
      <c r="E62" s="692">
        <v>479</v>
      </c>
      <c r="F62" s="12"/>
      <c r="G62" s="42"/>
      <c r="H62" s="706">
        <v>8400</v>
      </c>
      <c r="I62" s="706"/>
      <c r="J62" s="38">
        <f>J61+H62-I62</f>
        <v>280240</v>
      </c>
    </row>
    <row r="63" spans="1:10" ht="15.75">
      <c r="A63" s="23">
        <v>43100</v>
      </c>
      <c r="B63" s="6">
        <v>12</v>
      </c>
      <c r="C63" s="12"/>
      <c r="D63" s="1" t="s">
        <v>1998</v>
      </c>
      <c r="E63" s="692">
        <v>480</v>
      </c>
      <c r="F63" s="12"/>
      <c r="G63" s="42"/>
      <c r="H63" s="706">
        <v>13300</v>
      </c>
      <c r="I63" s="706"/>
      <c r="J63" s="38">
        <f>J62+H63-I63</f>
        <v>293540</v>
      </c>
    </row>
    <row r="64" spans="1:10" ht="15.75">
      <c r="A64" s="23">
        <v>43100</v>
      </c>
      <c r="B64" s="6">
        <v>12</v>
      </c>
      <c r="C64" s="12"/>
      <c r="D64" s="1" t="s">
        <v>1999</v>
      </c>
      <c r="E64" s="692">
        <v>481</v>
      </c>
      <c r="F64" s="12"/>
      <c r="G64" s="42"/>
      <c r="H64" s="706">
        <v>8400</v>
      </c>
      <c r="I64" s="706"/>
      <c r="J64" s="24">
        <f t="shared" si="0"/>
        <v>301940</v>
      </c>
    </row>
    <row r="65" spans="1:10" ht="15.75">
      <c r="A65" s="23">
        <v>43100</v>
      </c>
      <c r="B65" s="6">
        <v>12</v>
      </c>
      <c r="C65" s="12"/>
      <c r="D65" s="1" t="s">
        <v>2000</v>
      </c>
      <c r="E65" s="692">
        <v>482</v>
      </c>
      <c r="F65" s="12"/>
      <c r="G65" s="42"/>
      <c r="H65" s="706">
        <v>43600</v>
      </c>
      <c r="I65" s="706"/>
      <c r="J65" s="24">
        <f t="shared" si="0"/>
        <v>345540</v>
      </c>
    </row>
    <row r="66" spans="1:10" ht="15.75">
      <c r="A66" s="694"/>
      <c r="B66" s="36"/>
      <c r="C66" s="12"/>
      <c r="D66" s="695"/>
      <c r="E66" s="692"/>
      <c r="F66" s="12"/>
      <c r="G66" s="42"/>
      <c r="H66" s="706"/>
      <c r="I66" s="706"/>
      <c r="J66" s="24">
        <f t="shared" si="0"/>
        <v>345540</v>
      </c>
    </row>
    <row r="67" spans="1:10" ht="15.75">
      <c r="A67" s="694"/>
      <c r="B67" s="36"/>
      <c r="C67" s="12"/>
      <c r="D67" s="695"/>
      <c r="E67" s="692"/>
      <c r="F67" s="12"/>
      <c r="G67" s="42"/>
      <c r="H67" s="706"/>
      <c r="I67" s="706"/>
      <c r="J67" s="24">
        <f t="shared" si="0"/>
        <v>345540</v>
      </c>
    </row>
    <row r="68" spans="1:10" ht="9" customHeight="1">
      <c r="A68" s="23"/>
      <c r="B68" s="6"/>
      <c r="C68" s="12"/>
      <c r="D68" s="1"/>
      <c r="E68" s="692"/>
      <c r="F68" s="12"/>
      <c r="G68" s="42"/>
      <c r="H68" s="706"/>
      <c r="I68" s="706"/>
      <c r="J68" s="24">
        <f t="shared" si="0"/>
        <v>345540</v>
      </c>
    </row>
    <row r="69" spans="1:10" ht="16.5" thickBot="1">
      <c r="A69" s="699"/>
      <c r="B69" s="700"/>
      <c r="C69" s="701"/>
      <c r="D69" s="702"/>
      <c r="E69" s="703"/>
      <c r="F69" s="701"/>
      <c r="G69" s="701"/>
      <c r="H69" s="704"/>
      <c r="I69" s="704"/>
      <c r="J69" s="705"/>
    </row>
    <row r="70" spans="1:10" ht="24.75" thickTop="1" thickBot="1">
      <c r="A70" s="733" t="s">
        <v>36</v>
      </c>
      <c r="B70" s="734"/>
      <c r="C70" s="734"/>
      <c r="D70" s="734"/>
      <c r="E70" s="734"/>
      <c r="F70" s="735"/>
      <c r="G70" s="696"/>
      <c r="H70" s="697">
        <f>SUBTOTAL(9,H6:H68)</f>
        <v>850200</v>
      </c>
      <c r="I70" s="697">
        <f>SUBTOTAL(9,I6:I68)</f>
        <v>504660</v>
      </c>
      <c r="J70" s="698"/>
    </row>
    <row r="71" spans="1:10" ht="22.5" thickTop="1" thickBot="1">
      <c r="A71" s="736" t="s">
        <v>37</v>
      </c>
      <c r="B71" s="736"/>
      <c r="C71" s="736"/>
      <c r="D71" s="736"/>
      <c r="E71" s="736"/>
      <c r="F71" s="736"/>
      <c r="G71" s="682"/>
      <c r="H71" s="39">
        <f>IF(H70&gt;I70,H70-I70,0)</f>
        <v>345540</v>
      </c>
      <c r="I71" s="40">
        <f>IF(I70&gt;H70,I70-H70,0)</f>
        <v>0</v>
      </c>
      <c r="J71" s="40"/>
    </row>
    <row r="72" spans="1:10" ht="24" thickTop="1">
      <c r="A72" s="5"/>
      <c r="I72" s="683"/>
      <c r="J72" s="683"/>
    </row>
    <row r="73" spans="1:10" ht="23.25">
      <c r="A73" s="737" t="s">
        <v>38</v>
      </c>
      <c r="B73" s="737"/>
      <c r="C73" s="737"/>
      <c r="D73" s="4" t="s">
        <v>39</v>
      </c>
      <c r="E73" s="738" t="s">
        <v>40</v>
      </c>
      <c r="F73" s="738"/>
      <c r="G73" s="738"/>
      <c r="H73" s="738"/>
      <c r="I73" s="738"/>
      <c r="J73" s="738"/>
    </row>
    <row r="74" spans="1:10" ht="15.75">
      <c r="C74" s="13"/>
      <c r="F74" s="15"/>
      <c r="G74" s="15"/>
    </row>
  </sheetData>
  <mergeCells count="5">
    <mergeCell ref="A1:J4"/>
    <mergeCell ref="A70:F70"/>
    <mergeCell ref="A71:F71"/>
    <mergeCell ref="A73:C73"/>
    <mergeCell ref="E73:J73"/>
  </mergeCells>
  <printOptions horizontalCentered="1"/>
  <pageMargins left="0" right="0" top="0.35433070866141736" bottom="0.74803149606299213" header="0.31496062992125984" footer="0.31496062992125984"/>
  <pageSetup paperSize="9" scale="64" orientation="landscape" r:id="rId1"/>
  <headerFooter>
    <oddFooter>&amp;L
&amp;"-,Bold Italic"&amp;14محمد أحمد مهدي&amp;C
&amp;"-,Bold Italic"&amp;14صفحة رقم &amp;P من &amp;N&amp;R&amp;"-,Bold Italic"&amp;14كشف حساب من 01-01-2017 حتى 31-12-2017 م</oddFooter>
  </headerFooter>
  <ignoredErrors>
    <ignoredError sqref="J6" calculatedColumn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0"/>
  <dimension ref="A1:J1503"/>
  <sheetViews>
    <sheetView showGridLines="0" rightToLeft="1" view="pageBreakPreview" zoomScale="70" zoomScaleNormal="85" zoomScaleSheetLayoutView="70" workbookViewId="0">
      <selection activeCell="D8" sqref="D8:G8"/>
    </sheetView>
  </sheetViews>
  <sheetFormatPr defaultRowHeight="12.75"/>
  <cols>
    <col min="1" max="1" width="6.5703125" style="581" customWidth="1"/>
    <col min="2" max="2" width="20.7109375" style="581" bestFit="1" customWidth="1"/>
    <col min="3" max="3" width="20.5703125" style="581" bestFit="1" customWidth="1"/>
    <col min="4" max="4" width="4" style="581" customWidth="1"/>
    <col min="5" max="5" width="13.140625" style="581" bestFit="1" customWidth="1"/>
    <col min="6" max="6" width="7.140625" style="581" customWidth="1"/>
    <col min="7" max="7" width="44.42578125" style="581" customWidth="1"/>
    <col min="8" max="8" width="26.42578125" style="581" bestFit="1" customWidth="1"/>
    <col min="9" max="9" width="27.7109375" style="581" customWidth="1"/>
    <col min="10" max="10" width="21.7109375" style="581" customWidth="1"/>
    <col min="11" max="11" width="9.140625" style="581"/>
    <col min="12" max="12" width="21" style="581" customWidth="1"/>
    <col min="13" max="16384" width="9.140625" style="581"/>
  </cols>
  <sheetData>
    <row r="1" spans="1:10" s="582" customFormat="1" ht="54.75" customHeight="1">
      <c r="A1" s="729" t="s">
        <v>1614</v>
      </c>
      <c r="B1" s="730"/>
      <c r="C1" s="730"/>
      <c r="D1" s="730"/>
      <c r="E1" s="730"/>
      <c r="F1" s="730"/>
      <c r="G1" s="730"/>
      <c r="H1" s="730"/>
      <c r="I1" s="730"/>
      <c r="J1" s="730"/>
    </row>
    <row r="2" spans="1:10" s="582" customFormat="1" ht="54.75" customHeight="1">
      <c r="A2" s="730"/>
      <c r="B2" s="730"/>
      <c r="C2" s="730"/>
      <c r="D2" s="730"/>
      <c r="E2" s="730"/>
      <c r="F2" s="730"/>
      <c r="G2" s="730"/>
      <c r="H2" s="730"/>
      <c r="I2" s="730"/>
      <c r="J2" s="730"/>
    </row>
    <row r="3" spans="1:10" s="582" customFormat="1" ht="54.75" customHeight="1" thickBot="1">
      <c r="A3" s="731"/>
      <c r="B3" s="731"/>
      <c r="C3" s="731"/>
      <c r="D3" s="731"/>
      <c r="E3" s="731"/>
      <c r="F3" s="731"/>
      <c r="G3" s="731"/>
      <c r="H3" s="731"/>
      <c r="I3" s="731"/>
      <c r="J3" s="731"/>
    </row>
    <row r="4" spans="1:10" s="582" customFormat="1" ht="34.5" customHeight="1" thickBot="1">
      <c r="A4" s="583" t="s">
        <v>72</v>
      </c>
      <c r="B4" s="584" t="s">
        <v>1578</v>
      </c>
      <c r="C4" s="584" t="s">
        <v>153</v>
      </c>
      <c r="D4" s="741" t="s">
        <v>1650</v>
      </c>
      <c r="E4" s="741"/>
      <c r="F4" s="741"/>
      <c r="G4" s="741"/>
      <c r="H4" s="584" t="s">
        <v>1580</v>
      </c>
      <c r="I4" s="585" t="s">
        <v>1581</v>
      </c>
      <c r="J4" s="586" t="s">
        <v>160</v>
      </c>
    </row>
    <row r="5" spans="1:10" s="582" customFormat="1" ht="30.75" customHeight="1" thickTop="1">
      <c r="A5" s="587">
        <v>1</v>
      </c>
      <c r="B5" s="588" t="s">
        <v>1615</v>
      </c>
      <c r="C5" s="589" t="s">
        <v>1616</v>
      </c>
      <c r="D5" s="742" t="s">
        <v>1617</v>
      </c>
      <c r="E5" s="742"/>
      <c r="F5" s="742"/>
      <c r="G5" s="742"/>
      <c r="H5" s="590">
        <v>5000</v>
      </c>
      <c r="I5" s="591"/>
      <c r="J5" s="592">
        <f>H5</f>
        <v>5000</v>
      </c>
    </row>
    <row r="6" spans="1:10" s="582" customFormat="1" ht="30.75" customHeight="1">
      <c r="A6" s="593">
        <v>2</v>
      </c>
      <c r="B6" s="594" t="s">
        <v>1618</v>
      </c>
      <c r="C6" s="595" t="s">
        <v>1616</v>
      </c>
      <c r="D6" s="740" t="s">
        <v>1619</v>
      </c>
      <c r="E6" s="740"/>
      <c r="F6" s="740"/>
      <c r="G6" s="740"/>
      <c r="H6" s="596">
        <v>3000</v>
      </c>
      <c r="I6" s="597"/>
      <c r="J6" s="598">
        <f>J5+H6-I6</f>
        <v>8000</v>
      </c>
    </row>
    <row r="7" spans="1:10" s="582" customFormat="1" ht="30.75" customHeight="1">
      <c r="A7" s="593">
        <v>3</v>
      </c>
      <c r="B7" s="594" t="s">
        <v>1620</v>
      </c>
      <c r="C7" s="595" t="s">
        <v>1616</v>
      </c>
      <c r="D7" s="740" t="s">
        <v>1621</v>
      </c>
      <c r="E7" s="740"/>
      <c r="F7" s="740"/>
      <c r="G7" s="740"/>
      <c r="H7" s="596">
        <v>8000</v>
      </c>
      <c r="I7" s="597"/>
      <c r="J7" s="598">
        <f t="shared" ref="J7:J21" si="0">J6+H7-I7</f>
        <v>16000</v>
      </c>
    </row>
    <row r="8" spans="1:10" s="582" customFormat="1" ht="30.75" customHeight="1">
      <c r="A8" s="593">
        <v>4</v>
      </c>
      <c r="B8" s="594" t="s">
        <v>1622</v>
      </c>
      <c r="C8" s="595" t="s">
        <v>1623</v>
      </c>
      <c r="D8" s="740" t="s">
        <v>1621</v>
      </c>
      <c r="E8" s="740"/>
      <c r="F8" s="740"/>
      <c r="G8" s="740"/>
      <c r="H8" s="596">
        <v>10000</v>
      </c>
      <c r="I8" s="597"/>
      <c r="J8" s="598">
        <f t="shared" si="0"/>
        <v>26000</v>
      </c>
    </row>
    <row r="9" spans="1:10" s="582" customFormat="1" ht="30.75" customHeight="1">
      <c r="A9" s="593">
        <v>5</v>
      </c>
      <c r="B9" s="594" t="s">
        <v>1624</v>
      </c>
      <c r="C9" s="595" t="s">
        <v>1623</v>
      </c>
      <c r="D9" s="740" t="s">
        <v>1621</v>
      </c>
      <c r="E9" s="740"/>
      <c r="F9" s="740"/>
      <c r="G9" s="740"/>
      <c r="H9" s="596">
        <v>10000</v>
      </c>
      <c r="I9" s="597"/>
      <c r="J9" s="598">
        <f t="shared" si="0"/>
        <v>36000</v>
      </c>
    </row>
    <row r="10" spans="1:10" s="582" customFormat="1" ht="30.75" customHeight="1">
      <c r="A10" s="593">
        <v>6</v>
      </c>
      <c r="B10" s="594" t="s">
        <v>1625</v>
      </c>
      <c r="C10" s="595" t="s">
        <v>1626</v>
      </c>
      <c r="D10" s="740" t="s">
        <v>1621</v>
      </c>
      <c r="E10" s="740"/>
      <c r="F10" s="740"/>
      <c r="G10" s="740"/>
      <c r="H10" s="596">
        <v>8000</v>
      </c>
      <c r="I10" s="597"/>
      <c r="J10" s="598">
        <f t="shared" si="0"/>
        <v>44000</v>
      </c>
    </row>
    <row r="11" spans="1:10" s="582" customFormat="1" ht="30.75" customHeight="1">
      <c r="A11" s="593">
        <v>7</v>
      </c>
      <c r="B11" s="594" t="s">
        <v>1627</v>
      </c>
      <c r="C11" s="595" t="s">
        <v>1628</v>
      </c>
      <c r="D11" s="740" t="s">
        <v>1621</v>
      </c>
      <c r="E11" s="740"/>
      <c r="F11" s="740"/>
      <c r="G11" s="740"/>
      <c r="H11" s="596">
        <v>8000</v>
      </c>
      <c r="I11" s="597"/>
      <c r="J11" s="598">
        <f t="shared" si="0"/>
        <v>52000</v>
      </c>
    </row>
    <row r="12" spans="1:10" s="582" customFormat="1" ht="30.75" customHeight="1">
      <c r="A12" s="593">
        <v>8</v>
      </c>
      <c r="B12" s="594" t="s">
        <v>1629</v>
      </c>
      <c r="C12" s="595" t="s">
        <v>1630</v>
      </c>
      <c r="D12" s="740" t="s">
        <v>1621</v>
      </c>
      <c r="E12" s="740"/>
      <c r="F12" s="740"/>
      <c r="G12" s="740"/>
      <c r="H12" s="596">
        <v>5000</v>
      </c>
      <c r="I12" s="597"/>
      <c r="J12" s="598">
        <f t="shared" si="0"/>
        <v>57000</v>
      </c>
    </row>
    <row r="13" spans="1:10" s="582" customFormat="1" ht="30.75" customHeight="1">
      <c r="A13" s="593">
        <v>9</v>
      </c>
      <c r="B13" s="594" t="s">
        <v>1631</v>
      </c>
      <c r="C13" s="595" t="s">
        <v>1632</v>
      </c>
      <c r="D13" s="740" t="s">
        <v>1621</v>
      </c>
      <c r="E13" s="740"/>
      <c r="F13" s="740"/>
      <c r="G13" s="740"/>
      <c r="H13" s="596">
        <v>10000</v>
      </c>
      <c r="I13" s="597"/>
      <c r="J13" s="598">
        <f t="shared" si="0"/>
        <v>67000</v>
      </c>
    </row>
    <row r="14" spans="1:10" s="582" customFormat="1" ht="30.75" customHeight="1">
      <c r="A14" s="599">
        <v>10</v>
      </c>
      <c r="B14" s="600" t="s">
        <v>1633</v>
      </c>
      <c r="C14" s="601" t="s">
        <v>1634</v>
      </c>
      <c r="D14" s="740" t="s">
        <v>1621</v>
      </c>
      <c r="E14" s="740"/>
      <c r="F14" s="740"/>
      <c r="G14" s="740"/>
      <c r="H14" s="602">
        <v>10000</v>
      </c>
      <c r="I14" s="603"/>
      <c r="J14" s="598">
        <f t="shared" si="0"/>
        <v>77000</v>
      </c>
    </row>
    <row r="15" spans="1:10" s="582" customFormat="1" ht="30.75" customHeight="1">
      <c r="A15" s="599">
        <v>11</v>
      </c>
      <c r="B15" s="600" t="s">
        <v>1635</v>
      </c>
      <c r="C15" s="601" t="s">
        <v>1636</v>
      </c>
      <c r="D15" s="740" t="s">
        <v>1621</v>
      </c>
      <c r="E15" s="740"/>
      <c r="F15" s="740"/>
      <c r="G15" s="740"/>
      <c r="H15" s="602">
        <v>2000</v>
      </c>
      <c r="I15" s="603"/>
      <c r="J15" s="598">
        <f t="shared" si="0"/>
        <v>79000</v>
      </c>
    </row>
    <row r="16" spans="1:10" s="582" customFormat="1" ht="30.75" customHeight="1">
      <c r="A16" s="599">
        <v>12</v>
      </c>
      <c r="B16" s="600" t="s">
        <v>1637</v>
      </c>
      <c r="C16" s="601" t="s">
        <v>1638</v>
      </c>
      <c r="D16" s="740" t="s">
        <v>1621</v>
      </c>
      <c r="E16" s="740"/>
      <c r="F16" s="740"/>
      <c r="G16" s="740"/>
      <c r="H16" s="602">
        <v>8500</v>
      </c>
      <c r="I16" s="603"/>
      <c r="J16" s="598">
        <f t="shared" si="0"/>
        <v>87500</v>
      </c>
    </row>
    <row r="17" spans="1:10" s="582" customFormat="1" ht="30.75" customHeight="1">
      <c r="A17" s="599">
        <v>13</v>
      </c>
      <c r="B17" s="600" t="s">
        <v>1639</v>
      </c>
      <c r="C17" s="601" t="s">
        <v>1638</v>
      </c>
      <c r="D17" s="740" t="s">
        <v>1621</v>
      </c>
      <c r="E17" s="740"/>
      <c r="F17" s="740"/>
      <c r="G17" s="740"/>
      <c r="H17" s="602">
        <v>5000</v>
      </c>
      <c r="I17" s="603"/>
      <c r="J17" s="598">
        <f t="shared" si="0"/>
        <v>92500</v>
      </c>
    </row>
    <row r="18" spans="1:10" s="582" customFormat="1" ht="30.75" customHeight="1">
      <c r="A18" s="599">
        <v>14</v>
      </c>
      <c r="B18" s="600" t="s">
        <v>1640</v>
      </c>
      <c r="C18" s="601" t="s">
        <v>1641</v>
      </c>
      <c r="D18" s="740" t="s">
        <v>1642</v>
      </c>
      <c r="E18" s="740"/>
      <c r="F18" s="740"/>
      <c r="G18" s="740"/>
      <c r="H18" s="602"/>
      <c r="I18" s="603">
        <v>36068</v>
      </c>
      <c r="J18" s="598">
        <f t="shared" si="0"/>
        <v>56432</v>
      </c>
    </row>
    <row r="19" spans="1:10" s="582" customFormat="1" ht="30.75" customHeight="1">
      <c r="A19" s="599">
        <v>15</v>
      </c>
      <c r="B19" s="600" t="s">
        <v>1643</v>
      </c>
      <c r="C19" s="601" t="s">
        <v>1644</v>
      </c>
      <c r="D19" s="740" t="s">
        <v>1645</v>
      </c>
      <c r="E19" s="740"/>
      <c r="F19" s="740"/>
      <c r="G19" s="740"/>
      <c r="H19" s="602"/>
      <c r="I19" s="603">
        <v>26048</v>
      </c>
      <c r="J19" s="598">
        <f t="shared" si="0"/>
        <v>30384</v>
      </c>
    </row>
    <row r="20" spans="1:10" s="582" customFormat="1" ht="30.75" customHeight="1">
      <c r="A20" s="599">
        <v>16</v>
      </c>
      <c r="B20" s="600" t="s">
        <v>1646</v>
      </c>
      <c r="C20" s="601" t="s">
        <v>1647</v>
      </c>
      <c r="D20" s="740" t="s">
        <v>1648</v>
      </c>
      <c r="E20" s="740"/>
      <c r="F20" s="740"/>
      <c r="G20" s="740"/>
      <c r="H20" s="602"/>
      <c r="I20" s="603">
        <v>27745</v>
      </c>
      <c r="J20" s="598">
        <f t="shared" si="0"/>
        <v>2639</v>
      </c>
    </row>
    <row r="21" spans="1:10" s="582" customFormat="1" ht="30.75" customHeight="1" thickBot="1">
      <c r="A21" s="608">
        <v>17</v>
      </c>
      <c r="B21" s="609" t="s">
        <v>1649</v>
      </c>
      <c r="C21" s="610" t="s">
        <v>1601</v>
      </c>
      <c r="D21" s="739" t="s">
        <v>1621</v>
      </c>
      <c r="E21" s="739"/>
      <c r="F21" s="739"/>
      <c r="G21" s="739"/>
      <c r="H21" s="611">
        <v>4500</v>
      </c>
      <c r="I21" s="612"/>
      <c r="J21" s="613">
        <f t="shared" si="0"/>
        <v>7139</v>
      </c>
    </row>
    <row r="22" spans="1:10" s="582" customFormat="1" ht="24.95" customHeight="1" thickTop="1" thickBot="1">
      <c r="C22" s="604"/>
    </row>
    <row r="23" spans="1:10" s="582" customFormat="1" ht="42" customHeight="1" thickTop="1" thickBot="1">
      <c r="A23" s="725" t="s">
        <v>1608</v>
      </c>
      <c r="B23" s="726"/>
      <c r="C23" s="726"/>
      <c r="D23" s="726"/>
      <c r="E23" s="726"/>
      <c r="F23" s="726"/>
      <c r="G23" s="726"/>
      <c r="H23" s="605">
        <f>SUM(H5:H22)</f>
        <v>97000</v>
      </c>
      <c r="I23" s="605">
        <f>SUM(I5:I22)</f>
        <v>89861</v>
      </c>
      <c r="J23" s="606">
        <f>H23-I23</f>
        <v>7139</v>
      </c>
    </row>
    <row r="24" spans="1:10" s="582" customFormat="1" ht="24.95" customHeight="1" thickTop="1">
      <c r="C24" s="604"/>
    </row>
    <row r="25" spans="1:10" s="582" customFormat="1" ht="76.5" customHeight="1">
      <c r="C25" s="604"/>
      <c r="H25" s="727" t="s">
        <v>1609</v>
      </c>
      <c r="I25" s="728"/>
      <c r="J25" s="728"/>
    </row>
    <row r="26" spans="1:10" s="582" customFormat="1" ht="76.5" customHeight="1">
      <c r="C26" s="604"/>
      <c r="H26" s="728"/>
      <c r="I26" s="728"/>
      <c r="J26" s="728"/>
    </row>
    <row r="27" spans="1:10" s="582" customFormat="1" ht="24.95" customHeight="1">
      <c r="C27" s="604"/>
    </row>
    <row r="28" spans="1:10" s="582" customFormat="1" ht="24.95" customHeight="1">
      <c r="C28" s="604"/>
    </row>
    <row r="29" spans="1:10" s="582" customFormat="1" ht="24.95" customHeight="1">
      <c r="C29" s="604"/>
    </row>
    <row r="30" spans="1:10" s="582" customFormat="1" ht="24.95" customHeight="1">
      <c r="C30" s="604"/>
    </row>
    <row r="31" spans="1:10" s="582" customFormat="1" ht="24.95" customHeight="1"/>
    <row r="32" spans="1:10" s="582" customFormat="1" ht="24.95" customHeight="1"/>
    <row r="33" s="582" customFormat="1" ht="24.95" customHeight="1"/>
    <row r="34" s="582" customFormat="1" ht="24.95" customHeight="1"/>
    <row r="35" s="582" customFormat="1" ht="24.95" customHeight="1"/>
    <row r="36" s="582" customFormat="1" ht="24.95" customHeight="1"/>
    <row r="37" s="582" customFormat="1" ht="24.95" customHeight="1"/>
    <row r="38" s="582" customFormat="1" ht="24.95" customHeight="1"/>
    <row r="39" s="582" customFormat="1" ht="24.95" customHeight="1"/>
    <row r="40" s="582" customFormat="1" ht="24.95" customHeight="1"/>
    <row r="41" s="582" customFormat="1" ht="24.95" customHeight="1"/>
    <row r="42" s="582" customFormat="1" ht="24.95" customHeight="1"/>
    <row r="43" s="582" customFormat="1" ht="24.95" customHeight="1"/>
    <row r="44" s="582" customFormat="1" ht="24.95" customHeight="1"/>
    <row r="45" s="582" customFormat="1" ht="24.95" customHeight="1"/>
    <row r="46" s="582" customFormat="1" ht="24.95" customHeight="1"/>
    <row r="47" s="582" customFormat="1" ht="24.95" customHeight="1"/>
    <row r="48" s="582" customFormat="1" ht="24.95" customHeight="1"/>
    <row r="49" s="582" customFormat="1" ht="24.95" customHeight="1"/>
    <row r="50" s="582" customFormat="1" ht="24.95" customHeight="1"/>
    <row r="51" s="582" customFormat="1" ht="24.95" customHeight="1"/>
    <row r="52" s="582" customFormat="1" ht="24.95" customHeight="1"/>
    <row r="53" s="582" customFormat="1" ht="24.95" customHeight="1"/>
    <row r="54" s="582" customFormat="1" ht="24.95" customHeight="1"/>
    <row r="55" s="582" customFormat="1" ht="24.95" customHeight="1"/>
    <row r="56" s="582" customFormat="1" ht="24.95" customHeight="1"/>
    <row r="57" s="582" customFormat="1" ht="24.95" customHeight="1"/>
    <row r="58" s="582" customFormat="1" ht="24.95" customHeight="1"/>
    <row r="59" s="582" customFormat="1" ht="24.95" customHeight="1"/>
    <row r="60" s="582" customFormat="1" ht="24.95" customHeight="1"/>
    <row r="61" s="582" customFormat="1" ht="24.95" customHeight="1"/>
    <row r="62" s="582" customFormat="1" ht="24.95" customHeight="1"/>
    <row r="63" s="582" customFormat="1" ht="24.95" customHeight="1"/>
    <row r="64" s="582" customFormat="1" ht="24.95" customHeight="1"/>
    <row r="65" s="582" customFormat="1" ht="24.95" customHeight="1"/>
    <row r="66" s="582" customFormat="1" ht="24.95" customHeight="1"/>
    <row r="67" s="582" customFormat="1" ht="24.95" customHeight="1"/>
    <row r="68" s="582" customFormat="1" ht="24.95" customHeight="1"/>
    <row r="69" s="582" customFormat="1" ht="24.95" customHeight="1"/>
    <row r="70" s="582" customFormat="1" ht="24.95" customHeight="1"/>
    <row r="71" s="582" customFormat="1" ht="24.95" customHeight="1"/>
    <row r="72" s="582" customFormat="1" ht="24.95" customHeight="1"/>
    <row r="73" s="582" customFormat="1" ht="24.95" customHeight="1"/>
    <row r="74" s="582" customFormat="1" ht="24.95" customHeight="1"/>
    <row r="75" s="582" customFormat="1" ht="24.95" customHeight="1"/>
    <row r="76" s="582" customFormat="1" ht="24.95" customHeight="1"/>
    <row r="77" s="582" customFormat="1" ht="24.95" customHeight="1"/>
    <row r="78" s="582" customFormat="1" ht="24.95" customHeight="1"/>
    <row r="79" s="582" customFormat="1" ht="24.95" customHeight="1"/>
    <row r="80" s="582" customFormat="1" ht="24.95" customHeight="1"/>
    <row r="81" s="582" customFormat="1" ht="24.95" customHeight="1"/>
    <row r="82" s="582" customFormat="1" ht="24.95" customHeight="1"/>
    <row r="83" s="582" customFormat="1" ht="24.95" customHeight="1"/>
    <row r="84" s="582" customFormat="1" ht="24.95" customHeight="1"/>
    <row r="85" s="582" customFormat="1" ht="24.95" customHeight="1"/>
    <row r="86" s="582" customFormat="1" ht="24.95" customHeight="1"/>
    <row r="87" s="582" customFormat="1" ht="24.95" customHeight="1"/>
    <row r="88" s="582" customFormat="1" ht="24.95" customHeight="1"/>
    <row r="89" s="582" customFormat="1" ht="24.95" customHeight="1"/>
    <row r="90" s="582" customFormat="1" ht="24.95" customHeight="1"/>
    <row r="91" s="582" customFormat="1" ht="24.95" customHeight="1"/>
    <row r="92" s="582" customFormat="1" ht="24.95" customHeight="1"/>
    <row r="93" s="582" customFormat="1" ht="24.95" customHeight="1"/>
    <row r="94" s="582" customFormat="1" ht="24.95" customHeight="1"/>
    <row r="95" s="582" customFormat="1" ht="24.95" customHeight="1"/>
    <row r="96" s="582" customFormat="1" ht="24.95" customHeight="1"/>
    <row r="97" s="582" customFormat="1" ht="24.95" customHeight="1"/>
    <row r="98" s="582" customFormat="1" ht="24.95" customHeight="1"/>
    <row r="99" s="582" customFormat="1" ht="24.95" customHeight="1"/>
    <row r="100" s="582" customFormat="1" ht="24.95" customHeight="1"/>
    <row r="101" s="582" customFormat="1" ht="24.95" customHeight="1"/>
    <row r="102" s="582" customFormat="1" ht="24.95" customHeight="1"/>
    <row r="103" s="582" customFormat="1" ht="24.95" customHeight="1"/>
    <row r="104" s="582" customFormat="1" ht="24.95" customHeight="1"/>
    <row r="105" s="582" customFormat="1" ht="24.95" customHeight="1"/>
    <row r="106" s="582" customFormat="1" ht="24.95" customHeight="1"/>
    <row r="107" s="582" customFormat="1" ht="24.95" customHeight="1"/>
    <row r="108" s="582" customFormat="1" ht="24.95" customHeight="1"/>
    <row r="109" s="582" customFormat="1" ht="24.95" customHeight="1"/>
    <row r="110" s="582" customFormat="1" ht="24.95" customHeight="1"/>
    <row r="111" s="582" customFormat="1" ht="24.95" customHeight="1"/>
    <row r="112" s="582" customFormat="1" ht="24.95" customHeight="1"/>
    <row r="113" s="582" customFormat="1" ht="24.95" customHeight="1"/>
    <row r="114" s="582" customFormat="1" ht="24.95" customHeight="1"/>
    <row r="115" s="582" customFormat="1" ht="24.95" customHeight="1"/>
    <row r="116" s="582" customFormat="1" ht="24.95" customHeight="1"/>
    <row r="117" s="582" customFormat="1" ht="24.95" customHeight="1"/>
    <row r="118" s="582" customFormat="1" ht="24.95" customHeight="1"/>
    <row r="119" s="582" customFormat="1" ht="24.95" customHeight="1"/>
    <row r="120" s="582" customFormat="1" ht="24.95" customHeight="1"/>
    <row r="121" s="582" customFormat="1" ht="24.95" customHeight="1"/>
    <row r="122" s="582" customFormat="1" ht="24.95" customHeight="1"/>
    <row r="123" s="582" customFormat="1" ht="24.95" customHeight="1"/>
    <row r="124" s="582" customFormat="1" ht="24.95" customHeight="1"/>
    <row r="125" s="582" customFormat="1" ht="24.95" customHeight="1"/>
    <row r="126" s="582" customFormat="1" ht="24.95" customHeight="1"/>
    <row r="127" s="582" customFormat="1" ht="24.95" customHeight="1"/>
    <row r="128" s="582" customFormat="1" ht="24.95" customHeight="1"/>
    <row r="129" s="582" customFormat="1" ht="24.95" customHeight="1"/>
    <row r="130" s="582" customFormat="1" ht="24.95" customHeight="1"/>
    <row r="131" s="582" customFormat="1" ht="24.95" customHeight="1"/>
    <row r="132" s="582" customFormat="1" ht="24.95" customHeight="1"/>
    <row r="133" s="582" customFormat="1" ht="24.95" customHeight="1"/>
    <row r="134" s="582" customFormat="1" ht="24.95" customHeight="1"/>
    <row r="135" s="582" customFormat="1" ht="24.95" customHeight="1"/>
    <row r="136" s="582" customFormat="1" ht="24.95" customHeight="1"/>
    <row r="137" s="582" customFormat="1" ht="24.95" customHeight="1"/>
    <row r="138" s="582" customFormat="1" ht="24.95" customHeight="1"/>
    <row r="139" s="582" customFormat="1" ht="24.95" customHeight="1"/>
    <row r="140" s="582" customFormat="1" ht="24.95" customHeight="1"/>
    <row r="141" s="582" customFormat="1" ht="24.95" customHeight="1"/>
    <row r="142" s="582" customFormat="1" ht="24.95" customHeight="1"/>
    <row r="143" s="582" customFormat="1" ht="24.95" customHeight="1"/>
    <row r="144" s="582" customFormat="1" ht="24.95" customHeight="1"/>
    <row r="145" s="582" customFormat="1" ht="24.95" customHeight="1"/>
    <row r="146" s="582" customFormat="1" ht="24.95" customHeight="1"/>
    <row r="147" s="582" customFormat="1" ht="24.95" customHeight="1"/>
    <row r="148" s="582" customFormat="1" ht="24.95" customHeight="1"/>
    <row r="149" s="582" customFormat="1" ht="24.95" customHeight="1"/>
    <row r="150" s="582" customFormat="1" ht="24.95" customHeight="1"/>
    <row r="151" s="582" customFormat="1" ht="24.95" customHeight="1"/>
    <row r="152" s="582" customFormat="1" ht="24.95" customHeight="1"/>
    <row r="153" s="582" customFormat="1" ht="24.95" customHeight="1"/>
    <row r="154" s="582" customFormat="1" ht="24.95" customHeight="1"/>
    <row r="155" s="582" customFormat="1" ht="24.95" customHeight="1"/>
    <row r="156" s="582" customFormat="1" ht="24.95" customHeight="1"/>
    <row r="157" s="582" customFormat="1" ht="24.95" customHeight="1"/>
    <row r="158" s="582" customFormat="1" ht="24.95" customHeight="1"/>
    <row r="159" s="582" customFormat="1" ht="24.95" customHeight="1"/>
    <row r="160" s="582" customFormat="1" ht="24.95" customHeight="1"/>
    <row r="161" s="582" customFormat="1" ht="24.95" customHeight="1"/>
    <row r="162" s="582" customFormat="1" ht="24.95" customHeight="1"/>
    <row r="163" s="582" customFormat="1" ht="24.95" customHeight="1"/>
    <row r="164" s="582" customFormat="1" ht="24.95" customHeight="1"/>
    <row r="165" s="582" customFormat="1" ht="24.95" customHeight="1"/>
    <row r="166" s="582" customFormat="1" ht="24.95" customHeight="1"/>
    <row r="167" s="582" customFormat="1" ht="24.95" customHeight="1"/>
    <row r="168" s="582" customFormat="1" ht="24.95" customHeight="1"/>
    <row r="169" s="582" customFormat="1" ht="24.95" customHeight="1"/>
    <row r="170" s="582" customFormat="1" ht="24.95" customHeight="1"/>
    <row r="171" s="582" customFormat="1" ht="24.95" customHeight="1"/>
    <row r="172" s="582" customFormat="1" ht="24.95" customHeight="1"/>
    <row r="173" s="582" customFormat="1" ht="24.95" customHeight="1"/>
    <row r="174" s="582" customFormat="1" ht="24.95" customHeight="1"/>
    <row r="175" s="582" customFormat="1" ht="24.95" customHeight="1"/>
    <row r="176" s="582" customFormat="1" ht="24.95" customHeight="1"/>
    <row r="177" s="582" customFormat="1" ht="24.95" customHeight="1"/>
    <row r="178" s="582" customFormat="1" ht="24.95" customHeight="1"/>
    <row r="179" s="582" customFormat="1" ht="24.95" customHeight="1"/>
    <row r="180" s="582" customFormat="1" ht="24.95" customHeight="1"/>
    <row r="181" s="582" customFormat="1" ht="24.95" customHeight="1"/>
    <row r="182" s="582" customFormat="1" ht="24.95" customHeight="1"/>
    <row r="183" s="582" customFormat="1" ht="24.95" customHeight="1"/>
    <row r="184" s="582" customFormat="1" ht="24.95" customHeight="1"/>
    <row r="185" s="582" customFormat="1" ht="24.95" customHeight="1"/>
    <row r="186" s="582" customFormat="1" ht="24.95" customHeight="1"/>
    <row r="187" s="582" customFormat="1" ht="24.95" customHeight="1"/>
    <row r="188" s="582" customFormat="1" ht="24.95" customHeight="1"/>
    <row r="189" s="582" customFormat="1" ht="24.95" customHeight="1"/>
    <row r="190" s="582" customFormat="1" ht="24.95" customHeight="1"/>
    <row r="191" s="582" customFormat="1" ht="24.95" customHeight="1"/>
    <row r="192" s="582" customFormat="1" ht="24.95" customHeight="1"/>
    <row r="193" s="582" customFormat="1" ht="24.95" customHeight="1"/>
    <row r="194" s="582" customFormat="1" ht="24.95" customHeight="1"/>
    <row r="195" s="582" customFormat="1" ht="24.95" customHeight="1"/>
    <row r="196" s="582" customFormat="1" ht="24.95" customHeight="1"/>
    <row r="197" s="582" customFormat="1" ht="24.95" customHeight="1"/>
    <row r="198" s="582" customFormat="1" ht="24.95" customHeight="1"/>
    <row r="199" s="582" customFormat="1" ht="24.95" customHeight="1"/>
    <row r="200" s="582" customFormat="1" ht="24.95" customHeight="1"/>
    <row r="201" s="582" customFormat="1" ht="24.95" customHeight="1"/>
    <row r="202" s="582" customFormat="1" ht="24.95" customHeight="1"/>
    <row r="203" s="582" customFormat="1" ht="24.95" customHeight="1"/>
    <row r="204" s="582" customFormat="1" ht="24.95" customHeight="1"/>
    <row r="205" s="582" customFormat="1" ht="24.95" customHeight="1"/>
    <row r="206" s="582" customFormat="1" ht="24.95" customHeight="1"/>
    <row r="207" s="582" customFormat="1" ht="24.95" customHeight="1"/>
    <row r="208" s="582" customFormat="1" ht="24.95" customHeight="1"/>
    <row r="209" s="582" customFormat="1" ht="24.95" customHeight="1"/>
    <row r="210" s="582" customFormat="1" ht="24.95" customHeight="1"/>
    <row r="211" s="582" customFormat="1" ht="24.95" customHeight="1"/>
    <row r="212" s="582" customFormat="1" ht="24.95" customHeight="1"/>
    <row r="213" s="582" customFormat="1" ht="24.95" customHeight="1"/>
    <row r="214" s="582" customFormat="1" ht="24.95" customHeight="1"/>
    <row r="215" s="582" customFormat="1" ht="24.95" customHeight="1"/>
    <row r="216" s="582" customFormat="1" ht="24.95" customHeight="1"/>
    <row r="217" s="582" customFormat="1" ht="24.95" customHeight="1"/>
    <row r="218" s="582" customFormat="1" ht="24.95" customHeight="1"/>
    <row r="219" s="582" customFormat="1" ht="24.95" customHeight="1"/>
    <row r="220" s="582" customFormat="1" ht="24.95" customHeight="1"/>
    <row r="221" s="582" customFormat="1" ht="24.95" customHeight="1"/>
    <row r="222" s="582" customFormat="1" ht="24.95" customHeight="1"/>
    <row r="223" s="582" customFormat="1" ht="24.95" customHeight="1"/>
    <row r="224" s="582" customFormat="1" ht="24.95" customHeight="1"/>
    <row r="225" s="582" customFormat="1" ht="24.95" customHeight="1"/>
    <row r="226" s="582" customFormat="1" ht="24.95" customHeight="1"/>
    <row r="227" s="582" customFormat="1" ht="24.95" customHeight="1"/>
    <row r="228" s="582" customFormat="1" ht="24.95" customHeight="1"/>
    <row r="229" s="582" customFormat="1" ht="24.95" customHeight="1"/>
    <row r="230" s="582" customFormat="1" ht="24.95" customHeight="1"/>
    <row r="231" s="582" customFormat="1" ht="24.95" customHeight="1"/>
    <row r="232" s="582" customFormat="1" ht="24.95" customHeight="1"/>
    <row r="233" s="582" customFormat="1" ht="24.95" customHeight="1"/>
    <row r="234" s="582" customFormat="1" ht="24.95" customHeight="1"/>
    <row r="235" s="582" customFormat="1" ht="24.95" customHeight="1"/>
    <row r="236" s="582" customFormat="1" ht="24.95" customHeight="1"/>
    <row r="237" s="582" customFormat="1" ht="24.95" customHeight="1"/>
    <row r="238" s="582" customFormat="1" ht="24.95" customHeight="1"/>
    <row r="239" s="582" customFormat="1" ht="24.95" customHeight="1"/>
    <row r="240" s="582" customFormat="1" ht="24.95" customHeight="1"/>
    <row r="241" s="582" customFormat="1" ht="24.95" customHeight="1"/>
    <row r="242" s="582" customFormat="1" ht="24.95" customHeight="1"/>
    <row r="243" s="582" customFormat="1" ht="24.95" customHeight="1"/>
    <row r="244" s="582" customFormat="1" ht="24.95" customHeight="1"/>
    <row r="245" s="582" customFormat="1" ht="24.95" customHeight="1"/>
    <row r="246" s="582" customFormat="1" ht="24.95" customHeight="1"/>
    <row r="247" s="582" customFormat="1" ht="24.95" customHeight="1"/>
    <row r="248" s="582" customFormat="1" ht="24.95" customHeight="1"/>
    <row r="249" s="582" customFormat="1" ht="24.95" customHeight="1"/>
    <row r="250" s="582" customFormat="1" ht="24.95" customHeight="1"/>
    <row r="251" s="582" customFormat="1" ht="24.95" customHeight="1"/>
    <row r="252" s="582" customFormat="1" ht="24.95" customHeight="1"/>
    <row r="253" s="582" customFormat="1" ht="24.95" customHeight="1"/>
    <row r="254" s="582" customFormat="1" ht="24.95" customHeight="1"/>
    <row r="255" s="582" customFormat="1" ht="24.95" customHeight="1"/>
    <row r="256" s="582" customFormat="1" ht="24.95" customHeight="1"/>
    <row r="257" s="582" customFormat="1" ht="24.95" customHeight="1"/>
    <row r="258" s="582" customFormat="1" ht="24.95" customHeight="1"/>
    <row r="259" s="582" customFormat="1" ht="24.95" customHeight="1"/>
    <row r="260" s="582" customFormat="1" ht="24.95" customHeight="1"/>
    <row r="261" s="582" customFormat="1" ht="24.95" customHeight="1"/>
    <row r="262" s="582" customFormat="1" ht="24.95" customHeight="1"/>
    <row r="263" s="582" customFormat="1" ht="24.95" customHeight="1"/>
    <row r="264" s="582" customFormat="1" ht="24.95" customHeight="1"/>
    <row r="265" s="582" customFormat="1" ht="24.95" customHeight="1"/>
    <row r="266" s="582" customFormat="1" ht="24.95" customHeight="1"/>
    <row r="267" s="582" customFormat="1" ht="24.95" customHeight="1"/>
    <row r="268" s="582" customFormat="1" ht="24.95" customHeight="1"/>
    <row r="269" s="582" customFormat="1" ht="24.95" customHeight="1"/>
    <row r="270" s="582" customFormat="1" ht="24.95" customHeight="1"/>
    <row r="271" s="582" customFormat="1" ht="24.95" customHeight="1"/>
    <row r="272" s="582" customFormat="1" ht="24.95" customHeight="1"/>
    <row r="273" s="582" customFormat="1" ht="24.95" customHeight="1"/>
    <row r="274" s="582" customFormat="1" ht="24.95" customHeight="1"/>
    <row r="275" s="582" customFormat="1" ht="24.95" customHeight="1"/>
    <row r="276" s="582" customFormat="1" ht="24.95" customHeight="1"/>
    <row r="277" s="582" customFormat="1" ht="24.95" customHeight="1"/>
    <row r="278" s="582" customFormat="1" ht="24.95" customHeight="1"/>
    <row r="279" s="582" customFormat="1" ht="24.95" customHeight="1"/>
    <row r="280" s="582" customFormat="1" ht="24.95" customHeight="1"/>
    <row r="281" s="582" customFormat="1" ht="24.95" customHeight="1"/>
    <row r="282" s="582" customFormat="1" ht="24.95" customHeight="1"/>
    <row r="283" s="582" customFormat="1" ht="24.95" customHeight="1"/>
    <row r="284" s="582" customFormat="1" ht="24.95" customHeight="1"/>
    <row r="285" s="582" customFormat="1" ht="24.95" customHeight="1"/>
    <row r="286" s="582" customFormat="1" ht="24.95" customHeight="1"/>
    <row r="287" s="582" customFormat="1" ht="24.95" customHeight="1"/>
    <row r="288" s="582" customFormat="1" ht="24.95" customHeight="1"/>
    <row r="289" s="582" customFormat="1" ht="24.95" customHeight="1"/>
    <row r="290" s="582" customFormat="1" ht="24.95" customHeight="1"/>
    <row r="291" s="582" customFormat="1" ht="24.95" customHeight="1"/>
    <row r="292" s="582" customFormat="1" ht="24.95" customHeight="1"/>
    <row r="293" s="582" customFormat="1" ht="24.95" customHeight="1"/>
    <row r="294" s="582" customFormat="1" ht="24.95" customHeight="1"/>
    <row r="295" s="582" customFormat="1" ht="24.95" customHeight="1"/>
    <row r="296" s="582" customFormat="1" ht="24.95" customHeight="1"/>
    <row r="297" s="582" customFormat="1" ht="24.95" customHeight="1"/>
    <row r="298" s="582" customFormat="1" ht="24.95" customHeight="1"/>
    <row r="299" s="582" customFormat="1" ht="24.95" customHeight="1"/>
    <row r="300" s="582" customFormat="1" ht="24.95" customHeight="1"/>
    <row r="301" s="582" customFormat="1" ht="24.95" customHeight="1"/>
    <row r="302" s="582" customFormat="1" ht="24.95" customHeight="1"/>
    <row r="303" s="582" customFormat="1" ht="24.95" customHeight="1"/>
    <row r="304" s="582" customFormat="1" ht="24.95" customHeight="1"/>
    <row r="305" s="582" customFormat="1" ht="24.95" customHeight="1"/>
    <row r="306" s="582" customFormat="1" ht="24.95" customHeight="1"/>
    <row r="307" s="582" customFormat="1" ht="24.95" customHeight="1"/>
    <row r="308" s="582" customFormat="1" ht="24.95" customHeight="1"/>
    <row r="309" s="582" customFormat="1" ht="24.95" customHeight="1"/>
    <row r="310" s="582" customFormat="1" ht="24.95" customHeight="1"/>
    <row r="311" s="582" customFormat="1" ht="24.95" customHeight="1"/>
    <row r="312" s="582" customFormat="1" ht="24.95" customHeight="1"/>
    <row r="313" s="582" customFormat="1" ht="24.95" customHeight="1"/>
    <row r="314" s="582" customFormat="1" ht="24.95" customHeight="1"/>
    <row r="315" s="582" customFormat="1" ht="24.95" customHeight="1"/>
    <row r="316" s="582" customFormat="1" ht="24.95" customHeight="1"/>
    <row r="317" s="582" customFormat="1" ht="24.95" customHeight="1"/>
    <row r="318" s="582" customFormat="1" ht="24.95" customHeight="1"/>
    <row r="319" s="582" customFormat="1" ht="24.95" customHeight="1"/>
    <row r="320" s="582" customFormat="1" ht="24.95" customHeight="1"/>
    <row r="321" s="582" customFormat="1" ht="24.95" customHeight="1"/>
    <row r="322" s="582" customFormat="1" ht="24.95" customHeight="1"/>
    <row r="323" s="582" customFormat="1" ht="24.95" customHeight="1"/>
    <row r="324" s="582" customFormat="1" ht="24.95" customHeight="1"/>
    <row r="325" s="582" customFormat="1" ht="24.95" customHeight="1"/>
    <row r="326" s="582" customFormat="1" ht="24.95" customHeight="1"/>
    <row r="327" s="582" customFormat="1" ht="24.95" customHeight="1"/>
    <row r="328" s="582" customFormat="1" ht="24.95" customHeight="1"/>
    <row r="329" s="582" customFormat="1" ht="24.95" customHeight="1"/>
    <row r="330" s="582" customFormat="1" ht="24.95" customHeight="1"/>
    <row r="331" s="582" customFormat="1" ht="24.95" customHeight="1"/>
    <row r="332" s="582" customFormat="1" ht="24.95" customHeight="1"/>
    <row r="333" s="582" customFormat="1" ht="24.95" customHeight="1"/>
    <row r="334" s="582" customFormat="1" ht="24.95" customHeight="1"/>
    <row r="335" s="582" customFormat="1" ht="24.95" customHeight="1"/>
    <row r="336" s="582" customFormat="1" ht="24.95" customHeight="1"/>
    <row r="337" s="582" customFormat="1" ht="24.95" customHeight="1"/>
    <row r="338" s="582" customFormat="1" ht="24.95" customHeight="1"/>
    <row r="339" s="582" customFormat="1" ht="24.95" customHeight="1"/>
    <row r="340" s="582" customFormat="1" ht="24.95" customHeight="1"/>
    <row r="341" s="582" customFormat="1" ht="24.95" customHeight="1"/>
    <row r="342" s="582" customFormat="1" ht="24.95" customHeight="1"/>
    <row r="343" s="582" customFormat="1" ht="24.95" customHeight="1"/>
    <row r="344" s="582" customFormat="1" ht="24.95" customHeight="1"/>
    <row r="345" s="582" customFormat="1" ht="24.95" customHeight="1"/>
    <row r="346" s="582" customFormat="1" ht="24.95" customHeight="1"/>
    <row r="347" s="582" customFormat="1" ht="24.95" customHeight="1"/>
    <row r="348" s="582" customFormat="1" ht="24.95" customHeight="1"/>
    <row r="349" s="582" customFormat="1" ht="24.95" customHeight="1"/>
    <row r="350" s="582" customFormat="1" ht="24.95" customHeight="1"/>
    <row r="351" s="582" customFormat="1" ht="24.95" customHeight="1"/>
    <row r="352" s="582" customFormat="1" ht="24.95" customHeight="1"/>
    <row r="353" s="582" customFormat="1" ht="24.95" customHeight="1"/>
    <row r="354" s="582" customFormat="1" ht="24.95" customHeight="1"/>
    <row r="355" s="582" customFormat="1" ht="24.95" customHeight="1"/>
    <row r="356" s="582" customFormat="1" ht="24.95" customHeight="1"/>
    <row r="357" s="582" customFormat="1" ht="24.95" customHeight="1"/>
    <row r="358" s="582" customFormat="1" ht="24.95" customHeight="1"/>
    <row r="359" s="582" customFormat="1" ht="24.95" customHeight="1"/>
    <row r="360" s="582" customFormat="1" ht="24.95" customHeight="1"/>
    <row r="361" s="582" customFormat="1" ht="24.95" customHeight="1"/>
    <row r="362" s="582" customFormat="1" ht="24.95" customHeight="1"/>
    <row r="363" s="582" customFormat="1" ht="24.95" customHeight="1"/>
    <row r="364" s="582" customFormat="1" ht="24.95" customHeight="1"/>
    <row r="365" s="582" customFormat="1" ht="24.95" customHeight="1"/>
    <row r="366" s="582" customFormat="1" ht="24.95" customHeight="1"/>
    <row r="367" s="582" customFormat="1" ht="24.95" customHeight="1"/>
    <row r="368" s="582" customFormat="1" ht="24.95" customHeight="1"/>
    <row r="369" s="582" customFormat="1" ht="24.95" customHeight="1"/>
    <row r="370" s="582" customFormat="1" ht="24.95" customHeight="1"/>
    <row r="371" s="582" customFormat="1" ht="24.95" customHeight="1"/>
    <row r="372" s="582" customFormat="1" ht="24.95" customHeight="1"/>
    <row r="373" s="582" customFormat="1" ht="24.95" customHeight="1"/>
    <row r="374" s="582" customFormat="1" ht="24.95" customHeight="1"/>
    <row r="375" s="582" customFormat="1" ht="24.95" customHeight="1"/>
    <row r="376" s="582" customFormat="1" ht="24.95" customHeight="1"/>
    <row r="377" s="582" customFormat="1" ht="24.95" customHeight="1"/>
    <row r="378" s="582" customFormat="1" ht="24.95" customHeight="1"/>
    <row r="379" s="582" customFormat="1" ht="24.95" customHeight="1"/>
    <row r="380" s="582" customFormat="1" ht="24.95" customHeight="1"/>
    <row r="381" s="582" customFormat="1" ht="24.95" customHeight="1"/>
    <row r="382" s="582" customFormat="1" ht="24.95" customHeight="1"/>
    <row r="383" s="582" customFormat="1" ht="24.95" customHeight="1"/>
    <row r="384" s="582" customFormat="1" ht="24.95" customHeight="1"/>
    <row r="385" s="582" customFormat="1" ht="24.95" customHeight="1"/>
    <row r="386" s="582" customFormat="1" ht="24.95" customHeight="1"/>
    <row r="387" s="582" customFormat="1" ht="24.95" customHeight="1"/>
    <row r="388" s="582" customFormat="1" ht="24.95" customHeight="1"/>
    <row r="389" s="582" customFormat="1" ht="24.95" customHeight="1"/>
    <row r="390" s="582" customFormat="1" ht="24.95" customHeight="1"/>
    <row r="391" s="582" customFormat="1" ht="24.95" customHeight="1"/>
    <row r="392" s="582" customFormat="1" ht="24.95" customHeight="1"/>
    <row r="393" s="582" customFormat="1" ht="24.95" customHeight="1"/>
    <row r="394" s="582" customFormat="1" ht="24.95" customHeight="1"/>
    <row r="395" s="582" customFormat="1" ht="24.95" customHeight="1"/>
    <row r="396" s="582" customFormat="1" ht="24.95" customHeight="1"/>
    <row r="397" s="582" customFormat="1" ht="24.95" customHeight="1"/>
    <row r="398" s="582" customFormat="1" ht="24.95" customHeight="1"/>
    <row r="399" s="582" customFormat="1" ht="24.95" customHeight="1"/>
    <row r="400" s="582" customFormat="1" ht="24.95" customHeight="1"/>
    <row r="401" s="582" customFormat="1" ht="24.95" customHeight="1"/>
    <row r="402" s="582" customFormat="1" ht="24.95" customHeight="1"/>
    <row r="403" s="582" customFormat="1" ht="24.95" customHeight="1"/>
    <row r="404" s="582" customFormat="1" ht="24.95" customHeight="1"/>
    <row r="405" s="582" customFormat="1" ht="24.95" customHeight="1"/>
    <row r="406" s="582" customFormat="1" ht="24.95" customHeight="1"/>
    <row r="407" s="582" customFormat="1" ht="24.95" customHeight="1"/>
    <row r="408" s="582" customFormat="1" ht="24.95" customHeight="1"/>
    <row r="409" s="582" customFormat="1" ht="24.95" customHeight="1"/>
    <row r="410" s="582" customFormat="1" ht="24.95" customHeight="1"/>
    <row r="411" s="582" customFormat="1" ht="24.95" customHeight="1"/>
    <row r="412" s="582" customFormat="1" ht="24.95" customHeight="1"/>
    <row r="413" s="582" customFormat="1" ht="24.95" customHeight="1"/>
    <row r="414" s="582" customFormat="1" ht="24.95" customHeight="1"/>
    <row r="415" s="582" customFormat="1" ht="24.95" customHeight="1"/>
    <row r="416" s="582" customFormat="1" ht="24.95" customHeight="1"/>
    <row r="417" s="582" customFormat="1" ht="24.95" customHeight="1"/>
    <row r="418" s="582" customFormat="1" ht="24.95" customHeight="1"/>
    <row r="419" s="582" customFormat="1" ht="24.95" customHeight="1"/>
    <row r="420" s="582" customFormat="1" ht="24.95" customHeight="1"/>
    <row r="421" s="582" customFormat="1" ht="24.95" customHeight="1"/>
    <row r="422" s="582" customFormat="1" ht="24.95" customHeight="1"/>
    <row r="423" s="582" customFormat="1" ht="24.95" customHeight="1"/>
    <row r="424" s="582" customFormat="1" ht="24.95" customHeight="1"/>
    <row r="425" s="582" customFormat="1" ht="24.95" customHeight="1"/>
    <row r="426" s="582" customFormat="1" ht="24.95" customHeight="1"/>
    <row r="427" s="582" customFormat="1" ht="24.95" customHeight="1"/>
    <row r="428" s="582" customFormat="1" ht="24.95" customHeight="1"/>
    <row r="429" s="582" customFormat="1" ht="24.95" customHeight="1"/>
    <row r="430" s="582" customFormat="1" ht="24.95" customHeight="1"/>
    <row r="431" s="582" customFormat="1" ht="24.95" customHeight="1"/>
    <row r="432" s="582" customFormat="1" ht="24.95" customHeight="1"/>
    <row r="433" s="582" customFormat="1" ht="24.95" customHeight="1"/>
    <row r="434" s="582" customFormat="1" ht="24.95" customHeight="1"/>
    <row r="435" s="582" customFormat="1" ht="24.95" customHeight="1"/>
    <row r="436" s="582" customFormat="1" ht="24.95" customHeight="1"/>
    <row r="437" s="582" customFormat="1" ht="24.95" customHeight="1"/>
    <row r="438" s="582" customFormat="1" ht="24.95" customHeight="1"/>
    <row r="439" s="582" customFormat="1" ht="24.95" customHeight="1"/>
    <row r="440" s="582" customFormat="1" ht="24.95" customHeight="1"/>
    <row r="441" s="582" customFormat="1" ht="24.95" customHeight="1"/>
    <row r="442" s="582" customFormat="1" ht="24.95" customHeight="1"/>
    <row r="443" s="582" customFormat="1" ht="24.95" customHeight="1"/>
    <row r="444" s="582" customFormat="1" ht="24.95" customHeight="1"/>
    <row r="445" s="582" customFormat="1" ht="24.95" customHeight="1"/>
    <row r="446" s="582" customFormat="1" ht="24.95" customHeight="1"/>
    <row r="447" s="582" customFormat="1" ht="24.95" customHeight="1"/>
    <row r="448" s="582" customFormat="1" ht="24.95" customHeight="1"/>
    <row r="449" s="582" customFormat="1" ht="24.95" customHeight="1"/>
    <row r="450" s="582" customFormat="1" ht="24.95" customHeight="1"/>
    <row r="451" s="582" customFormat="1" ht="24.95" customHeight="1"/>
    <row r="452" s="582" customFormat="1" ht="24.95" customHeight="1"/>
    <row r="453" s="582" customFormat="1" ht="24.95" customHeight="1"/>
    <row r="454" s="582" customFormat="1" ht="24.95" customHeight="1"/>
    <row r="455" s="582" customFormat="1" ht="24.95" customHeight="1"/>
    <row r="456" s="582" customFormat="1" ht="24.95" customHeight="1"/>
    <row r="457" s="582" customFormat="1" ht="24.95" customHeight="1"/>
    <row r="458" s="582" customFormat="1" ht="24.95" customHeight="1"/>
    <row r="459" s="582" customFormat="1" ht="24.95" customHeight="1"/>
    <row r="460" s="582" customFormat="1" ht="24.95" customHeight="1"/>
    <row r="461" s="582" customFormat="1" ht="24.95" customHeight="1"/>
    <row r="462" s="582" customFormat="1" ht="24.95" customHeight="1"/>
    <row r="463" s="582" customFormat="1" ht="24.95" customHeight="1"/>
    <row r="464" s="582" customFormat="1" ht="24.95" customHeight="1"/>
    <row r="465" s="582" customFormat="1" ht="24.95" customHeight="1"/>
    <row r="466" s="582" customFormat="1" ht="24.95" customHeight="1"/>
    <row r="467" s="582" customFormat="1" ht="24.95" customHeight="1"/>
    <row r="468" s="582" customFormat="1" ht="24.95" customHeight="1"/>
    <row r="469" s="582" customFormat="1" ht="24.95" customHeight="1"/>
    <row r="470" s="582" customFormat="1" ht="24.95" customHeight="1"/>
    <row r="471" s="582" customFormat="1" ht="24.95" customHeight="1"/>
    <row r="472" s="582" customFormat="1" ht="24.95" customHeight="1"/>
    <row r="473" s="582" customFormat="1" ht="24.95" customHeight="1"/>
    <row r="474" s="582" customFormat="1" ht="24.95" customHeight="1"/>
    <row r="475" s="582" customFormat="1" ht="24.95" customHeight="1"/>
    <row r="476" s="582" customFormat="1" ht="24.95" customHeight="1"/>
    <row r="477" s="582" customFormat="1" ht="24.95" customHeight="1"/>
    <row r="478" s="582" customFormat="1" ht="24.95" customHeight="1"/>
    <row r="479" s="582" customFormat="1" ht="24.95" customHeight="1"/>
    <row r="480" s="582" customFormat="1" ht="24.95" customHeight="1"/>
    <row r="481" s="582" customFormat="1" ht="24.95" customHeight="1"/>
    <row r="482" s="582" customFormat="1" ht="24.95" customHeight="1"/>
    <row r="483" s="582" customFormat="1" ht="24.95" customHeight="1"/>
    <row r="484" s="582" customFormat="1" ht="24.95" customHeight="1"/>
    <row r="485" s="582" customFormat="1" ht="24.95" customHeight="1"/>
    <row r="486" s="582" customFormat="1" ht="24.95" customHeight="1"/>
    <row r="487" s="582" customFormat="1" ht="24.95" customHeight="1"/>
    <row r="488" s="582" customFormat="1" ht="24.95" customHeight="1"/>
    <row r="489" s="582" customFormat="1" ht="24.95" customHeight="1"/>
    <row r="490" s="582" customFormat="1" ht="24.95" customHeight="1"/>
    <row r="491" s="582" customFormat="1" ht="24.95" customHeight="1"/>
    <row r="492" s="582" customFormat="1" ht="24.95" customHeight="1"/>
    <row r="493" s="582" customFormat="1" ht="24.95" customHeight="1"/>
    <row r="494" s="582" customFormat="1" ht="24.95" customHeight="1"/>
    <row r="495" s="582" customFormat="1" ht="24.95" customHeight="1"/>
    <row r="496" s="582" customFormat="1" ht="24.95" customHeight="1"/>
    <row r="497" s="582" customFormat="1" ht="24.95" customHeight="1"/>
    <row r="498" s="582" customFormat="1" ht="24.95" customHeight="1"/>
    <row r="499" s="582" customFormat="1" ht="24.95" customHeight="1"/>
    <row r="500" s="582" customFormat="1" ht="24.95" customHeight="1"/>
    <row r="501" s="582" customFormat="1" ht="24.95" customHeight="1"/>
    <row r="502" s="582" customFormat="1" ht="24.95" customHeight="1"/>
    <row r="503" s="582" customFormat="1" ht="24.95" customHeight="1"/>
    <row r="504" s="582" customFormat="1" ht="24.95" customHeight="1"/>
    <row r="505" s="582" customFormat="1" ht="24.95" customHeight="1"/>
    <row r="506" s="582" customFormat="1" ht="24.95" customHeight="1"/>
    <row r="507" s="582" customFormat="1" ht="24.95" customHeight="1"/>
    <row r="508" s="582" customFormat="1" ht="24.95" customHeight="1"/>
    <row r="509" s="582" customFormat="1" ht="24.95" customHeight="1"/>
    <row r="510" s="582" customFormat="1" ht="24.95" customHeight="1"/>
    <row r="511" s="582" customFormat="1" ht="24.95" customHeight="1"/>
    <row r="512" s="582" customFormat="1" ht="24.95" customHeight="1"/>
    <row r="513" s="582" customFormat="1" ht="24.95" customHeight="1"/>
    <row r="514" s="582" customFormat="1" ht="24.95" customHeight="1"/>
    <row r="515" s="582" customFormat="1" ht="24.95" customHeight="1"/>
    <row r="516" s="582" customFormat="1" ht="24.95" customHeight="1"/>
    <row r="517" s="582" customFormat="1" ht="24.95" customHeight="1"/>
    <row r="518" s="582" customFormat="1" ht="24.95" customHeight="1"/>
    <row r="519" s="582" customFormat="1" ht="24.95" customHeight="1"/>
    <row r="520" s="582" customFormat="1" ht="24.95" customHeight="1"/>
    <row r="521" s="582" customFormat="1" ht="24.95" customHeight="1"/>
    <row r="522" s="582" customFormat="1" ht="24.95" customHeight="1"/>
    <row r="523" s="582" customFormat="1" ht="24.95" customHeight="1"/>
    <row r="524" s="582" customFormat="1" ht="24.95" customHeight="1"/>
    <row r="525" s="582" customFormat="1" ht="24.95" customHeight="1"/>
    <row r="526" s="582" customFormat="1" ht="24.95" customHeight="1"/>
    <row r="527" s="582" customFormat="1" ht="24.95" customHeight="1"/>
    <row r="528" s="582" customFormat="1" ht="24.95" customHeight="1"/>
    <row r="529" s="582" customFormat="1" ht="24.95" customHeight="1"/>
    <row r="530" s="582" customFormat="1" ht="24.95" customHeight="1"/>
    <row r="531" s="582" customFormat="1" ht="24.95" customHeight="1"/>
    <row r="532" s="582" customFormat="1" ht="24.95" customHeight="1"/>
    <row r="533" s="582" customFormat="1" ht="24.95" customHeight="1"/>
    <row r="534" s="582" customFormat="1" ht="24.95" customHeight="1"/>
    <row r="535" s="582" customFormat="1" ht="24.95" customHeight="1"/>
    <row r="536" s="582" customFormat="1" ht="24.95" customHeight="1"/>
    <row r="537" s="582" customFormat="1" ht="24.95" customHeight="1"/>
    <row r="538" s="582" customFormat="1" ht="24.95" customHeight="1"/>
    <row r="539" s="582" customFormat="1" ht="24.95" customHeight="1"/>
    <row r="540" s="582" customFormat="1" ht="24.95" customHeight="1"/>
    <row r="541" s="582" customFormat="1" ht="24.95" customHeight="1"/>
    <row r="542" s="582" customFormat="1" ht="24.95" customHeight="1"/>
    <row r="543" s="582" customFormat="1" ht="24.95" customHeight="1"/>
    <row r="544" s="582" customFormat="1" ht="24.95" customHeight="1"/>
    <row r="545" s="582" customFormat="1" ht="24.95" customHeight="1"/>
    <row r="546" s="582" customFormat="1" ht="24.95" customHeight="1"/>
    <row r="547" s="582" customFormat="1" ht="24.95" customHeight="1"/>
    <row r="548" s="582" customFormat="1" ht="24.95" customHeight="1"/>
    <row r="549" s="582" customFormat="1" ht="24.95" customHeight="1"/>
    <row r="550" s="582" customFormat="1" ht="24.95" customHeight="1"/>
    <row r="551" s="582" customFormat="1" ht="24.95" customHeight="1"/>
    <row r="552" s="582" customFormat="1" ht="24.95" customHeight="1"/>
    <row r="553" s="582" customFormat="1" ht="24.95" customHeight="1"/>
    <row r="554" s="582" customFormat="1" ht="24.95" customHeight="1"/>
    <row r="555" s="582" customFormat="1" ht="24.95" customHeight="1"/>
    <row r="556" s="582" customFormat="1" ht="24.95" customHeight="1"/>
    <row r="557" s="582" customFormat="1" ht="24.95" customHeight="1"/>
    <row r="558" s="582" customFormat="1" ht="24.95" customHeight="1"/>
    <row r="559" s="582" customFormat="1" ht="24.95" customHeight="1"/>
    <row r="560" s="582" customFormat="1" ht="24.95" customHeight="1"/>
    <row r="561" s="582" customFormat="1" ht="24.95" customHeight="1"/>
    <row r="562" s="582" customFormat="1" ht="24.95" customHeight="1"/>
    <row r="563" s="582" customFormat="1" ht="24.95" customHeight="1"/>
    <row r="564" s="582" customFormat="1" ht="24.95" customHeight="1"/>
    <row r="565" s="582" customFormat="1" ht="24.95" customHeight="1"/>
    <row r="566" s="582" customFormat="1" ht="24.95" customHeight="1"/>
    <row r="567" s="582" customFormat="1" ht="24.95" customHeight="1"/>
    <row r="568" s="582" customFormat="1" ht="24.95" customHeight="1"/>
    <row r="569" s="582" customFormat="1" ht="24.95" customHeight="1"/>
    <row r="570" s="582" customFormat="1" ht="24.95" customHeight="1"/>
    <row r="571" s="582" customFormat="1" ht="24.95" customHeight="1"/>
    <row r="572" s="582" customFormat="1" ht="24.95" customHeight="1"/>
    <row r="573" s="582" customFormat="1" ht="24.95" customHeight="1"/>
    <row r="574" s="582" customFormat="1" ht="24.95" customHeight="1"/>
    <row r="575" s="582" customFormat="1" ht="24.95" customHeight="1"/>
    <row r="576" s="582" customFormat="1" ht="24.95" customHeight="1"/>
    <row r="577" s="582" customFormat="1" ht="24.95" customHeight="1"/>
    <row r="578" s="582" customFormat="1" ht="24.95" customHeight="1"/>
    <row r="579" s="582" customFormat="1" ht="24.95" customHeight="1"/>
    <row r="580" s="582" customFormat="1" ht="24.95" customHeight="1"/>
    <row r="581" s="582" customFormat="1" ht="24.95" customHeight="1"/>
    <row r="582" s="582" customFormat="1" ht="24.95" customHeight="1"/>
    <row r="583" s="582" customFormat="1" ht="24.95" customHeight="1"/>
    <row r="584" s="582" customFormat="1" ht="24.95" customHeight="1"/>
    <row r="585" s="582" customFormat="1" ht="24.95" customHeight="1"/>
    <row r="586" s="582" customFormat="1" ht="24.95" customHeight="1"/>
    <row r="587" s="582" customFormat="1" ht="24.95" customHeight="1"/>
    <row r="588" s="582" customFormat="1" ht="24.95" customHeight="1"/>
    <row r="589" s="582" customFormat="1" ht="24.95" customHeight="1"/>
    <row r="590" s="582" customFormat="1" ht="24.95" customHeight="1"/>
    <row r="591" s="582" customFormat="1" ht="24.95" customHeight="1"/>
    <row r="592" s="582" customFormat="1" ht="24.95" customHeight="1"/>
    <row r="593" s="582" customFormat="1" ht="24.95" customHeight="1"/>
    <row r="594" s="582" customFormat="1" ht="24.95" customHeight="1"/>
    <row r="595" s="582" customFormat="1" ht="24.95" customHeight="1"/>
    <row r="596" s="582" customFormat="1" ht="24.95" customHeight="1"/>
    <row r="597" s="582" customFormat="1" ht="24.95" customHeight="1"/>
    <row r="598" s="582" customFormat="1" ht="24.95" customHeight="1"/>
    <row r="599" s="582" customFormat="1" ht="24.95" customHeight="1"/>
    <row r="600" s="582" customFormat="1" ht="24.95" customHeight="1"/>
    <row r="601" s="582" customFormat="1" ht="24.95" customHeight="1"/>
    <row r="602" s="582" customFormat="1" ht="24.95" customHeight="1"/>
    <row r="603" s="582" customFormat="1" ht="24.95" customHeight="1"/>
    <row r="604" s="582" customFormat="1" ht="24.95" customHeight="1"/>
    <row r="605" s="582" customFormat="1" ht="24.95" customHeight="1"/>
    <row r="606" s="582" customFormat="1" ht="24.95" customHeight="1"/>
    <row r="607" s="582" customFormat="1" ht="24.95" customHeight="1"/>
    <row r="608" s="582" customFormat="1" ht="24.95" customHeight="1"/>
    <row r="609" s="582" customFormat="1" ht="24.95" customHeight="1"/>
    <row r="610" s="582" customFormat="1" ht="24.95" customHeight="1"/>
    <row r="611" s="582" customFormat="1" ht="24.95" customHeight="1"/>
    <row r="612" s="582" customFormat="1" ht="24.95" customHeight="1"/>
    <row r="613" s="582" customFormat="1" ht="24.95" customHeight="1"/>
    <row r="614" s="582" customFormat="1" ht="24.95" customHeight="1"/>
    <row r="615" s="582" customFormat="1" ht="24.95" customHeight="1"/>
    <row r="616" s="582" customFormat="1" ht="24.95" customHeight="1"/>
    <row r="617" s="582" customFormat="1" ht="24.95" customHeight="1"/>
    <row r="618" s="582" customFormat="1" ht="24.95" customHeight="1"/>
    <row r="619" s="582" customFormat="1" ht="24.95" customHeight="1"/>
    <row r="620" s="582" customFormat="1" ht="24.95" customHeight="1"/>
    <row r="621" s="582" customFormat="1" ht="24.95" customHeight="1"/>
    <row r="622" s="582" customFormat="1" ht="24.95" customHeight="1"/>
    <row r="623" s="582" customFormat="1" ht="24.95" customHeight="1"/>
    <row r="624" s="582" customFormat="1" ht="24.95" customHeight="1"/>
    <row r="625" s="582" customFormat="1" ht="24.95" customHeight="1"/>
    <row r="626" s="582" customFormat="1" ht="24.95" customHeight="1"/>
    <row r="627" s="582" customFormat="1" ht="24.95" customHeight="1"/>
    <row r="628" s="582" customFormat="1" ht="24.95" customHeight="1"/>
    <row r="629" s="582" customFormat="1" ht="24.95" customHeight="1"/>
    <row r="630" s="582" customFormat="1" ht="24.95" customHeight="1"/>
    <row r="631" s="582" customFormat="1" ht="24.95" customHeight="1"/>
    <row r="632" s="582" customFormat="1" ht="24.95" customHeight="1"/>
    <row r="633" s="582" customFormat="1" ht="24.95" customHeight="1"/>
    <row r="634" s="582" customFormat="1" ht="24.95" customHeight="1"/>
    <row r="635" s="582" customFormat="1" ht="24.95" customHeight="1"/>
    <row r="636" s="582" customFormat="1" ht="24.95" customHeight="1"/>
    <row r="637" s="582" customFormat="1" ht="24.95" customHeight="1"/>
    <row r="638" s="582" customFormat="1" ht="24.95" customHeight="1"/>
    <row r="639" s="582" customFormat="1" ht="24.95" customHeight="1"/>
    <row r="640" s="582" customFormat="1" ht="24.95" customHeight="1"/>
    <row r="641" s="582" customFormat="1" ht="24.95" customHeight="1"/>
    <row r="642" s="582" customFormat="1" ht="24.95" customHeight="1"/>
    <row r="643" s="582" customFormat="1" ht="24.95" customHeight="1"/>
    <row r="644" s="582" customFormat="1" ht="24.95" customHeight="1"/>
    <row r="645" s="582" customFormat="1" ht="24.95" customHeight="1"/>
    <row r="646" s="582" customFormat="1" ht="24.95" customHeight="1"/>
    <row r="647" s="582" customFormat="1" ht="24.95" customHeight="1"/>
    <row r="648" s="582" customFormat="1" ht="24.95" customHeight="1"/>
    <row r="649" s="582" customFormat="1" ht="24.95" customHeight="1"/>
    <row r="650" s="582" customFormat="1" ht="24.95" customHeight="1"/>
    <row r="651" s="582" customFormat="1" ht="24.95" customHeight="1"/>
    <row r="652" s="582" customFormat="1" ht="24.95" customHeight="1"/>
    <row r="653" s="582" customFormat="1" ht="24.95" customHeight="1"/>
    <row r="654" s="582" customFormat="1" ht="24.95" customHeight="1"/>
    <row r="655" s="582" customFormat="1" ht="24.95" customHeight="1"/>
    <row r="656" s="582" customFormat="1" ht="24.95" customHeight="1"/>
    <row r="657" s="582" customFormat="1" ht="24.95" customHeight="1"/>
    <row r="658" s="582" customFormat="1" ht="24.95" customHeight="1"/>
    <row r="659" s="582" customFormat="1" ht="24.95" customHeight="1"/>
    <row r="660" s="582" customFormat="1" ht="24.95" customHeight="1"/>
    <row r="661" s="582" customFormat="1" ht="24.95" customHeight="1"/>
    <row r="662" s="582" customFormat="1" ht="24.95" customHeight="1"/>
    <row r="663" s="582" customFormat="1" ht="24.95" customHeight="1"/>
    <row r="664" s="582" customFormat="1" ht="24.95" customHeight="1"/>
    <row r="665" s="582" customFormat="1" ht="24.95" customHeight="1"/>
    <row r="666" s="582" customFormat="1" ht="24.95" customHeight="1"/>
    <row r="667" s="582" customFormat="1" ht="24.95" customHeight="1"/>
    <row r="668" s="582" customFormat="1" ht="24.95" customHeight="1"/>
    <row r="669" s="582" customFormat="1" ht="24.95" customHeight="1"/>
    <row r="670" s="582" customFormat="1" ht="24.95" customHeight="1"/>
    <row r="671" s="582" customFormat="1" ht="24.95" customHeight="1"/>
    <row r="672" s="582" customFormat="1" ht="24.95" customHeight="1"/>
    <row r="673" s="582" customFormat="1" ht="24.95" customHeight="1"/>
    <row r="674" s="582" customFormat="1" ht="24.95" customHeight="1"/>
    <row r="675" s="582" customFormat="1" ht="24.95" customHeight="1"/>
    <row r="676" s="582" customFormat="1" ht="24.95" customHeight="1"/>
    <row r="677" s="582" customFormat="1" ht="24.95" customHeight="1"/>
    <row r="678" s="582" customFormat="1" ht="24.95" customHeight="1"/>
    <row r="679" s="582" customFormat="1" ht="24.95" customHeight="1"/>
    <row r="680" s="582" customFormat="1" ht="24.95" customHeight="1"/>
    <row r="681" s="582" customFormat="1" ht="24.95" customHeight="1"/>
    <row r="682" s="582" customFormat="1" ht="24.95" customHeight="1"/>
    <row r="683" s="582" customFormat="1" ht="24.95" customHeight="1"/>
    <row r="684" s="582" customFormat="1" ht="24.95" customHeight="1"/>
    <row r="685" s="582" customFormat="1" ht="24.95" customHeight="1"/>
    <row r="686" s="582" customFormat="1" ht="24.95" customHeight="1"/>
    <row r="687" s="582" customFormat="1" ht="24.95" customHeight="1"/>
    <row r="688" s="582" customFormat="1" ht="24.95" customHeight="1"/>
    <row r="689" s="582" customFormat="1" ht="24.95" customHeight="1"/>
    <row r="690" s="582" customFormat="1" ht="24.95" customHeight="1"/>
    <row r="691" s="582" customFormat="1" ht="24.95" customHeight="1"/>
    <row r="692" s="582" customFormat="1" ht="24.95" customHeight="1"/>
    <row r="693" s="582" customFormat="1" ht="24.95" customHeight="1"/>
    <row r="694" s="582" customFormat="1" ht="24.95" customHeight="1"/>
    <row r="695" s="582" customFormat="1" ht="24.95" customHeight="1"/>
    <row r="696" s="582" customFormat="1" ht="24.95" customHeight="1"/>
    <row r="697" s="582" customFormat="1" ht="24.95" customHeight="1"/>
    <row r="698" s="582" customFormat="1" ht="24.95" customHeight="1"/>
    <row r="699" s="582" customFormat="1" ht="24.95" customHeight="1"/>
    <row r="700" s="582" customFormat="1" ht="24.95" customHeight="1"/>
    <row r="701" s="582" customFormat="1" ht="24.95" customHeight="1"/>
    <row r="702" s="582" customFormat="1" ht="24.95" customHeight="1"/>
    <row r="703" s="582" customFormat="1" ht="24.95" customHeight="1"/>
    <row r="704" s="582" customFormat="1" ht="24.95" customHeight="1"/>
    <row r="705" s="582" customFormat="1" ht="24.95" customHeight="1"/>
    <row r="706" s="582" customFormat="1" ht="24.95" customHeight="1"/>
    <row r="707" s="582" customFormat="1" ht="24.95" customHeight="1"/>
    <row r="708" s="582" customFormat="1" ht="24.95" customHeight="1"/>
    <row r="709" s="582" customFormat="1" ht="24.95" customHeight="1"/>
    <row r="710" s="582" customFormat="1" ht="24.95" customHeight="1"/>
    <row r="711" s="582" customFormat="1" ht="24.95" customHeight="1"/>
    <row r="712" s="582" customFormat="1" ht="24.95" customHeight="1"/>
    <row r="713" s="582" customFormat="1" ht="24.95" customHeight="1"/>
    <row r="714" s="582" customFormat="1" ht="24.95" customHeight="1"/>
    <row r="715" s="582" customFormat="1" ht="24.95" customHeight="1"/>
    <row r="716" s="582" customFormat="1" ht="24.95" customHeight="1"/>
    <row r="717" s="582" customFormat="1" ht="24.95" customHeight="1"/>
    <row r="718" s="582" customFormat="1" ht="24.95" customHeight="1"/>
    <row r="719" s="582" customFormat="1" ht="24.95" customHeight="1"/>
    <row r="720" s="582" customFormat="1" ht="24.95" customHeight="1"/>
    <row r="721" s="582" customFormat="1" ht="24.95" customHeight="1"/>
    <row r="722" s="582" customFormat="1" ht="24.95" customHeight="1"/>
    <row r="723" s="582" customFormat="1" ht="24.95" customHeight="1"/>
    <row r="724" s="582" customFormat="1" ht="24.95" customHeight="1"/>
    <row r="725" s="582" customFormat="1" ht="24.95" customHeight="1"/>
    <row r="726" s="582" customFormat="1" ht="24.95" customHeight="1"/>
    <row r="727" s="582" customFormat="1" ht="24.95" customHeight="1"/>
    <row r="728" s="582" customFormat="1" ht="24.95" customHeight="1"/>
    <row r="729" s="582" customFormat="1" ht="24.95" customHeight="1"/>
    <row r="730" s="582" customFormat="1" ht="24.95" customHeight="1"/>
    <row r="731" s="582" customFormat="1" ht="24.95" customHeight="1"/>
    <row r="732" s="582" customFormat="1" ht="24.95" customHeight="1"/>
    <row r="733" s="582" customFormat="1" ht="24.95" customHeight="1"/>
    <row r="734" s="582" customFormat="1" ht="24.95" customHeight="1"/>
    <row r="735" s="582" customFormat="1" ht="24.95" customHeight="1"/>
    <row r="736" s="582" customFormat="1" ht="24.95" customHeight="1"/>
    <row r="737" s="582" customFormat="1" ht="24.95" customHeight="1"/>
    <row r="738" s="582" customFormat="1" ht="24.95" customHeight="1"/>
    <row r="739" s="582" customFormat="1" ht="24.95" customHeight="1"/>
    <row r="740" s="582" customFormat="1" ht="24.95" customHeight="1"/>
    <row r="741" s="582" customFormat="1" ht="24.95" customHeight="1"/>
    <row r="742" s="582" customFormat="1" ht="24.95" customHeight="1"/>
    <row r="743" s="582" customFormat="1" ht="24.95" customHeight="1"/>
    <row r="744" s="582" customFormat="1" ht="24.95" customHeight="1"/>
    <row r="745" s="582" customFormat="1" ht="24.95" customHeight="1"/>
    <row r="746" s="582" customFormat="1" ht="24.95" customHeight="1"/>
    <row r="747" s="582" customFormat="1" ht="24.95" customHeight="1"/>
    <row r="748" s="582" customFormat="1" ht="24.95" customHeight="1"/>
    <row r="749" s="582" customFormat="1" ht="24.95" customHeight="1"/>
    <row r="750" s="582" customFormat="1" ht="24.95" customHeight="1"/>
    <row r="751" s="582" customFormat="1" ht="24.95" customHeight="1"/>
    <row r="752" s="582" customFormat="1" ht="24.95" customHeight="1"/>
    <row r="753" s="582" customFormat="1" ht="24.95" customHeight="1"/>
    <row r="754" s="582" customFormat="1" ht="24.95" customHeight="1"/>
    <row r="755" s="582" customFormat="1" ht="24.95" customHeight="1"/>
    <row r="756" s="582" customFormat="1" ht="24.95" customHeight="1"/>
    <row r="757" s="582" customFormat="1" ht="24.95" customHeight="1"/>
    <row r="758" s="582" customFormat="1" ht="24.95" customHeight="1"/>
    <row r="759" s="582" customFormat="1" ht="24.95" customHeight="1"/>
    <row r="760" s="582" customFormat="1" ht="24.95" customHeight="1"/>
    <row r="761" s="582" customFormat="1" ht="24.95" customHeight="1"/>
    <row r="762" s="582" customFormat="1" ht="24.95" customHeight="1"/>
    <row r="763" s="582" customFormat="1" ht="24.95" customHeight="1"/>
    <row r="764" s="582" customFormat="1" ht="24.95" customHeight="1"/>
    <row r="765" s="582" customFormat="1" ht="24.95" customHeight="1"/>
    <row r="766" s="582" customFormat="1" ht="24.95" customHeight="1"/>
    <row r="767" s="582" customFormat="1" ht="24.95" customHeight="1"/>
    <row r="768" s="582" customFormat="1" ht="24.95" customHeight="1"/>
    <row r="769" s="582" customFormat="1" ht="24.95" customHeight="1"/>
    <row r="770" s="582" customFormat="1" ht="24.95" customHeight="1"/>
    <row r="771" s="582" customFormat="1" ht="24.95" customHeight="1"/>
    <row r="772" s="582" customFormat="1" ht="24.95" customHeight="1"/>
    <row r="773" s="582" customFormat="1" ht="24.95" customHeight="1"/>
    <row r="774" s="582" customFormat="1" ht="24.95" customHeight="1"/>
    <row r="775" s="582" customFormat="1" ht="24.95" customHeight="1"/>
    <row r="776" s="582" customFormat="1" ht="24.95" customHeight="1"/>
    <row r="777" s="582" customFormat="1" ht="24.95" customHeight="1"/>
    <row r="778" s="582" customFormat="1" ht="24.95" customHeight="1"/>
    <row r="779" s="582" customFormat="1" ht="24.95" customHeight="1"/>
    <row r="780" s="582" customFormat="1" ht="24.95" customHeight="1"/>
    <row r="781" s="582" customFormat="1" ht="24.95" customHeight="1"/>
    <row r="782" s="582" customFormat="1" ht="24.95" customHeight="1"/>
    <row r="783" s="582" customFormat="1" ht="24.95" customHeight="1"/>
    <row r="784" s="582" customFormat="1" ht="24.95" customHeight="1"/>
    <row r="785" s="582" customFormat="1" ht="24.95" customHeight="1"/>
    <row r="786" s="582" customFormat="1" ht="24.95" customHeight="1"/>
    <row r="787" s="582" customFormat="1" ht="24.95" customHeight="1"/>
    <row r="788" s="582" customFormat="1" ht="24.95" customHeight="1"/>
    <row r="789" s="582" customFormat="1" ht="24.95" customHeight="1"/>
    <row r="790" s="582" customFormat="1" ht="24.95" customHeight="1"/>
    <row r="791" s="582" customFormat="1" ht="24.95" customHeight="1"/>
    <row r="792" s="582" customFormat="1" ht="24.95" customHeight="1"/>
    <row r="793" s="582" customFormat="1" ht="24.95" customHeight="1"/>
    <row r="794" s="582" customFormat="1" ht="24.95" customHeight="1"/>
    <row r="795" s="582" customFormat="1" ht="24.95" customHeight="1"/>
    <row r="796" s="582" customFormat="1" ht="24.95" customHeight="1"/>
    <row r="797" s="582" customFormat="1" ht="24.95" customHeight="1"/>
    <row r="798" s="582" customFormat="1" ht="24.95" customHeight="1"/>
    <row r="799" s="607" customFormat="1" ht="24.95" customHeight="1"/>
    <row r="800" s="607" customFormat="1" ht="24.95" customHeight="1"/>
    <row r="801" s="607" customFormat="1" ht="24.95" customHeight="1"/>
    <row r="802" s="607" customFormat="1" ht="24.95" customHeight="1"/>
    <row r="803" s="607" customFormat="1" ht="24.95" customHeight="1"/>
    <row r="804" s="607" customFormat="1" ht="24.95" customHeight="1"/>
    <row r="805" s="607" customFormat="1" ht="24.95" customHeight="1"/>
    <row r="806" s="607" customFormat="1" ht="24.95" customHeight="1"/>
    <row r="807" s="607" customFormat="1" ht="24.95" customHeight="1"/>
    <row r="808" s="607" customFormat="1" ht="24.95" customHeight="1"/>
    <row r="809" s="607" customFormat="1" ht="24.95" customHeight="1"/>
    <row r="810" s="607" customFormat="1" ht="24.95" customHeight="1"/>
    <row r="811" s="607" customFormat="1" ht="24.95" customHeight="1"/>
    <row r="812" s="607" customFormat="1" ht="24.95" customHeight="1"/>
    <row r="813" s="607" customFormat="1" ht="24.95" customHeight="1"/>
    <row r="814" s="607" customFormat="1" ht="24.95" customHeight="1"/>
    <row r="815" s="607" customFormat="1" ht="24.95" customHeight="1"/>
    <row r="816" s="607" customFormat="1" ht="24.95" customHeight="1"/>
    <row r="817" s="607" customFormat="1" ht="24.95" customHeight="1"/>
    <row r="818" s="607" customFormat="1" ht="24.95" customHeight="1"/>
    <row r="819" s="607" customFormat="1" ht="24.95" customHeight="1"/>
    <row r="820" s="607" customFormat="1" ht="24.95" customHeight="1"/>
    <row r="821" s="607" customFormat="1" ht="24.95" customHeight="1"/>
    <row r="822" s="607" customFormat="1" ht="24.95" customHeight="1"/>
    <row r="823" s="607" customFormat="1" ht="24.95" customHeight="1"/>
    <row r="824" s="607" customFormat="1" ht="24.95" customHeight="1"/>
    <row r="825" s="607" customFormat="1" ht="24.95" customHeight="1"/>
    <row r="826" s="607" customFormat="1" ht="24.95" customHeight="1"/>
    <row r="827" s="607" customFormat="1" ht="24.95" customHeight="1"/>
    <row r="828" s="607" customFormat="1" ht="24.95" customHeight="1"/>
    <row r="829" s="607" customFormat="1" ht="24.95" customHeight="1"/>
    <row r="830" s="607" customFormat="1" ht="24.95" customHeight="1"/>
    <row r="831" s="607" customFormat="1" ht="24.95" customHeight="1"/>
    <row r="832" s="607" customFormat="1" ht="24.95" customHeight="1"/>
    <row r="833" s="607" customFormat="1" ht="24.95" customHeight="1"/>
    <row r="834" s="607" customFormat="1" ht="24.95" customHeight="1"/>
    <row r="835" s="607" customFormat="1" ht="24.95" customHeight="1"/>
    <row r="836" s="607" customFormat="1" ht="24.95" customHeight="1"/>
    <row r="837" s="607" customFormat="1" ht="24.95" customHeight="1"/>
    <row r="838" s="607" customFormat="1" ht="24.95" customHeight="1"/>
    <row r="839" s="607" customFormat="1" ht="24.95" customHeight="1"/>
    <row r="840" s="607" customFormat="1" ht="24.95" customHeight="1"/>
    <row r="841" s="607" customFormat="1" ht="24.95" customHeight="1"/>
    <row r="842" s="607" customFormat="1" ht="24.95" customHeight="1"/>
    <row r="843" s="607" customFormat="1" ht="24.95" customHeight="1"/>
    <row r="844" s="607" customFormat="1" ht="24.95" customHeight="1"/>
    <row r="845" s="607" customFormat="1" ht="24.95" customHeight="1"/>
    <row r="846" s="607" customFormat="1" ht="24.95" customHeight="1"/>
    <row r="847" s="607" customFormat="1" ht="24.95" customHeight="1"/>
    <row r="848" s="607" customFormat="1" ht="24.95" customHeight="1"/>
    <row r="849" s="607" customFormat="1" ht="24.95" customHeight="1"/>
    <row r="850" s="607" customFormat="1" ht="24.95" customHeight="1"/>
    <row r="851" s="607" customFormat="1" ht="24.95" customHeight="1"/>
    <row r="852" s="607" customFormat="1" ht="24.95" customHeight="1"/>
    <row r="853" s="607" customFormat="1" ht="24.95" customHeight="1"/>
    <row r="854" s="607" customFormat="1" ht="24.95" customHeight="1"/>
    <row r="855" s="607" customFormat="1" ht="24.95" customHeight="1"/>
    <row r="856" s="607" customFormat="1" ht="24.95" customHeight="1"/>
    <row r="857" s="607" customFormat="1" ht="24.95" customHeight="1"/>
    <row r="858" s="607" customFormat="1" ht="24.95" customHeight="1"/>
    <row r="859" s="607" customFormat="1" ht="24.95" customHeight="1"/>
    <row r="860" s="607" customFormat="1" ht="24.95" customHeight="1"/>
    <row r="861" s="607" customFormat="1" ht="24.95" customHeight="1"/>
    <row r="862" s="607" customFormat="1" ht="24.95" customHeight="1"/>
    <row r="863" s="607" customFormat="1" ht="24.95" customHeight="1"/>
    <row r="864" s="607" customFormat="1" ht="24.95" customHeight="1"/>
    <row r="865" s="607" customFormat="1" ht="24.95" customHeight="1"/>
    <row r="866" s="607" customFormat="1" ht="24.95" customHeight="1"/>
    <row r="867" s="607" customFormat="1" ht="24.95" customHeight="1"/>
    <row r="868" s="607" customFormat="1" ht="24.95" customHeight="1"/>
    <row r="869" s="607" customFormat="1" ht="24.95" customHeight="1"/>
    <row r="870" s="607" customFormat="1" ht="24.95" customHeight="1"/>
    <row r="871" s="607" customFormat="1" ht="24.95" customHeight="1"/>
    <row r="872" s="607" customFormat="1" ht="24.95" customHeight="1"/>
    <row r="873" s="607" customFormat="1" ht="24.95" customHeight="1"/>
    <row r="874" s="607" customFormat="1" ht="24.95" customHeight="1"/>
    <row r="875" s="607" customFormat="1" ht="24.95" customHeight="1"/>
    <row r="876" s="607" customFormat="1" ht="24.95" customHeight="1"/>
    <row r="877" s="607" customFormat="1" ht="24.95" customHeight="1"/>
    <row r="878" s="607" customFormat="1" ht="24.95" customHeight="1"/>
    <row r="879" s="607" customFormat="1" ht="24.95" customHeight="1"/>
    <row r="880" s="607" customFormat="1" ht="24.95" customHeight="1"/>
    <row r="881" s="607" customFormat="1" ht="24.95" customHeight="1"/>
    <row r="882" s="607" customFormat="1" ht="24.95" customHeight="1"/>
    <row r="883" s="607" customFormat="1" ht="24.95" customHeight="1"/>
    <row r="884" s="607" customFormat="1" ht="24.95" customHeight="1"/>
    <row r="885" s="607" customFormat="1" ht="24.95" customHeight="1"/>
    <row r="886" s="607" customFormat="1" ht="24.95" customHeight="1"/>
    <row r="887" s="607" customFormat="1" ht="24.95" customHeight="1"/>
    <row r="888" s="607" customFormat="1" ht="24.95" customHeight="1"/>
    <row r="889" s="607" customFormat="1" ht="24.95" customHeight="1"/>
    <row r="890" s="607" customFormat="1" ht="24.95" customHeight="1"/>
    <row r="891" s="607" customFormat="1" ht="24.95" customHeight="1"/>
    <row r="892" s="607" customFormat="1" ht="24.95" customHeight="1"/>
    <row r="893" s="607" customFormat="1" ht="24.95" customHeight="1"/>
    <row r="894" s="607" customFormat="1" ht="24.95" customHeight="1"/>
    <row r="895" s="607" customFormat="1" ht="24.95" customHeight="1"/>
    <row r="896" s="607" customFormat="1" ht="24.95" customHeight="1"/>
    <row r="897" s="607" customFormat="1" ht="24.95" customHeight="1"/>
    <row r="898" s="607" customFormat="1" ht="24.95" customHeight="1"/>
    <row r="899" s="607" customFormat="1" ht="24.95" customHeight="1"/>
    <row r="900" s="607" customFormat="1" ht="24.95" customHeight="1"/>
    <row r="901" s="607" customFormat="1" ht="24.95" customHeight="1"/>
    <row r="902" s="607" customFormat="1" ht="24.95" customHeight="1"/>
    <row r="903" s="607" customFormat="1" ht="24.95" customHeight="1"/>
    <row r="904" s="607" customFormat="1" ht="24.95" customHeight="1"/>
    <row r="905" s="607" customFormat="1" ht="24.95" customHeight="1"/>
    <row r="906" s="607" customFormat="1" ht="24.95" customHeight="1"/>
    <row r="907" s="607" customFormat="1" ht="24.95" customHeight="1"/>
    <row r="908" s="607" customFormat="1" ht="24.95" customHeight="1"/>
    <row r="909" s="607" customFormat="1" ht="24.95" customHeight="1"/>
    <row r="910" s="607" customFormat="1" ht="24.95" customHeight="1"/>
    <row r="911" s="607" customFormat="1" ht="24.95" customHeight="1"/>
    <row r="912" s="607" customFormat="1" ht="24.95" customHeight="1"/>
    <row r="913" s="607" customFormat="1" ht="24.95" customHeight="1"/>
    <row r="914" s="607" customFormat="1" ht="24.95" customHeight="1"/>
    <row r="915" s="607" customFormat="1" ht="24.95" customHeight="1"/>
    <row r="916" s="607" customFormat="1" ht="24.95" customHeight="1"/>
    <row r="917" s="607" customFormat="1" ht="24.95" customHeight="1"/>
    <row r="918" s="607" customFormat="1" ht="24.95" customHeight="1"/>
    <row r="919" s="607" customFormat="1" ht="24.95" customHeight="1"/>
    <row r="920" s="607" customFormat="1" ht="24.95" customHeight="1"/>
    <row r="921" s="607" customFormat="1" ht="24.95" customHeight="1"/>
    <row r="922" s="607" customFormat="1" ht="24.95" customHeight="1"/>
    <row r="923" s="607" customFormat="1" ht="24.95" customHeight="1"/>
    <row r="924" s="607" customFormat="1" ht="24.95" customHeight="1"/>
    <row r="925" s="607" customFormat="1" ht="24.95" customHeight="1"/>
    <row r="926" s="607" customFormat="1" ht="24.95" customHeight="1"/>
    <row r="927" s="607" customFormat="1" ht="24.95" customHeight="1"/>
    <row r="928" s="607" customFormat="1" ht="24.95" customHeight="1"/>
    <row r="929" s="607" customFormat="1" ht="24.95" customHeight="1"/>
    <row r="930" s="607" customFormat="1" ht="24.95" customHeight="1"/>
    <row r="931" s="607" customFormat="1" ht="24.95" customHeight="1"/>
    <row r="932" s="607" customFormat="1" ht="24.95" customHeight="1"/>
    <row r="933" s="607" customFormat="1" ht="24.95" customHeight="1"/>
    <row r="934" s="607" customFormat="1" ht="24.95" customHeight="1"/>
    <row r="935" s="607" customFormat="1" ht="24.95" customHeight="1"/>
    <row r="936" s="607" customFormat="1" ht="24.95" customHeight="1"/>
    <row r="937" s="607" customFormat="1" ht="24.95" customHeight="1"/>
    <row r="938" s="607" customFormat="1" ht="24.95" customHeight="1"/>
    <row r="939" s="607" customFormat="1" ht="24.95" customHeight="1"/>
    <row r="940" s="607" customFormat="1" ht="24.95" customHeight="1"/>
    <row r="941" s="607" customFormat="1" ht="24.95" customHeight="1"/>
    <row r="942" s="607" customFormat="1" ht="24.95" customHeight="1"/>
    <row r="943" s="607" customFormat="1" ht="24.95" customHeight="1"/>
    <row r="944" s="607" customFormat="1" ht="24.95" customHeight="1"/>
    <row r="945" s="607" customFormat="1" ht="24.95" customHeight="1"/>
    <row r="946" s="607" customFormat="1" ht="24.95" customHeight="1"/>
    <row r="947" s="607" customFormat="1" ht="24.95" customHeight="1"/>
    <row r="948" s="607" customFormat="1" ht="24.95" customHeight="1"/>
    <row r="949" s="607" customFormat="1" ht="24.95" customHeight="1"/>
    <row r="950" s="607" customFormat="1" ht="24.95" customHeight="1"/>
    <row r="951" s="607" customFormat="1" ht="24.95" customHeight="1"/>
    <row r="952" s="607" customFormat="1" ht="24.95" customHeight="1"/>
    <row r="953" s="607" customFormat="1" ht="24.95" customHeight="1"/>
    <row r="954" s="607" customFormat="1" ht="24.95" customHeight="1"/>
    <row r="955" s="607" customFormat="1" ht="24.95" customHeight="1"/>
    <row r="956" s="607" customFormat="1" ht="24.95" customHeight="1"/>
    <row r="957" s="607" customFormat="1" ht="24.95" customHeight="1"/>
    <row r="958" s="607" customFormat="1" ht="24.95" customHeight="1"/>
    <row r="959" s="607" customFormat="1" ht="24.95" customHeight="1"/>
    <row r="960" s="607" customFormat="1" ht="24.95" customHeight="1"/>
    <row r="961" s="607" customFormat="1" ht="24.95" customHeight="1"/>
    <row r="962" s="607" customFormat="1" ht="24.95" customHeight="1"/>
    <row r="963" s="607" customFormat="1" ht="24.95" customHeight="1"/>
    <row r="964" s="607" customFormat="1" ht="24.95" customHeight="1"/>
    <row r="965" s="607" customFormat="1" ht="24.95" customHeight="1"/>
    <row r="966" s="607" customFormat="1" ht="24.95" customHeight="1"/>
    <row r="967" s="607" customFormat="1" ht="24.95" customHeight="1"/>
    <row r="968" s="607" customFormat="1" ht="24.95" customHeight="1"/>
    <row r="969" s="607" customFormat="1" ht="24.95" customHeight="1"/>
    <row r="970" s="607" customFormat="1" ht="24.95" customHeight="1"/>
    <row r="971" s="607" customFormat="1" ht="24.95" customHeight="1"/>
    <row r="972" s="607" customFormat="1" ht="24.95" customHeight="1"/>
    <row r="973" s="607" customFormat="1" ht="24.95" customHeight="1"/>
    <row r="974" s="607" customFormat="1" ht="24.95" customHeight="1"/>
    <row r="975" s="607" customFormat="1" ht="24.95" customHeight="1"/>
    <row r="976" s="607" customFormat="1" ht="24.95" customHeight="1"/>
    <row r="977" s="607" customFormat="1" ht="24.95" customHeight="1"/>
    <row r="978" s="607" customFormat="1" ht="24.95" customHeight="1"/>
    <row r="979" s="607" customFormat="1" ht="24.95" customHeight="1"/>
    <row r="980" s="607" customFormat="1" ht="24.95" customHeight="1"/>
    <row r="981" s="607" customFormat="1" ht="24.95" customHeight="1"/>
    <row r="982" s="607" customFormat="1" ht="24.95" customHeight="1"/>
    <row r="983" s="607" customFormat="1" ht="24.95" customHeight="1"/>
    <row r="984" s="607" customFormat="1" ht="24.95" customHeight="1"/>
    <row r="985" s="607" customFormat="1" ht="24.95" customHeight="1"/>
    <row r="986" s="607" customFormat="1" ht="24.95" customHeight="1"/>
    <row r="987" s="607" customFormat="1" ht="24.95" customHeight="1"/>
    <row r="988" s="607" customFormat="1" ht="24.95" customHeight="1"/>
    <row r="989" s="607" customFormat="1" ht="24.95" customHeight="1"/>
    <row r="990" s="607" customFormat="1" ht="24.95" customHeight="1"/>
    <row r="991" s="607" customFormat="1" ht="24.95" customHeight="1"/>
    <row r="992" s="607" customFormat="1" ht="24.95" customHeight="1"/>
    <row r="993" s="607" customFormat="1" ht="24.95" customHeight="1"/>
    <row r="994" s="607" customFormat="1" ht="24.95" customHeight="1"/>
    <row r="995" s="607" customFormat="1" ht="24.95" customHeight="1"/>
    <row r="996" s="607" customFormat="1" ht="24.95" customHeight="1"/>
    <row r="997" s="607" customFormat="1" ht="24.95" customHeight="1"/>
    <row r="998" s="607" customFormat="1" ht="24.95" customHeight="1"/>
    <row r="999" s="607" customFormat="1" ht="24.95" customHeight="1"/>
    <row r="1000" s="607" customFormat="1" ht="24.95" customHeight="1"/>
    <row r="1001" s="607" customFormat="1" ht="24.95" customHeight="1"/>
    <row r="1002" s="607" customFormat="1" ht="24.95" customHeight="1"/>
    <row r="1003" s="607" customFormat="1" ht="24.95" customHeight="1"/>
    <row r="1004" s="607" customFormat="1" ht="24.95" customHeight="1"/>
    <row r="1005" s="607" customFormat="1" ht="24.95" customHeight="1"/>
    <row r="1006" s="607" customFormat="1" ht="24.95" customHeight="1"/>
    <row r="1007" s="607" customFormat="1" ht="24.95" customHeight="1"/>
    <row r="1008" s="607" customFormat="1" ht="24.95" customHeight="1"/>
    <row r="1009" s="607" customFormat="1" ht="24.95" customHeight="1"/>
    <row r="1010" s="607" customFormat="1" ht="24.95" customHeight="1"/>
    <row r="1011" s="607" customFormat="1" ht="24.95" customHeight="1"/>
    <row r="1012" s="607" customFormat="1" ht="24.95" customHeight="1"/>
    <row r="1013" s="607" customFormat="1" ht="24.95" customHeight="1"/>
    <row r="1014" s="607" customFormat="1" ht="24.95" customHeight="1"/>
    <row r="1015" s="607" customFormat="1" ht="24.95" customHeight="1"/>
    <row r="1016" s="607" customFormat="1" ht="24.95" customHeight="1"/>
    <row r="1017" s="607" customFormat="1" ht="24.95" customHeight="1"/>
    <row r="1018" s="607" customFormat="1" ht="24.95" customHeight="1"/>
    <row r="1019" s="607" customFormat="1" ht="24.95" customHeight="1"/>
    <row r="1020" s="607" customFormat="1" ht="24.95" customHeight="1"/>
    <row r="1021" s="607" customFormat="1" ht="24.95" customHeight="1"/>
    <row r="1022" s="607" customFormat="1" ht="24.95" customHeight="1"/>
    <row r="1023" s="607" customFormat="1" ht="24.95" customHeight="1"/>
    <row r="1024" s="607" customFormat="1" ht="24.95" customHeight="1"/>
    <row r="1025" s="607" customFormat="1" ht="24.95" customHeight="1"/>
    <row r="1026" s="607" customFormat="1" ht="24.95" customHeight="1"/>
    <row r="1027" s="607" customFormat="1" ht="24.95" customHeight="1"/>
    <row r="1028" s="607" customFormat="1" ht="24.95" customHeight="1"/>
    <row r="1029" s="607" customFormat="1" ht="24.95" customHeight="1"/>
    <row r="1030" s="607" customFormat="1" ht="24.95" customHeight="1"/>
    <row r="1031" s="607" customFormat="1" ht="24.95" customHeight="1"/>
    <row r="1032" s="607" customFormat="1" ht="24.95" customHeight="1"/>
    <row r="1033" s="607" customFormat="1" ht="24.95" customHeight="1"/>
    <row r="1034" s="607" customFormat="1" ht="24.95" customHeight="1"/>
    <row r="1035" s="607" customFormat="1" ht="24.95" customHeight="1"/>
    <row r="1036" s="607" customFormat="1" ht="24.95" customHeight="1"/>
    <row r="1037" s="607" customFormat="1" ht="24.95" customHeight="1"/>
    <row r="1038" s="607" customFormat="1" ht="24.95" customHeight="1"/>
    <row r="1039" s="607" customFormat="1" ht="24.95" customHeight="1"/>
    <row r="1040" s="607" customFormat="1" ht="24.95" customHeight="1"/>
    <row r="1041" s="607" customFormat="1" ht="24.95" customHeight="1"/>
    <row r="1042" s="607" customFormat="1" ht="24.95" customHeight="1"/>
    <row r="1043" s="607" customFormat="1" ht="24.95" customHeight="1"/>
    <row r="1044" s="607" customFormat="1" ht="24.95" customHeight="1"/>
    <row r="1045" s="607" customFormat="1" ht="24.95" customHeight="1"/>
    <row r="1046" s="607" customFormat="1" ht="24.95" customHeight="1"/>
    <row r="1047" s="607" customFormat="1" ht="24.95" customHeight="1"/>
    <row r="1048" s="607" customFormat="1" ht="24.95" customHeight="1"/>
    <row r="1049" s="607" customFormat="1" ht="24.95" customHeight="1"/>
    <row r="1050" s="607" customFormat="1" ht="24.95" customHeight="1"/>
    <row r="1051" s="607" customFormat="1" ht="24.95" customHeight="1"/>
    <row r="1052" s="607" customFormat="1" ht="24.95" customHeight="1"/>
    <row r="1053" s="607" customFormat="1" ht="24.95" customHeight="1"/>
    <row r="1054" s="607" customFormat="1" ht="24.95" customHeight="1"/>
    <row r="1055" s="607" customFormat="1" ht="24.95" customHeight="1"/>
    <row r="1056" s="607" customFormat="1" ht="24.95" customHeight="1"/>
    <row r="1057" s="607" customFormat="1" ht="24.95" customHeight="1"/>
    <row r="1058" s="607" customFormat="1" ht="24.95" customHeight="1"/>
    <row r="1059" s="607" customFormat="1" ht="24.95" customHeight="1"/>
    <row r="1060" s="607" customFormat="1" ht="24.95" customHeight="1"/>
    <row r="1061" s="607" customFormat="1" ht="24.95" customHeight="1"/>
    <row r="1062" s="607" customFormat="1" ht="24.95" customHeight="1"/>
    <row r="1063" s="607" customFormat="1" ht="24.95" customHeight="1"/>
    <row r="1064" s="607" customFormat="1" ht="24.95" customHeight="1"/>
    <row r="1065" s="607" customFormat="1" ht="24.95" customHeight="1"/>
    <row r="1066" s="607" customFormat="1" ht="24.95" customHeight="1"/>
    <row r="1067" s="607" customFormat="1" ht="24.95" customHeight="1"/>
    <row r="1068" s="607" customFormat="1" ht="24.95" customHeight="1"/>
    <row r="1069" s="607" customFormat="1" ht="24.95" customHeight="1"/>
    <row r="1070" s="607" customFormat="1" ht="24.95" customHeight="1"/>
    <row r="1071" s="607" customFormat="1" ht="24.95" customHeight="1"/>
    <row r="1072" s="607" customFormat="1" ht="24.95" customHeight="1"/>
    <row r="1073" s="607" customFormat="1" ht="24.95" customHeight="1"/>
    <row r="1074" s="607" customFormat="1" ht="24.95" customHeight="1"/>
    <row r="1075" s="607" customFormat="1" ht="24.95" customHeight="1"/>
    <row r="1076" s="607" customFormat="1" ht="24.95" customHeight="1"/>
    <row r="1077" s="607" customFormat="1" ht="24.95" customHeight="1"/>
    <row r="1078" s="607" customFormat="1" ht="24.95" customHeight="1"/>
    <row r="1079" s="607" customFormat="1" ht="24.95" customHeight="1"/>
    <row r="1080" s="607" customFormat="1" ht="24.95" customHeight="1"/>
    <row r="1081" s="607" customFormat="1" ht="24.95" customHeight="1"/>
    <row r="1082" s="607" customFormat="1" ht="24.95" customHeight="1"/>
    <row r="1083" s="607" customFormat="1" ht="24.95" customHeight="1"/>
    <row r="1084" s="607" customFormat="1" ht="24.95" customHeight="1"/>
    <row r="1085" s="607" customFormat="1" ht="24.95" customHeight="1"/>
    <row r="1086" s="607" customFormat="1" ht="24.95" customHeight="1"/>
    <row r="1087" s="607" customFormat="1" ht="24.95" customHeight="1"/>
    <row r="1088" s="607" customFormat="1" ht="24.95" customHeight="1"/>
    <row r="1089" s="607" customFormat="1" ht="24.95" customHeight="1"/>
    <row r="1090" s="607" customFormat="1" ht="24.95" customHeight="1"/>
    <row r="1091" s="607" customFormat="1" ht="24.95" customHeight="1"/>
    <row r="1092" s="607" customFormat="1" ht="24.95" customHeight="1"/>
    <row r="1093" s="607" customFormat="1" ht="24.95" customHeight="1"/>
    <row r="1094" s="607" customFormat="1" ht="24.95" customHeight="1"/>
    <row r="1095" s="607" customFormat="1" ht="24.95" customHeight="1"/>
    <row r="1096" s="607" customFormat="1" ht="24.95" customHeight="1"/>
    <row r="1097" s="607" customFormat="1" ht="24.95" customHeight="1"/>
    <row r="1098" s="607" customFormat="1" ht="24.95" customHeight="1"/>
    <row r="1099" s="607" customFormat="1" ht="24.95" customHeight="1"/>
    <row r="1100" s="607" customFormat="1" ht="24.95" customHeight="1"/>
    <row r="1101" s="607" customFormat="1" ht="24.95" customHeight="1"/>
    <row r="1102" s="607" customFormat="1" ht="24.95" customHeight="1"/>
    <row r="1103" s="607" customFormat="1" ht="24.95" customHeight="1"/>
    <row r="1104" s="607" customFormat="1" ht="24.95" customHeight="1"/>
    <row r="1105" s="607" customFormat="1" ht="24.95" customHeight="1"/>
    <row r="1106" s="607" customFormat="1" ht="24.95" customHeight="1"/>
    <row r="1107" s="607" customFormat="1" ht="24.95" customHeight="1"/>
    <row r="1108" s="607" customFormat="1" ht="24.95" customHeight="1"/>
    <row r="1109" s="607" customFormat="1" ht="24.95" customHeight="1"/>
    <row r="1110" s="607" customFormat="1" ht="24.95" customHeight="1"/>
    <row r="1111" s="607" customFormat="1" ht="24.95" customHeight="1"/>
    <row r="1112" s="607" customFormat="1" ht="24.95" customHeight="1"/>
    <row r="1113" s="607" customFormat="1" ht="24.95" customHeight="1"/>
    <row r="1114" s="607" customFormat="1" ht="24.95" customHeight="1"/>
    <row r="1115" s="607" customFormat="1" ht="24.95" customHeight="1"/>
    <row r="1116" s="607" customFormat="1" ht="24.95" customHeight="1"/>
    <row r="1117" s="607" customFormat="1" ht="24.95" customHeight="1"/>
    <row r="1118" s="607" customFormat="1" ht="24.95" customHeight="1"/>
    <row r="1119" s="607" customFormat="1" ht="24.95" customHeight="1"/>
    <row r="1120" s="607" customFormat="1" ht="24.95" customHeight="1"/>
    <row r="1121" s="607" customFormat="1" ht="24.95" customHeight="1"/>
    <row r="1122" s="607" customFormat="1" ht="24.95" customHeight="1"/>
    <row r="1123" s="607" customFormat="1" ht="24.95" customHeight="1"/>
    <row r="1124" s="607" customFormat="1" ht="24.95" customHeight="1"/>
    <row r="1125" s="607" customFormat="1" ht="24.95" customHeight="1"/>
    <row r="1126" s="607" customFormat="1" ht="24.95" customHeight="1"/>
    <row r="1127" s="607" customFormat="1" ht="24.95" customHeight="1"/>
    <row r="1128" s="607" customFormat="1" ht="24.95" customHeight="1"/>
    <row r="1129" s="607" customFormat="1" ht="24.95" customHeight="1"/>
    <row r="1130" s="607" customFormat="1" ht="24.95" customHeight="1"/>
    <row r="1131" s="607" customFormat="1" ht="24.95" customHeight="1"/>
    <row r="1132" s="607" customFormat="1" ht="24.95" customHeight="1"/>
    <row r="1133" s="607" customFormat="1" ht="24.95" customHeight="1"/>
    <row r="1134" s="607" customFormat="1" ht="24.95" customHeight="1"/>
    <row r="1135" s="607" customFormat="1" ht="24.95" customHeight="1"/>
    <row r="1136" s="607" customFormat="1" ht="24.95" customHeight="1"/>
    <row r="1137" s="607" customFormat="1" ht="24.95" customHeight="1"/>
    <row r="1138" s="607" customFormat="1" ht="24.95" customHeight="1"/>
    <row r="1139" s="607" customFormat="1" ht="24.95" customHeight="1"/>
    <row r="1140" s="607" customFormat="1" ht="24.95" customHeight="1"/>
    <row r="1141" s="607" customFormat="1" ht="24.95" customHeight="1"/>
    <row r="1142" s="607" customFormat="1" ht="24.95" customHeight="1"/>
    <row r="1143" s="607" customFormat="1" ht="24.95" customHeight="1"/>
    <row r="1144" s="607" customFormat="1" ht="24.95" customHeight="1"/>
    <row r="1145" s="607" customFormat="1" ht="24.95" customHeight="1"/>
    <row r="1146" s="607" customFormat="1" ht="24.95" customHeight="1"/>
    <row r="1147" s="607" customFormat="1" ht="24.95" customHeight="1"/>
    <row r="1148" s="607" customFormat="1" ht="24.95" customHeight="1"/>
    <row r="1149" s="607" customFormat="1" ht="24.95" customHeight="1"/>
    <row r="1150" s="607" customFormat="1" ht="24.95" customHeight="1"/>
    <row r="1151" s="607" customFormat="1" ht="24.95" customHeight="1"/>
    <row r="1152" s="607" customFormat="1" ht="24.95" customHeight="1"/>
    <row r="1153" s="607" customFormat="1" ht="24.95" customHeight="1"/>
    <row r="1154" s="607" customFormat="1" ht="24.95" customHeight="1"/>
    <row r="1155" s="607" customFormat="1" ht="24.95" customHeight="1"/>
    <row r="1156" s="607" customFormat="1" ht="24.95" customHeight="1"/>
    <row r="1157" s="607" customFormat="1" ht="24.95" customHeight="1"/>
    <row r="1158" s="607" customFormat="1" ht="24.95" customHeight="1"/>
    <row r="1159" s="607" customFormat="1" ht="24.95" customHeight="1"/>
    <row r="1160" s="607" customFormat="1" ht="24.95" customHeight="1"/>
    <row r="1161" s="607" customFormat="1" ht="24.95" customHeight="1"/>
    <row r="1162" s="607" customFormat="1" ht="24.95" customHeight="1"/>
    <row r="1163" s="607" customFormat="1" ht="24.95" customHeight="1"/>
    <row r="1164" s="607" customFormat="1" ht="24.95" customHeight="1"/>
    <row r="1165" s="607" customFormat="1" ht="24.95" customHeight="1"/>
    <row r="1166" s="607" customFormat="1" ht="24.95" customHeight="1"/>
    <row r="1167" s="607" customFormat="1" ht="24.95" customHeight="1"/>
    <row r="1168" s="607" customFormat="1" ht="24.95" customHeight="1"/>
    <row r="1169" s="607" customFormat="1" ht="24.95" customHeight="1"/>
    <row r="1170" s="607" customFormat="1" ht="24.95" customHeight="1"/>
    <row r="1171" s="607" customFormat="1" ht="24.95" customHeight="1"/>
    <row r="1172" s="607" customFormat="1" ht="24.95" customHeight="1"/>
    <row r="1173" s="607" customFormat="1" ht="24.95" customHeight="1"/>
    <row r="1174" s="607" customFormat="1" ht="24.95" customHeight="1"/>
    <row r="1175" s="607" customFormat="1" ht="24.95" customHeight="1"/>
    <row r="1176" s="607" customFormat="1" ht="24.95" customHeight="1"/>
    <row r="1177" s="607" customFormat="1" ht="24.95" customHeight="1"/>
    <row r="1178" s="607" customFormat="1" ht="24.95" customHeight="1"/>
    <row r="1179" s="607" customFormat="1" ht="24.95" customHeight="1"/>
    <row r="1180" s="607" customFormat="1" ht="24.95" customHeight="1"/>
    <row r="1181" s="607" customFormat="1" ht="24.95" customHeight="1"/>
    <row r="1182" s="607" customFormat="1" ht="24.95" customHeight="1"/>
    <row r="1183" s="607" customFormat="1" ht="24.95" customHeight="1"/>
    <row r="1184" s="607" customFormat="1" ht="24.95" customHeight="1"/>
    <row r="1185" s="607" customFormat="1" ht="24.95" customHeight="1"/>
    <row r="1186" s="607" customFormat="1" ht="24.95" customHeight="1"/>
    <row r="1187" s="607" customFormat="1" ht="24.95" customHeight="1"/>
    <row r="1188" s="607" customFormat="1" ht="24.95" customHeight="1"/>
    <row r="1189" s="607" customFormat="1" ht="24.95" customHeight="1"/>
    <row r="1190" s="607" customFormat="1" ht="24.95" customHeight="1"/>
    <row r="1191" s="607" customFormat="1" ht="24.95" customHeight="1"/>
    <row r="1192" s="607" customFormat="1" ht="24.95" customHeight="1"/>
    <row r="1193" s="607" customFormat="1" ht="24.95" customHeight="1"/>
    <row r="1194" s="607" customFormat="1" ht="24.95" customHeight="1"/>
    <row r="1195" s="607" customFormat="1" ht="24.95" customHeight="1"/>
    <row r="1196" s="607" customFormat="1" ht="24.95" customHeight="1"/>
    <row r="1197" s="607" customFormat="1" ht="24.95" customHeight="1"/>
    <row r="1198" s="607" customFormat="1" ht="24.95" customHeight="1"/>
    <row r="1199" s="607" customFormat="1" ht="24.95" customHeight="1"/>
    <row r="1200" s="607" customFormat="1" ht="24.95" customHeight="1"/>
    <row r="1201" s="607" customFormat="1" ht="24.95" customHeight="1"/>
    <row r="1202" s="607" customFormat="1" ht="24.95" customHeight="1"/>
    <row r="1203" s="607" customFormat="1" ht="24.95" customHeight="1"/>
    <row r="1204" s="607" customFormat="1" ht="24.95" customHeight="1"/>
    <row r="1205" s="607" customFormat="1" ht="24.95" customHeight="1"/>
    <row r="1206" s="607" customFormat="1" ht="24.95" customHeight="1"/>
    <row r="1207" s="607" customFormat="1" ht="24.95" customHeight="1"/>
    <row r="1208" s="607" customFormat="1" ht="24.95" customHeight="1"/>
    <row r="1209" s="607" customFormat="1" ht="24.95" customHeight="1"/>
    <row r="1210" s="607" customFormat="1" ht="24.95" customHeight="1"/>
    <row r="1211" s="607" customFormat="1" ht="24.95" customHeight="1"/>
    <row r="1212" s="607" customFormat="1" ht="24.95" customHeight="1"/>
    <row r="1213" s="607" customFormat="1" ht="24.95" customHeight="1"/>
    <row r="1214" s="607" customFormat="1" ht="24.95" customHeight="1"/>
    <row r="1215" s="607" customFormat="1" ht="24.95" customHeight="1"/>
    <row r="1216" s="607" customFormat="1" ht="24.95" customHeight="1"/>
    <row r="1217" s="607" customFormat="1" ht="24.95" customHeight="1"/>
    <row r="1218" s="607" customFormat="1" ht="24.95" customHeight="1"/>
    <row r="1219" s="607" customFormat="1" ht="24.95" customHeight="1"/>
    <row r="1220" s="607" customFormat="1" ht="24.95" customHeight="1"/>
    <row r="1221" s="607" customFormat="1" ht="24.95" customHeight="1"/>
    <row r="1222" s="607" customFormat="1" ht="24.95" customHeight="1"/>
    <row r="1223" s="607" customFormat="1" ht="24.95" customHeight="1"/>
    <row r="1224" s="607" customFormat="1" ht="24.95" customHeight="1"/>
    <row r="1225" s="607" customFormat="1" ht="24.95" customHeight="1"/>
    <row r="1226" s="607" customFormat="1" ht="24.95" customHeight="1"/>
    <row r="1227" s="607" customFormat="1" ht="24.95" customHeight="1"/>
    <row r="1228" s="607" customFormat="1" ht="24.95" customHeight="1"/>
    <row r="1229" s="607" customFormat="1" ht="24.95" customHeight="1"/>
    <row r="1230" s="607" customFormat="1" ht="24.95" customHeight="1"/>
    <row r="1231" s="607" customFormat="1" ht="24.95" customHeight="1"/>
    <row r="1232" s="607" customFormat="1" ht="24.95" customHeight="1"/>
    <row r="1233" s="607" customFormat="1" ht="24.95" customHeight="1"/>
    <row r="1234" s="607" customFormat="1" ht="24.95" customHeight="1"/>
    <row r="1235" s="607" customFormat="1" ht="24.95" customHeight="1"/>
    <row r="1236" s="607" customFormat="1" ht="24.95" customHeight="1"/>
    <row r="1237" s="607" customFormat="1" ht="24.95" customHeight="1"/>
    <row r="1238" s="607" customFormat="1" ht="24.95" customHeight="1"/>
    <row r="1239" s="607" customFormat="1" ht="24.95" customHeight="1"/>
    <row r="1240" s="607" customFormat="1" ht="24.95" customHeight="1"/>
    <row r="1241" s="607" customFormat="1" ht="24.95" customHeight="1"/>
    <row r="1242" s="607" customFormat="1" ht="24.95" customHeight="1"/>
    <row r="1243" s="607" customFormat="1" ht="24.95" customHeight="1"/>
    <row r="1244" s="607" customFormat="1" ht="24.95" customHeight="1"/>
    <row r="1245" s="607" customFormat="1" ht="24.95" customHeight="1"/>
    <row r="1246" s="607" customFormat="1" ht="24.95" customHeight="1"/>
    <row r="1247" s="607" customFormat="1" ht="24.95" customHeight="1"/>
    <row r="1248" s="607" customFormat="1" ht="24.95" customHeight="1"/>
    <row r="1249" s="607" customFormat="1" ht="24.95" customHeight="1"/>
    <row r="1250" s="607" customFormat="1" ht="24.95" customHeight="1"/>
    <row r="1251" s="607" customFormat="1" ht="24.95" customHeight="1"/>
    <row r="1252" s="607" customFormat="1" ht="24.95" customHeight="1"/>
    <row r="1253" s="607" customFormat="1" ht="24.95" customHeight="1"/>
    <row r="1254" s="607" customFormat="1" ht="24.95" customHeight="1"/>
    <row r="1255" s="607" customFormat="1" ht="24.95" customHeight="1"/>
    <row r="1256" s="607" customFormat="1" ht="24.95" customHeight="1"/>
    <row r="1257" s="607" customFormat="1" ht="24.95" customHeight="1"/>
    <row r="1258" s="607" customFormat="1" ht="24.95" customHeight="1"/>
    <row r="1259" s="607" customFormat="1" ht="24.95" customHeight="1"/>
    <row r="1260" s="607" customFormat="1" ht="24.95" customHeight="1"/>
    <row r="1261" s="607" customFormat="1" ht="24.95" customHeight="1"/>
    <row r="1262" s="607" customFormat="1" ht="24.95" customHeight="1"/>
    <row r="1263" s="607" customFormat="1" ht="24.95" customHeight="1"/>
    <row r="1264" s="607" customFormat="1" ht="24.95" customHeight="1"/>
    <row r="1265" s="607" customFormat="1" ht="24.95" customHeight="1"/>
    <row r="1266" s="607" customFormat="1" ht="24.95" customHeight="1"/>
    <row r="1267" s="607" customFormat="1" ht="24.95" customHeight="1"/>
    <row r="1268" s="607" customFormat="1" ht="24.95" customHeight="1"/>
    <row r="1269" s="607" customFormat="1" ht="24.95" customHeight="1"/>
    <row r="1270" s="607" customFormat="1" ht="24.95" customHeight="1"/>
    <row r="1271" s="607" customFormat="1" ht="24.95" customHeight="1"/>
    <row r="1272" s="607" customFormat="1" ht="24.95" customHeight="1"/>
    <row r="1273" s="607" customFormat="1" ht="24.95" customHeight="1"/>
    <row r="1274" s="607" customFormat="1" ht="24.95" customHeight="1"/>
    <row r="1275" s="607" customFormat="1" ht="24.95" customHeight="1"/>
    <row r="1276" s="607" customFormat="1" ht="24.95" customHeight="1"/>
    <row r="1277" s="607" customFormat="1" ht="24.95" customHeight="1"/>
    <row r="1278" s="607" customFormat="1" ht="24.95" customHeight="1"/>
    <row r="1279" s="607" customFormat="1" ht="24.95" customHeight="1"/>
    <row r="1280" s="607" customFormat="1" ht="24.95" customHeight="1"/>
    <row r="1281" s="607" customFormat="1" ht="24.95" customHeight="1"/>
    <row r="1282" s="607" customFormat="1" ht="24.95" customHeight="1"/>
    <row r="1283" s="607" customFormat="1" ht="24.95" customHeight="1"/>
    <row r="1284" s="607" customFormat="1" ht="24.95" customHeight="1"/>
    <row r="1285" s="607" customFormat="1" ht="24.95" customHeight="1"/>
    <row r="1286" s="607" customFormat="1" ht="24.95" customHeight="1"/>
    <row r="1287" s="607" customFormat="1" ht="24.95" customHeight="1"/>
    <row r="1288" s="607" customFormat="1" ht="24.95" customHeight="1"/>
    <row r="1289" s="607" customFormat="1" ht="24.95" customHeight="1"/>
    <row r="1290" s="607" customFormat="1" ht="24.95" customHeight="1"/>
    <row r="1291" s="607" customFormat="1" ht="24.95" customHeight="1"/>
    <row r="1292" s="607" customFormat="1" ht="24.95" customHeight="1"/>
    <row r="1293" s="607" customFormat="1" ht="24.95" customHeight="1"/>
    <row r="1294" s="607" customFormat="1" ht="24.95" customHeight="1"/>
    <row r="1295" s="607" customFormat="1" ht="24.95" customHeight="1"/>
    <row r="1296" s="607" customFormat="1" ht="24.95" customHeight="1"/>
    <row r="1297" s="607" customFormat="1" ht="24.95" customHeight="1"/>
    <row r="1298" s="607" customFormat="1" ht="24.95" customHeight="1"/>
    <row r="1299" s="607" customFormat="1" ht="24.95" customHeight="1"/>
    <row r="1300" s="607" customFormat="1" ht="24.95" customHeight="1"/>
    <row r="1301" s="607" customFormat="1" ht="24.95" customHeight="1"/>
    <row r="1302" s="607" customFormat="1" ht="24.95" customHeight="1"/>
    <row r="1303" s="607" customFormat="1" ht="24.95" customHeight="1"/>
    <row r="1304" s="607" customFormat="1" ht="24.95" customHeight="1"/>
    <row r="1305" s="607" customFormat="1" ht="24.95" customHeight="1"/>
    <row r="1306" s="607" customFormat="1" ht="24.95" customHeight="1"/>
    <row r="1307" s="607" customFormat="1" ht="24.95" customHeight="1"/>
    <row r="1308" s="607" customFormat="1" ht="24.95" customHeight="1"/>
    <row r="1309" s="607" customFormat="1" ht="24.95" customHeight="1"/>
    <row r="1310" s="607" customFormat="1" ht="24.95" customHeight="1"/>
    <row r="1311" s="607" customFormat="1" ht="24.95" customHeight="1"/>
    <row r="1312" s="607" customFormat="1" ht="24.95" customHeight="1"/>
    <row r="1313" s="607" customFormat="1" ht="24.95" customHeight="1"/>
    <row r="1314" s="607" customFormat="1" ht="24.95" customHeight="1"/>
    <row r="1315" s="607" customFormat="1" ht="24.95" customHeight="1"/>
    <row r="1316" s="607" customFormat="1" ht="24.95" customHeight="1"/>
    <row r="1317" s="607" customFormat="1" ht="24.95" customHeight="1"/>
    <row r="1318" s="607" customFormat="1" ht="24.95" customHeight="1"/>
    <row r="1319" s="607" customFormat="1" ht="24.95" customHeight="1"/>
    <row r="1320" s="607" customFormat="1" ht="24.95" customHeight="1"/>
    <row r="1321" s="607" customFormat="1" ht="24.95" customHeight="1"/>
    <row r="1322" s="607" customFormat="1" ht="24.95" customHeight="1"/>
    <row r="1323" s="607" customFormat="1" ht="24.95" customHeight="1"/>
    <row r="1324" s="607" customFormat="1" ht="24.95" customHeight="1"/>
    <row r="1325" s="607" customFormat="1" ht="24.95" customHeight="1"/>
    <row r="1326" s="607" customFormat="1" ht="24.95" customHeight="1"/>
    <row r="1327" s="607" customFormat="1" ht="24.95" customHeight="1"/>
    <row r="1328" s="607" customFormat="1" ht="24.95" customHeight="1"/>
    <row r="1329" s="607" customFormat="1" ht="24.95" customHeight="1"/>
    <row r="1330" s="607" customFormat="1" ht="24.95" customHeight="1"/>
    <row r="1331" s="607" customFormat="1" ht="24.95" customHeight="1"/>
    <row r="1332" s="607" customFormat="1" ht="24.95" customHeight="1"/>
    <row r="1333" s="607" customFormat="1" ht="24.95" customHeight="1"/>
    <row r="1334" s="607" customFormat="1" ht="24.95" customHeight="1"/>
    <row r="1335" s="607" customFormat="1" ht="24.95" customHeight="1"/>
    <row r="1336" s="607" customFormat="1" ht="24.95" customHeight="1"/>
    <row r="1337" s="607" customFormat="1" ht="24.95" customHeight="1"/>
    <row r="1338" s="607" customFormat="1" ht="24.95" customHeight="1"/>
    <row r="1339" s="607" customFormat="1" ht="24.95" customHeight="1"/>
    <row r="1340" s="607" customFormat="1" ht="24.95" customHeight="1"/>
    <row r="1341" s="607" customFormat="1" ht="24.95" customHeight="1"/>
    <row r="1342" s="607" customFormat="1" ht="24.95" customHeight="1"/>
    <row r="1343" s="607" customFormat="1" ht="24.95" customHeight="1"/>
    <row r="1344" s="607" customFormat="1" ht="24.95" customHeight="1"/>
    <row r="1345" s="607" customFormat="1" ht="24.95" customHeight="1"/>
    <row r="1346" s="607" customFormat="1" ht="24.95" customHeight="1"/>
    <row r="1347" s="607" customFormat="1" ht="24.95" customHeight="1"/>
    <row r="1348" s="607" customFormat="1" ht="24.95" customHeight="1"/>
    <row r="1349" s="607" customFormat="1" ht="24.95" customHeight="1"/>
    <row r="1350" s="607" customFormat="1" ht="24.95" customHeight="1"/>
    <row r="1351" s="607" customFormat="1" ht="24.95" customHeight="1"/>
    <row r="1352" s="607" customFormat="1" ht="24.95" customHeight="1"/>
    <row r="1353" s="607" customFormat="1" ht="24.95" customHeight="1"/>
    <row r="1354" s="607" customFormat="1" ht="24.95" customHeight="1"/>
    <row r="1355" s="607" customFormat="1" ht="24.95" customHeight="1"/>
    <row r="1356" s="607" customFormat="1" ht="24.95" customHeight="1"/>
    <row r="1357" s="607" customFormat="1" ht="24.95" customHeight="1"/>
    <row r="1358" s="607" customFormat="1" ht="24.95" customHeight="1"/>
    <row r="1359" s="607" customFormat="1" ht="24.95" customHeight="1"/>
    <row r="1360" s="607" customFormat="1" ht="24.95" customHeight="1"/>
    <row r="1361" s="607" customFormat="1" ht="24.95" customHeight="1"/>
    <row r="1362" s="607" customFormat="1" ht="24.95" customHeight="1"/>
    <row r="1363" s="607" customFormat="1" ht="24.95" customHeight="1"/>
    <row r="1364" s="607" customFormat="1" ht="24.95" customHeight="1"/>
    <row r="1365" s="607" customFormat="1" ht="24.95" customHeight="1"/>
    <row r="1366" s="607" customFormat="1" ht="24.95" customHeight="1"/>
    <row r="1367" s="607" customFormat="1" ht="24.95" customHeight="1"/>
    <row r="1368" s="607" customFormat="1" ht="24.95" customHeight="1"/>
    <row r="1369" s="607" customFormat="1" ht="24.95" customHeight="1"/>
    <row r="1370" s="607" customFormat="1" ht="24.95" customHeight="1"/>
    <row r="1371" s="607" customFormat="1" ht="24.95" customHeight="1"/>
    <row r="1372" s="607" customFormat="1" ht="24.95" customHeight="1"/>
    <row r="1373" s="607" customFormat="1" ht="24.95" customHeight="1"/>
    <row r="1374" s="607" customFormat="1" ht="24.95" customHeight="1"/>
    <row r="1375" s="607" customFormat="1" ht="24.95" customHeight="1"/>
    <row r="1376" s="607" customFormat="1" ht="24.95" customHeight="1"/>
    <row r="1377" s="607" customFormat="1" ht="24.95" customHeight="1"/>
    <row r="1378" s="607" customFormat="1" ht="24.95" customHeight="1"/>
    <row r="1379" s="607" customFormat="1" ht="24.95" customHeight="1"/>
    <row r="1380" s="607" customFormat="1" ht="24.95" customHeight="1"/>
    <row r="1381" s="607" customFormat="1" ht="24.95" customHeight="1"/>
    <row r="1382" s="607" customFormat="1" ht="24.95" customHeight="1"/>
    <row r="1383" s="607" customFormat="1" ht="24.95" customHeight="1"/>
    <row r="1384" s="607" customFormat="1" ht="24.95" customHeight="1"/>
    <row r="1385" s="607" customFormat="1" ht="24.95" customHeight="1"/>
    <row r="1386" s="607" customFormat="1" ht="24.95" customHeight="1"/>
    <row r="1387" s="607" customFormat="1" ht="24.95" customHeight="1"/>
    <row r="1388" s="607" customFormat="1" ht="24.95" customHeight="1"/>
    <row r="1389" s="607" customFormat="1" ht="24.95" customHeight="1"/>
    <row r="1390" s="607" customFormat="1" ht="24.95" customHeight="1"/>
    <row r="1391" s="607" customFormat="1" ht="24.95" customHeight="1"/>
    <row r="1392" s="607" customFormat="1" ht="24.95" customHeight="1"/>
    <row r="1393" s="607" customFormat="1" ht="24.95" customHeight="1"/>
    <row r="1394" s="607" customFormat="1" ht="24.95" customHeight="1"/>
    <row r="1395" s="607" customFormat="1" ht="24.95" customHeight="1"/>
    <row r="1396" s="607" customFormat="1" ht="24.95" customHeight="1"/>
    <row r="1397" s="607" customFormat="1" ht="24.95" customHeight="1"/>
    <row r="1398" s="607" customFormat="1" ht="24.95" customHeight="1"/>
    <row r="1399" s="607" customFormat="1" ht="24.95" customHeight="1"/>
    <row r="1400" s="607" customFormat="1" ht="24.95" customHeight="1"/>
    <row r="1401" s="607" customFormat="1" ht="24.95" customHeight="1"/>
    <row r="1402" s="607" customFormat="1" ht="24.95" customHeight="1"/>
    <row r="1403" s="607" customFormat="1" ht="24.95" customHeight="1"/>
    <row r="1404" s="607" customFormat="1" ht="24.95" customHeight="1"/>
    <row r="1405" s="607" customFormat="1" ht="24.95" customHeight="1"/>
    <row r="1406" s="607" customFormat="1" ht="24.95" customHeight="1"/>
    <row r="1407" s="607" customFormat="1" ht="24.95" customHeight="1"/>
    <row r="1408" s="607" customFormat="1" ht="24.95" customHeight="1"/>
    <row r="1409" s="607" customFormat="1" ht="24.95" customHeight="1"/>
    <row r="1410" s="607" customFormat="1" ht="24.95" customHeight="1"/>
    <row r="1411" s="607" customFormat="1" ht="24.95" customHeight="1"/>
    <row r="1412" s="607" customFormat="1" ht="24.95" customHeight="1"/>
    <row r="1413" s="607" customFormat="1" ht="24.95" customHeight="1"/>
    <row r="1414" s="607" customFormat="1" ht="24.95" customHeight="1"/>
    <row r="1415" s="607" customFormat="1" ht="24.95" customHeight="1"/>
    <row r="1416" s="607" customFormat="1" ht="24.95" customHeight="1"/>
    <row r="1417" s="607" customFormat="1" ht="24.95" customHeight="1"/>
    <row r="1418" s="607" customFormat="1" ht="24.95" customHeight="1"/>
    <row r="1419" s="607" customFormat="1" ht="24.95" customHeight="1"/>
    <row r="1420" s="607" customFormat="1" ht="24.95" customHeight="1"/>
    <row r="1421" s="607" customFormat="1" ht="24.95" customHeight="1"/>
    <row r="1422" s="607" customFormat="1" ht="24.95" customHeight="1"/>
    <row r="1423" s="607" customFormat="1" ht="24.95" customHeight="1"/>
    <row r="1424" s="607" customFormat="1" ht="24.95" customHeight="1"/>
    <row r="1425" s="607" customFormat="1" ht="24.95" customHeight="1"/>
    <row r="1426" s="607" customFormat="1" ht="24.95" customHeight="1"/>
    <row r="1427" s="607" customFormat="1" ht="24.95" customHeight="1"/>
    <row r="1428" s="607" customFormat="1" ht="24.95" customHeight="1"/>
    <row r="1429" s="607" customFormat="1" ht="24.95" customHeight="1"/>
    <row r="1430" s="607" customFormat="1" ht="24.95" customHeight="1"/>
    <row r="1431" s="607" customFormat="1" ht="24.95" customHeight="1"/>
    <row r="1432" s="607" customFormat="1" ht="24.95" customHeight="1"/>
    <row r="1433" s="607" customFormat="1" ht="24.95" customHeight="1"/>
    <row r="1434" s="607" customFormat="1" ht="24.95" customHeight="1"/>
    <row r="1435" s="607" customFormat="1" ht="24.95" customHeight="1"/>
    <row r="1436" s="607" customFormat="1" ht="24.95" customHeight="1"/>
    <row r="1437" s="607" customFormat="1" ht="24.95" customHeight="1"/>
    <row r="1438" s="607" customFormat="1" ht="24.95" customHeight="1"/>
    <row r="1439" s="607" customFormat="1" ht="24.95" customHeight="1"/>
    <row r="1440" s="607" customFormat="1" ht="24.95" customHeight="1"/>
    <row r="1441" s="607" customFormat="1" ht="24.95" customHeight="1"/>
    <row r="1442" s="607" customFormat="1" ht="24.95" customHeight="1"/>
    <row r="1443" s="607" customFormat="1" ht="24.95" customHeight="1"/>
    <row r="1444" s="607" customFormat="1" ht="24.95" customHeight="1"/>
    <row r="1445" s="607" customFormat="1" ht="24.95" customHeight="1"/>
    <row r="1446" s="607" customFormat="1" ht="24.95" customHeight="1"/>
    <row r="1447" s="607" customFormat="1" ht="24.95" customHeight="1"/>
    <row r="1448" s="607" customFormat="1" ht="24.95" customHeight="1"/>
    <row r="1449" s="607" customFormat="1" ht="24.95" customHeight="1"/>
    <row r="1450" s="607" customFormat="1" ht="24.95" customHeight="1"/>
    <row r="1451" s="607" customFormat="1" ht="24.95" customHeight="1"/>
    <row r="1452" s="607" customFormat="1" ht="24.95" customHeight="1"/>
    <row r="1453" s="607" customFormat="1" ht="24.95" customHeight="1"/>
    <row r="1454" s="607" customFormat="1" ht="24.95" customHeight="1"/>
    <row r="1455" s="607" customFormat="1" ht="24.95" customHeight="1"/>
    <row r="1456" s="607" customFormat="1" ht="24.95" customHeight="1"/>
    <row r="1457" s="607" customFormat="1" ht="24.95" customHeight="1"/>
    <row r="1458" s="607" customFormat="1" ht="24.95" customHeight="1"/>
    <row r="1459" s="607" customFormat="1" ht="24.95" customHeight="1"/>
    <row r="1460" s="607" customFormat="1" ht="24.95" customHeight="1"/>
    <row r="1461" s="607" customFormat="1" ht="24.95" customHeight="1"/>
    <row r="1462" s="607" customFormat="1" ht="24.95" customHeight="1"/>
    <row r="1463" s="607" customFormat="1" ht="24.95" customHeight="1"/>
    <row r="1464" s="607" customFormat="1" ht="24.95" customHeight="1"/>
    <row r="1465" s="607" customFormat="1" ht="24.95" customHeight="1"/>
    <row r="1466" s="607" customFormat="1" ht="24.95" customHeight="1"/>
    <row r="1467" s="607" customFormat="1" ht="24.95" customHeight="1"/>
    <row r="1468" s="607" customFormat="1" ht="24.95" customHeight="1"/>
    <row r="1469" s="607" customFormat="1" ht="24.95" customHeight="1"/>
    <row r="1470" s="607" customFormat="1" ht="24.95" customHeight="1"/>
    <row r="1471" s="607" customFormat="1" ht="24.95" customHeight="1"/>
    <row r="1472" s="607" customFormat="1" ht="24.95" customHeight="1"/>
    <row r="1473" s="607" customFormat="1" ht="24.95" customHeight="1"/>
    <row r="1474" s="607" customFormat="1" ht="24.95" customHeight="1"/>
    <row r="1475" s="607" customFormat="1" ht="24.95" customHeight="1"/>
    <row r="1476" s="607" customFormat="1" ht="24.95" customHeight="1"/>
    <row r="1477" s="607" customFormat="1" ht="24.95" customHeight="1"/>
    <row r="1478" s="607" customFormat="1" ht="24.95" customHeight="1"/>
    <row r="1479" s="607" customFormat="1" ht="24.95" customHeight="1"/>
    <row r="1480" s="607" customFormat="1" ht="24.95" customHeight="1"/>
    <row r="1481" s="607" customFormat="1" ht="24.95" customHeight="1"/>
    <row r="1482" s="607" customFormat="1" ht="24.95" customHeight="1"/>
    <row r="1483" s="607" customFormat="1" ht="24.95" customHeight="1"/>
    <row r="1484" s="607" customFormat="1" ht="24.95" customHeight="1"/>
    <row r="1485" s="607" customFormat="1" ht="24.95" customHeight="1"/>
    <row r="1486" s="607" customFormat="1" ht="24.95" customHeight="1"/>
    <row r="1487" s="607" customFormat="1" ht="24.95" customHeight="1"/>
    <row r="1488" s="607" customFormat="1" ht="24.95" customHeight="1"/>
    <row r="1489" s="607" customFormat="1" ht="24.95" customHeight="1"/>
    <row r="1490" s="607" customFormat="1" ht="24.95" customHeight="1"/>
    <row r="1491" s="607" customFormat="1" ht="24.95" customHeight="1"/>
    <row r="1492" s="607" customFormat="1" ht="24.95" customHeight="1"/>
    <row r="1493" s="607" customFormat="1" ht="24.95" customHeight="1"/>
    <row r="1494" s="607" customFormat="1" ht="24.95" customHeight="1"/>
    <row r="1495" s="607" customFormat="1" ht="24.95" customHeight="1"/>
    <row r="1496" s="607" customFormat="1" ht="24.95" customHeight="1"/>
    <row r="1497" s="607" customFormat="1" ht="24.95" customHeight="1"/>
    <row r="1498" s="607" customFormat="1" ht="24.95" customHeight="1"/>
    <row r="1499" s="607" customFormat="1" ht="24.95" customHeight="1"/>
    <row r="1500" s="607" customFormat="1" ht="24.95" customHeight="1"/>
    <row r="1501" s="607" customFormat="1" ht="24.95" customHeight="1"/>
    <row r="1502" s="607" customFormat="1" ht="24.95" customHeight="1"/>
    <row r="1503" s="607" customFormat="1" ht="24.95" customHeight="1"/>
  </sheetData>
  <mergeCells count="21">
    <mergeCell ref="D14:G14"/>
    <mergeCell ref="A1:J3"/>
    <mergeCell ref="D4:G4"/>
    <mergeCell ref="D5:G5"/>
    <mergeCell ref="D6:G6"/>
    <mergeCell ref="D7:G7"/>
    <mergeCell ref="D8:G8"/>
    <mergeCell ref="D9:G9"/>
    <mergeCell ref="D10:G10"/>
    <mergeCell ref="D11:G11"/>
    <mergeCell ref="D12:G12"/>
    <mergeCell ref="D13:G13"/>
    <mergeCell ref="D21:G21"/>
    <mergeCell ref="A23:G23"/>
    <mergeCell ref="H25:J26"/>
    <mergeCell ref="D15:G15"/>
    <mergeCell ref="D16:G16"/>
    <mergeCell ref="D17:G17"/>
    <mergeCell ref="D18:G18"/>
    <mergeCell ref="D19:G19"/>
    <mergeCell ref="D20:G20"/>
  </mergeCells>
  <printOptions horizontalCentered="1"/>
  <pageMargins left="0.25" right="0.25" top="0.5" bottom="0.5" header="0.3" footer="0.3"/>
  <pageSetup paperSize="9" scale="5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8"/>
  <dimension ref="A1:J1496"/>
  <sheetViews>
    <sheetView showGridLines="0" rightToLeft="1" view="pageBreakPreview" zoomScale="75" zoomScaleNormal="85" zoomScaleSheetLayoutView="75" workbookViewId="0">
      <selection activeCell="L13" sqref="L13"/>
    </sheetView>
  </sheetViews>
  <sheetFormatPr defaultRowHeight="12.75"/>
  <cols>
    <col min="1" max="1" width="6.5703125" style="542" customWidth="1"/>
    <col min="2" max="2" width="20.7109375" style="542" bestFit="1" customWidth="1"/>
    <col min="3" max="3" width="20.5703125" style="542" bestFit="1" customWidth="1"/>
    <col min="4" max="4" width="4" style="542" customWidth="1"/>
    <col min="5" max="5" width="13.140625" style="542" bestFit="1" customWidth="1"/>
    <col min="6" max="6" width="7.140625" style="542" customWidth="1"/>
    <col min="7" max="7" width="44.42578125" style="542" customWidth="1"/>
    <col min="8" max="8" width="26.42578125" style="542" bestFit="1" customWidth="1"/>
    <col min="9" max="9" width="27.7109375" style="542" customWidth="1"/>
    <col min="10" max="10" width="21.7109375" style="542" customWidth="1"/>
    <col min="11" max="11" width="9.140625" style="542"/>
    <col min="12" max="12" width="21" style="542" customWidth="1"/>
    <col min="13" max="16384" width="9.140625" style="542"/>
  </cols>
  <sheetData>
    <row r="1" spans="1:10" s="543" customFormat="1" ht="54.75" customHeight="1">
      <c r="A1" s="749" t="s">
        <v>1610</v>
      </c>
      <c r="B1" s="750"/>
      <c r="C1" s="750"/>
      <c r="D1" s="750"/>
      <c r="E1" s="750"/>
      <c r="F1" s="750"/>
      <c r="G1" s="750"/>
      <c r="H1" s="750"/>
      <c r="I1" s="750"/>
      <c r="J1" s="750"/>
    </row>
    <row r="2" spans="1:10" s="543" customFormat="1" ht="54.75" customHeight="1">
      <c r="A2" s="750"/>
      <c r="B2" s="750"/>
      <c r="C2" s="750"/>
      <c r="D2" s="750"/>
      <c r="E2" s="750"/>
      <c r="F2" s="750"/>
      <c r="G2" s="750"/>
      <c r="H2" s="750"/>
      <c r="I2" s="750"/>
      <c r="J2" s="750"/>
    </row>
    <row r="3" spans="1:10" s="543" customFormat="1" ht="70.5" customHeight="1" thickBot="1">
      <c r="A3" s="751"/>
      <c r="B3" s="751"/>
      <c r="C3" s="751"/>
      <c r="D3" s="751"/>
      <c r="E3" s="751"/>
      <c r="F3" s="751"/>
      <c r="G3" s="751"/>
      <c r="H3" s="751"/>
      <c r="I3" s="751"/>
      <c r="J3" s="751"/>
    </row>
    <row r="4" spans="1:10" s="543" customFormat="1" ht="60.75" customHeight="1" thickBot="1">
      <c r="A4" s="551" t="s">
        <v>72</v>
      </c>
      <c r="B4" s="552" t="s">
        <v>1578</v>
      </c>
      <c r="C4" s="552" t="s">
        <v>153</v>
      </c>
      <c r="D4" s="752" t="s">
        <v>1579</v>
      </c>
      <c r="E4" s="752"/>
      <c r="F4" s="752"/>
      <c r="G4" s="752"/>
      <c r="H4" s="552" t="s">
        <v>1580</v>
      </c>
      <c r="I4" s="553" t="s">
        <v>1581</v>
      </c>
      <c r="J4" s="554" t="s">
        <v>160</v>
      </c>
    </row>
    <row r="5" spans="1:10" s="543" customFormat="1" ht="63.75" customHeight="1" thickTop="1">
      <c r="A5" s="544">
        <v>1</v>
      </c>
      <c r="B5" s="565" t="s">
        <v>1582</v>
      </c>
      <c r="C5" s="566" t="s">
        <v>1583</v>
      </c>
      <c r="D5" s="753" t="s">
        <v>1584</v>
      </c>
      <c r="E5" s="753"/>
      <c r="F5" s="753"/>
      <c r="G5" s="753"/>
      <c r="H5" s="555">
        <v>5000</v>
      </c>
      <c r="I5" s="556"/>
      <c r="J5" s="557">
        <f>H5</f>
        <v>5000</v>
      </c>
    </row>
    <row r="6" spans="1:10" s="543" customFormat="1" ht="63.75" customHeight="1">
      <c r="A6" s="545">
        <v>2</v>
      </c>
      <c r="B6" s="567" t="s">
        <v>1585</v>
      </c>
      <c r="C6" s="568" t="s">
        <v>1586</v>
      </c>
      <c r="D6" s="747" t="s">
        <v>1584</v>
      </c>
      <c r="E6" s="747"/>
      <c r="F6" s="747"/>
      <c r="G6" s="747"/>
      <c r="H6" s="558">
        <v>15000</v>
      </c>
      <c r="I6" s="559"/>
      <c r="J6" s="560">
        <f>J5+H6-I6</f>
        <v>20000</v>
      </c>
    </row>
    <row r="7" spans="1:10" s="543" customFormat="1" ht="63.75" customHeight="1">
      <c r="A7" s="545">
        <v>3</v>
      </c>
      <c r="B7" s="567" t="s">
        <v>1587</v>
      </c>
      <c r="C7" s="568" t="s">
        <v>1588</v>
      </c>
      <c r="D7" s="747" t="s">
        <v>1589</v>
      </c>
      <c r="E7" s="747"/>
      <c r="F7" s="747"/>
      <c r="G7" s="747"/>
      <c r="H7" s="558"/>
      <c r="I7" s="559">
        <v>21128</v>
      </c>
      <c r="J7" s="561">
        <f t="shared" ref="J7:J13" si="0">J6+H7-I7</f>
        <v>-1128</v>
      </c>
    </row>
    <row r="8" spans="1:10" s="543" customFormat="1" ht="63.75" customHeight="1">
      <c r="A8" s="545">
        <v>4</v>
      </c>
      <c r="B8" s="567" t="s">
        <v>1590</v>
      </c>
      <c r="C8" s="568" t="s">
        <v>1591</v>
      </c>
      <c r="D8" s="747" t="s">
        <v>1584</v>
      </c>
      <c r="E8" s="747"/>
      <c r="F8" s="747"/>
      <c r="G8" s="747"/>
      <c r="H8" s="558">
        <v>20000</v>
      </c>
      <c r="I8" s="559"/>
      <c r="J8" s="560">
        <f t="shared" si="0"/>
        <v>18872</v>
      </c>
    </row>
    <row r="9" spans="1:10" s="543" customFormat="1" ht="63.75" customHeight="1">
      <c r="A9" s="545">
        <v>5</v>
      </c>
      <c r="B9" s="567" t="s">
        <v>1592</v>
      </c>
      <c r="C9" s="568" t="s">
        <v>1593</v>
      </c>
      <c r="D9" s="747" t="s">
        <v>1594</v>
      </c>
      <c r="E9" s="747"/>
      <c r="F9" s="747"/>
      <c r="G9" s="747"/>
      <c r="H9" s="558"/>
      <c r="I9" s="559">
        <v>20585</v>
      </c>
      <c r="J9" s="561">
        <f t="shared" si="0"/>
        <v>-1713</v>
      </c>
    </row>
    <row r="10" spans="1:10" s="543" customFormat="1" ht="63.75" customHeight="1">
      <c r="A10" s="545">
        <v>6</v>
      </c>
      <c r="B10" s="567" t="s">
        <v>1595</v>
      </c>
      <c r="C10" s="568" t="s">
        <v>1596</v>
      </c>
      <c r="D10" s="747" t="s">
        <v>1584</v>
      </c>
      <c r="E10" s="747"/>
      <c r="F10" s="747"/>
      <c r="G10" s="747"/>
      <c r="H10" s="558">
        <v>19000</v>
      </c>
      <c r="I10" s="559"/>
      <c r="J10" s="560">
        <f t="shared" si="0"/>
        <v>17287</v>
      </c>
    </row>
    <row r="11" spans="1:10" s="543" customFormat="1" ht="63.75" customHeight="1">
      <c r="A11" s="545">
        <v>7</v>
      </c>
      <c r="B11" s="567" t="s">
        <v>1597</v>
      </c>
      <c r="C11" s="568" t="s">
        <v>1598</v>
      </c>
      <c r="D11" s="747" t="s">
        <v>1599</v>
      </c>
      <c r="E11" s="747"/>
      <c r="F11" s="747"/>
      <c r="G11" s="747"/>
      <c r="H11" s="558"/>
      <c r="I11" s="559">
        <v>23369</v>
      </c>
      <c r="J11" s="561">
        <f t="shared" si="0"/>
        <v>-6082</v>
      </c>
    </row>
    <row r="12" spans="1:10" s="543" customFormat="1" ht="63.75" customHeight="1">
      <c r="A12" s="545">
        <v>8</v>
      </c>
      <c r="B12" s="567" t="s">
        <v>1600</v>
      </c>
      <c r="C12" s="568" t="s">
        <v>1601</v>
      </c>
      <c r="D12" s="747" t="s">
        <v>1602</v>
      </c>
      <c r="E12" s="747"/>
      <c r="F12" s="747"/>
      <c r="G12" s="747"/>
      <c r="H12" s="558">
        <v>6080</v>
      </c>
      <c r="I12" s="559"/>
      <c r="J12" s="561">
        <f t="shared" si="0"/>
        <v>-2</v>
      </c>
    </row>
    <row r="13" spans="1:10" s="543" customFormat="1" ht="63.75" customHeight="1">
      <c r="A13" s="545">
        <v>9</v>
      </c>
      <c r="B13" s="567" t="s">
        <v>1603</v>
      </c>
      <c r="C13" s="568" t="s">
        <v>1601</v>
      </c>
      <c r="D13" s="747" t="s">
        <v>1604</v>
      </c>
      <c r="E13" s="747"/>
      <c r="F13" s="747"/>
      <c r="G13" s="747"/>
      <c r="H13" s="558">
        <v>20000</v>
      </c>
      <c r="I13" s="559"/>
      <c r="J13" s="560">
        <f t="shared" si="0"/>
        <v>19998</v>
      </c>
    </row>
    <row r="14" spans="1:10" s="543" customFormat="1" ht="63.75" customHeight="1" thickBot="1">
      <c r="A14" s="546">
        <v>10</v>
      </c>
      <c r="B14" s="569" t="s">
        <v>1605</v>
      </c>
      <c r="C14" s="570" t="s">
        <v>1606</v>
      </c>
      <c r="D14" s="748" t="s">
        <v>1607</v>
      </c>
      <c r="E14" s="748"/>
      <c r="F14" s="748"/>
      <c r="G14" s="748"/>
      <c r="H14" s="562"/>
      <c r="I14" s="563">
        <v>8007</v>
      </c>
      <c r="J14" s="564">
        <f>J13+H14-I14</f>
        <v>11991</v>
      </c>
    </row>
    <row r="15" spans="1:10" s="543" customFormat="1" ht="24.95" customHeight="1" thickBot="1">
      <c r="C15" s="547"/>
    </row>
    <row r="16" spans="1:10" s="543" customFormat="1" ht="60.75" customHeight="1" thickTop="1" thickBot="1">
      <c r="A16" s="743" t="s">
        <v>1608</v>
      </c>
      <c r="B16" s="744"/>
      <c r="C16" s="744"/>
      <c r="D16" s="744"/>
      <c r="E16" s="744"/>
      <c r="F16" s="744"/>
      <c r="G16" s="744"/>
      <c r="H16" s="549">
        <f>SUM(H5:H15)</f>
        <v>85080</v>
      </c>
      <c r="I16" s="549">
        <f>SUM(I5:I15)</f>
        <v>73089</v>
      </c>
      <c r="J16" s="550">
        <f>H16-I16</f>
        <v>11991</v>
      </c>
    </row>
    <row r="17" spans="3:10" s="543" customFormat="1" ht="24.95" customHeight="1" thickTop="1">
      <c r="C17" s="547"/>
    </row>
    <row r="18" spans="3:10" s="543" customFormat="1" ht="76.5" customHeight="1">
      <c r="C18" s="547"/>
      <c r="H18" s="745" t="s">
        <v>1609</v>
      </c>
      <c r="I18" s="746"/>
      <c r="J18" s="746"/>
    </row>
    <row r="19" spans="3:10" s="543" customFormat="1" ht="76.5" customHeight="1">
      <c r="C19" s="547"/>
      <c r="H19" s="746"/>
      <c r="I19" s="746"/>
      <c r="J19" s="746"/>
    </row>
    <row r="20" spans="3:10" s="543" customFormat="1" ht="24.95" customHeight="1">
      <c r="C20" s="547"/>
    </row>
    <row r="21" spans="3:10" s="543" customFormat="1" ht="24.95" customHeight="1">
      <c r="C21" s="547"/>
    </row>
    <row r="22" spans="3:10" s="543" customFormat="1" ht="24.95" customHeight="1">
      <c r="C22" s="547"/>
    </row>
    <row r="23" spans="3:10" s="543" customFormat="1" ht="24.95" customHeight="1">
      <c r="C23" s="547"/>
    </row>
    <row r="24" spans="3:10" s="543" customFormat="1" ht="24.95" customHeight="1"/>
    <row r="25" spans="3:10" s="543" customFormat="1" ht="24.95" customHeight="1"/>
    <row r="26" spans="3:10" s="543" customFormat="1" ht="24.95" customHeight="1"/>
    <row r="27" spans="3:10" s="543" customFormat="1" ht="24.95" customHeight="1"/>
    <row r="28" spans="3:10" s="543" customFormat="1" ht="24.95" customHeight="1"/>
    <row r="29" spans="3:10" s="543" customFormat="1" ht="24.95" customHeight="1"/>
    <row r="30" spans="3:10" s="543" customFormat="1" ht="24.95" customHeight="1"/>
    <row r="31" spans="3:10" s="543" customFormat="1" ht="24.95" customHeight="1"/>
    <row r="32" spans="3:10" s="543" customFormat="1" ht="24.95" customHeight="1"/>
    <row r="33" s="543" customFormat="1" ht="24.95" customHeight="1"/>
    <row r="34" s="543" customFormat="1" ht="24.95" customHeight="1"/>
    <row r="35" s="543" customFormat="1" ht="24.95" customHeight="1"/>
    <row r="36" s="543" customFormat="1" ht="24.95" customHeight="1"/>
    <row r="37" s="543" customFormat="1" ht="24.95" customHeight="1"/>
    <row r="38" s="543" customFormat="1" ht="24.95" customHeight="1"/>
    <row r="39" s="543" customFormat="1" ht="24.95" customHeight="1"/>
    <row r="40" s="543" customFormat="1" ht="24.95" customHeight="1"/>
    <row r="41" s="543" customFormat="1" ht="24.95" customHeight="1"/>
    <row r="42" s="543" customFormat="1" ht="24.95" customHeight="1"/>
    <row r="43" s="543" customFormat="1" ht="24.95" customHeight="1"/>
    <row r="44" s="543" customFormat="1" ht="24.95" customHeight="1"/>
    <row r="45" s="543" customFormat="1" ht="24.95" customHeight="1"/>
    <row r="46" s="543" customFormat="1" ht="24.95" customHeight="1"/>
    <row r="47" s="543" customFormat="1" ht="24.95" customHeight="1"/>
    <row r="48" s="543" customFormat="1" ht="24.95" customHeight="1"/>
    <row r="49" s="543" customFormat="1" ht="24.95" customHeight="1"/>
    <row r="50" s="543" customFormat="1" ht="24.95" customHeight="1"/>
    <row r="51" s="543" customFormat="1" ht="24.95" customHeight="1"/>
    <row r="52" s="543" customFormat="1" ht="24.95" customHeight="1"/>
    <row r="53" s="543" customFormat="1" ht="24.95" customHeight="1"/>
    <row r="54" s="543" customFormat="1" ht="24.95" customHeight="1"/>
    <row r="55" s="543" customFormat="1" ht="24.95" customHeight="1"/>
    <row r="56" s="543" customFormat="1" ht="24.95" customHeight="1"/>
    <row r="57" s="543" customFormat="1" ht="24.95" customHeight="1"/>
    <row r="58" s="543" customFormat="1" ht="24.95" customHeight="1"/>
    <row r="59" s="543" customFormat="1" ht="24.95" customHeight="1"/>
    <row r="60" s="543" customFormat="1" ht="24.95" customHeight="1"/>
    <row r="61" s="543" customFormat="1" ht="24.95" customHeight="1"/>
    <row r="62" s="543" customFormat="1" ht="24.95" customHeight="1"/>
    <row r="63" s="543" customFormat="1" ht="24.95" customHeight="1"/>
    <row r="64" s="543" customFormat="1" ht="24.95" customHeight="1"/>
    <row r="65" s="543" customFormat="1" ht="24.95" customHeight="1"/>
    <row r="66" s="543" customFormat="1" ht="24.95" customHeight="1"/>
    <row r="67" s="543" customFormat="1" ht="24.95" customHeight="1"/>
    <row r="68" s="543" customFormat="1" ht="24.95" customHeight="1"/>
    <row r="69" s="543" customFormat="1" ht="24.95" customHeight="1"/>
    <row r="70" s="543" customFormat="1" ht="24.95" customHeight="1"/>
    <row r="71" s="543" customFormat="1" ht="24.95" customHeight="1"/>
    <row r="72" s="543" customFormat="1" ht="24.95" customHeight="1"/>
    <row r="73" s="543" customFormat="1" ht="24.95" customHeight="1"/>
    <row r="74" s="543" customFormat="1" ht="24.95" customHeight="1"/>
    <row r="75" s="543" customFormat="1" ht="24.95" customHeight="1"/>
    <row r="76" s="543" customFormat="1" ht="24.95" customHeight="1"/>
    <row r="77" s="543" customFormat="1" ht="24.95" customHeight="1"/>
    <row r="78" s="543" customFormat="1" ht="24.95" customHeight="1"/>
    <row r="79" s="543" customFormat="1" ht="24.95" customHeight="1"/>
    <row r="80" s="543" customFormat="1" ht="24.95" customHeight="1"/>
    <row r="81" s="543" customFormat="1" ht="24.95" customHeight="1"/>
    <row r="82" s="543" customFormat="1" ht="24.95" customHeight="1"/>
    <row r="83" s="543" customFormat="1" ht="24.95" customHeight="1"/>
    <row r="84" s="543" customFormat="1" ht="24.95" customHeight="1"/>
    <row r="85" s="543" customFormat="1" ht="24.95" customHeight="1"/>
    <row r="86" s="543" customFormat="1" ht="24.95" customHeight="1"/>
    <row r="87" s="543" customFormat="1" ht="24.95" customHeight="1"/>
    <row r="88" s="543" customFormat="1" ht="24.95" customHeight="1"/>
    <row r="89" s="543" customFormat="1" ht="24.95" customHeight="1"/>
    <row r="90" s="543" customFormat="1" ht="24.95" customHeight="1"/>
    <row r="91" s="543" customFormat="1" ht="24.95" customHeight="1"/>
    <row r="92" s="543" customFormat="1" ht="24.95" customHeight="1"/>
    <row r="93" s="543" customFormat="1" ht="24.95" customHeight="1"/>
    <row r="94" s="543" customFormat="1" ht="24.95" customHeight="1"/>
    <row r="95" s="543" customFormat="1" ht="24.95" customHeight="1"/>
    <row r="96" s="543" customFormat="1" ht="24.95" customHeight="1"/>
    <row r="97" s="543" customFormat="1" ht="24.95" customHeight="1"/>
    <row r="98" s="543" customFormat="1" ht="24.95" customHeight="1"/>
    <row r="99" s="543" customFormat="1" ht="24.95" customHeight="1"/>
    <row r="100" s="543" customFormat="1" ht="24.95" customHeight="1"/>
    <row r="101" s="543" customFormat="1" ht="24.95" customHeight="1"/>
    <row r="102" s="543" customFormat="1" ht="24.95" customHeight="1"/>
    <row r="103" s="543" customFormat="1" ht="24.95" customHeight="1"/>
    <row r="104" s="543" customFormat="1" ht="24.95" customHeight="1"/>
    <row r="105" s="543" customFormat="1" ht="24.95" customHeight="1"/>
    <row r="106" s="543" customFormat="1" ht="24.95" customHeight="1"/>
    <row r="107" s="543" customFormat="1" ht="24.95" customHeight="1"/>
    <row r="108" s="543" customFormat="1" ht="24.95" customHeight="1"/>
    <row r="109" s="543" customFormat="1" ht="24.95" customHeight="1"/>
    <row r="110" s="543" customFormat="1" ht="24.95" customHeight="1"/>
    <row r="111" s="543" customFormat="1" ht="24.95" customHeight="1"/>
    <row r="112" s="543" customFormat="1" ht="24.95" customHeight="1"/>
    <row r="113" s="543" customFormat="1" ht="24.95" customHeight="1"/>
    <row r="114" s="543" customFormat="1" ht="24.95" customHeight="1"/>
    <row r="115" s="543" customFormat="1" ht="24.95" customHeight="1"/>
    <row r="116" s="543" customFormat="1" ht="24.95" customHeight="1"/>
    <row r="117" s="543" customFormat="1" ht="24.95" customHeight="1"/>
    <row r="118" s="543" customFormat="1" ht="24.95" customHeight="1"/>
    <row r="119" s="543" customFormat="1" ht="24.95" customHeight="1"/>
    <row r="120" s="543" customFormat="1" ht="24.95" customHeight="1"/>
    <row r="121" s="543" customFormat="1" ht="24.95" customHeight="1"/>
    <row r="122" s="543" customFormat="1" ht="24.95" customHeight="1"/>
    <row r="123" s="543" customFormat="1" ht="24.95" customHeight="1"/>
    <row r="124" s="543" customFormat="1" ht="24.95" customHeight="1"/>
    <row r="125" s="543" customFormat="1" ht="24.95" customHeight="1"/>
    <row r="126" s="543" customFormat="1" ht="24.95" customHeight="1"/>
    <row r="127" s="543" customFormat="1" ht="24.95" customHeight="1"/>
    <row r="128" s="543" customFormat="1" ht="24.95" customHeight="1"/>
    <row r="129" s="543" customFormat="1" ht="24.95" customHeight="1"/>
    <row r="130" s="543" customFormat="1" ht="24.95" customHeight="1"/>
    <row r="131" s="543" customFormat="1" ht="24.95" customHeight="1"/>
    <row r="132" s="543" customFormat="1" ht="24.95" customHeight="1"/>
    <row r="133" s="543" customFormat="1" ht="24.95" customHeight="1"/>
    <row r="134" s="543" customFormat="1" ht="24.95" customHeight="1"/>
    <row r="135" s="543" customFormat="1" ht="24.95" customHeight="1"/>
    <row r="136" s="543" customFormat="1" ht="24.95" customHeight="1"/>
    <row r="137" s="543" customFormat="1" ht="24.95" customHeight="1"/>
    <row r="138" s="543" customFormat="1" ht="24.95" customHeight="1"/>
    <row r="139" s="543" customFormat="1" ht="24.95" customHeight="1"/>
    <row r="140" s="543" customFormat="1" ht="24.95" customHeight="1"/>
    <row r="141" s="543" customFormat="1" ht="24.95" customHeight="1"/>
    <row r="142" s="543" customFormat="1" ht="24.95" customHeight="1"/>
    <row r="143" s="543" customFormat="1" ht="24.95" customHeight="1"/>
    <row r="144" s="543" customFormat="1" ht="24.95" customHeight="1"/>
    <row r="145" s="543" customFormat="1" ht="24.95" customHeight="1"/>
    <row r="146" s="543" customFormat="1" ht="24.95" customHeight="1"/>
    <row r="147" s="543" customFormat="1" ht="24.95" customHeight="1"/>
    <row r="148" s="543" customFormat="1" ht="24.95" customHeight="1"/>
    <row r="149" s="543" customFormat="1" ht="24.95" customHeight="1"/>
    <row r="150" s="543" customFormat="1" ht="24.95" customHeight="1"/>
    <row r="151" s="543" customFormat="1" ht="24.95" customHeight="1"/>
    <row r="152" s="543" customFormat="1" ht="24.95" customHeight="1"/>
    <row r="153" s="543" customFormat="1" ht="24.95" customHeight="1"/>
    <row r="154" s="543" customFormat="1" ht="24.95" customHeight="1"/>
    <row r="155" s="543" customFormat="1" ht="24.95" customHeight="1"/>
    <row r="156" s="543" customFormat="1" ht="24.95" customHeight="1"/>
    <row r="157" s="543" customFormat="1" ht="24.95" customHeight="1"/>
    <row r="158" s="543" customFormat="1" ht="24.95" customHeight="1"/>
    <row r="159" s="543" customFormat="1" ht="24.95" customHeight="1"/>
    <row r="160" s="543" customFormat="1" ht="24.95" customHeight="1"/>
    <row r="161" s="543" customFormat="1" ht="24.95" customHeight="1"/>
    <row r="162" s="543" customFormat="1" ht="24.95" customHeight="1"/>
    <row r="163" s="543" customFormat="1" ht="24.95" customHeight="1"/>
    <row r="164" s="543" customFormat="1" ht="24.95" customHeight="1"/>
    <row r="165" s="543" customFormat="1" ht="24.95" customHeight="1"/>
    <row r="166" s="543" customFormat="1" ht="24.95" customHeight="1"/>
    <row r="167" s="543" customFormat="1" ht="24.95" customHeight="1"/>
    <row r="168" s="543" customFormat="1" ht="24.95" customHeight="1"/>
    <row r="169" s="543" customFormat="1" ht="24.95" customHeight="1"/>
    <row r="170" s="543" customFormat="1" ht="24.95" customHeight="1"/>
    <row r="171" s="543" customFormat="1" ht="24.95" customHeight="1"/>
    <row r="172" s="543" customFormat="1" ht="24.95" customHeight="1"/>
    <row r="173" s="543" customFormat="1" ht="24.95" customHeight="1"/>
    <row r="174" s="543" customFormat="1" ht="24.95" customHeight="1"/>
    <row r="175" s="543" customFormat="1" ht="24.95" customHeight="1"/>
    <row r="176" s="543" customFormat="1" ht="24.95" customHeight="1"/>
    <row r="177" s="543" customFormat="1" ht="24.95" customHeight="1"/>
    <row r="178" s="543" customFormat="1" ht="24.95" customHeight="1"/>
    <row r="179" s="543" customFormat="1" ht="24.95" customHeight="1"/>
    <row r="180" s="543" customFormat="1" ht="24.95" customHeight="1"/>
    <row r="181" s="543" customFormat="1" ht="24.95" customHeight="1"/>
    <row r="182" s="543" customFormat="1" ht="24.95" customHeight="1"/>
    <row r="183" s="543" customFormat="1" ht="24.95" customHeight="1"/>
    <row r="184" s="543" customFormat="1" ht="24.95" customHeight="1"/>
    <row r="185" s="543" customFormat="1" ht="24.95" customHeight="1"/>
    <row r="186" s="543" customFormat="1" ht="24.95" customHeight="1"/>
    <row r="187" s="543" customFormat="1" ht="24.95" customHeight="1"/>
    <row r="188" s="543" customFormat="1" ht="24.95" customHeight="1"/>
    <row r="189" s="543" customFormat="1" ht="24.95" customHeight="1"/>
    <row r="190" s="543" customFormat="1" ht="24.95" customHeight="1"/>
    <row r="191" s="543" customFormat="1" ht="24.95" customHeight="1"/>
    <row r="192" s="543" customFormat="1" ht="24.95" customHeight="1"/>
    <row r="193" s="543" customFormat="1" ht="24.95" customHeight="1"/>
    <row r="194" s="543" customFormat="1" ht="24.95" customHeight="1"/>
    <row r="195" s="543" customFormat="1" ht="24.95" customHeight="1"/>
    <row r="196" s="543" customFormat="1" ht="24.95" customHeight="1"/>
    <row r="197" s="543" customFormat="1" ht="24.95" customHeight="1"/>
    <row r="198" s="543" customFormat="1" ht="24.95" customHeight="1"/>
    <row r="199" s="543" customFormat="1" ht="24.95" customHeight="1"/>
    <row r="200" s="543" customFormat="1" ht="24.95" customHeight="1"/>
    <row r="201" s="543" customFormat="1" ht="24.95" customHeight="1"/>
    <row r="202" s="543" customFormat="1" ht="24.95" customHeight="1"/>
    <row r="203" s="543" customFormat="1" ht="24.95" customHeight="1"/>
    <row r="204" s="543" customFormat="1" ht="24.95" customHeight="1"/>
    <row r="205" s="543" customFormat="1" ht="24.95" customHeight="1"/>
    <row r="206" s="543" customFormat="1" ht="24.95" customHeight="1"/>
    <row r="207" s="543" customFormat="1" ht="24.95" customHeight="1"/>
    <row r="208" s="543" customFormat="1" ht="24.95" customHeight="1"/>
    <row r="209" s="543" customFormat="1" ht="24.95" customHeight="1"/>
    <row r="210" s="543" customFormat="1" ht="24.95" customHeight="1"/>
    <row r="211" s="543" customFormat="1" ht="24.95" customHeight="1"/>
    <row r="212" s="543" customFormat="1" ht="24.95" customHeight="1"/>
    <row r="213" s="543" customFormat="1" ht="24.95" customHeight="1"/>
    <row r="214" s="543" customFormat="1" ht="24.95" customHeight="1"/>
    <row r="215" s="543" customFormat="1" ht="24.95" customHeight="1"/>
    <row r="216" s="543" customFormat="1" ht="24.95" customHeight="1"/>
    <row r="217" s="543" customFormat="1" ht="24.95" customHeight="1"/>
    <row r="218" s="543" customFormat="1" ht="24.95" customHeight="1"/>
    <row r="219" s="543" customFormat="1" ht="24.95" customHeight="1"/>
    <row r="220" s="543" customFormat="1" ht="24.95" customHeight="1"/>
    <row r="221" s="543" customFormat="1" ht="24.95" customHeight="1"/>
    <row r="222" s="543" customFormat="1" ht="24.95" customHeight="1"/>
    <row r="223" s="543" customFormat="1" ht="24.95" customHeight="1"/>
    <row r="224" s="543" customFormat="1" ht="24.95" customHeight="1"/>
    <row r="225" s="543" customFormat="1" ht="24.95" customHeight="1"/>
    <row r="226" s="543" customFormat="1" ht="24.95" customHeight="1"/>
    <row r="227" s="543" customFormat="1" ht="24.95" customHeight="1"/>
    <row r="228" s="543" customFormat="1" ht="24.95" customHeight="1"/>
    <row r="229" s="543" customFormat="1" ht="24.95" customHeight="1"/>
    <row r="230" s="543" customFormat="1" ht="24.95" customHeight="1"/>
    <row r="231" s="543" customFormat="1" ht="24.95" customHeight="1"/>
    <row r="232" s="543" customFormat="1" ht="24.95" customHeight="1"/>
    <row r="233" s="543" customFormat="1" ht="24.95" customHeight="1"/>
    <row r="234" s="543" customFormat="1" ht="24.95" customHeight="1"/>
    <row r="235" s="543" customFormat="1" ht="24.95" customHeight="1"/>
    <row r="236" s="543" customFormat="1" ht="24.95" customHeight="1"/>
    <row r="237" s="543" customFormat="1" ht="24.95" customHeight="1"/>
    <row r="238" s="543" customFormat="1" ht="24.95" customHeight="1"/>
    <row r="239" s="543" customFormat="1" ht="24.95" customHeight="1"/>
    <row r="240" s="543" customFormat="1" ht="24.95" customHeight="1"/>
    <row r="241" s="543" customFormat="1" ht="24.95" customHeight="1"/>
    <row r="242" s="543" customFormat="1" ht="24.95" customHeight="1"/>
    <row r="243" s="543" customFormat="1" ht="24.95" customHeight="1"/>
    <row r="244" s="543" customFormat="1" ht="24.95" customHeight="1"/>
    <row r="245" s="543" customFormat="1" ht="24.95" customHeight="1"/>
    <row r="246" s="543" customFormat="1" ht="24.95" customHeight="1"/>
    <row r="247" s="543" customFormat="1" ht="24.95" customHeight="1"/>
    <row r="248" s="543" customFormat="1" ht="24.95" customHeight="1"/>
    <row r="249" s="543" customFormat="1" ht="24.95" customHeight="1"/>
    <row r="250" s="543" customFormat="1" ht="24.95" customHeight="1"/>
    <row r="251" s="543" customFormat="1" ht="24.95" customHeight="1"/>
    <row r="252" s="543" customFormat="1" ht="24.95" customHeight="1"/>
    <row r="253" s="543" customFormat="1" ht="24.95" customHeight="1"/>
    <row r="254" s="543" customFormat="1" ht="24.95" customHeight="1"/>
    <row r="255" s="543" customFormat="1" ht="24.95" customHeight="1"/>
    <row r="256" s="543" customFormat="1" ht="24.95" customHeight="1"/>
    <row r="257" s="543" customFormat="1" ht="24.95" customHeight="1"/>
    <row r="258" s="543" customFormat="1" ht="24.95" customHeight="1"/>
    <row r="259" s="543" customFormat="1" ht="24.95" customHeight="1"/>
    <row r="260" s="543" customFormat="1" ht="24.95" customHeight="1"/>
    <row r="261" s="543" customFormat="1" ht="24.95" customHeight="1"/>
    <row r="262" s="543" customFormat="1" ht="24.95" customHeight="1"/>
    <row r="263" s="543" customFormat="1" ht="24.95" customHeight="1"/>
    <row r="264" s="543" customFormat="1" ht="24.95" customHeight="1"/>
    <row r="265" s="543" customFormat="1" ht="24.95" customHeight="1"/>
    <row r="266" s="543" customFormat="1" ht="24.95" customHeight="1"/>
    <row r="267" s="543" customFormat="1" ht="24.95" customHeight="1"/>
    <row r="268" s="543" customFormat="1" ht="24.95" customHeight="1"/>
    <row r="269" s="543" customFormat="1" ht="24.95" customHeight="1"/>
    <row r="270" s="543" customFormat="1" ht="24.95" customHeight="1"/>
    <row r="271" s="543" customFormat="1" ht="24.95" customHeight="1"/>
    <row r="272" s="543" customFormat="1" ht="24.95" customHeight="1"/>
    <row r="273" s="543" customFormat="1" ht="24.95" customHeight="1"/>
    <row r="274" s="543" customFormat="1" ht="24.95" customHeight="1"/>
    <row r="275" s="543" customFormat="1" ht="24.95" customHeight="1"/>
    <row r="276" s="543" customFormat="1" ht="24.95" customHeight="1"/>
    <row r="277" s="543" customFormat="1" ht="24.95" customHeight="1"/>
    <row r="278" s="543" customFormat="1" ht="24.95" customHeight="1"/>
    <row r="279" s="543" customFormat="1" ht="24.95" customHeight="1"/>
    <row r="280" s="543" customFormat="1" ht="24.95" customHeight="1"/>
    <row r="281" s="543" customFormat="1" ht="24.95" customHeight="1"/>
    <row r="282" s="543" customFormat="1" ht="24.95" customHeight="1"/>
    <row r="283" s="543" customFormat="1" ht="24.95" customHeight="1"/>
    <row r="284" s="543" customFormat="1" ht="24.95" customHeight="1"/>
    <row r="285" s="543" customFormat="1" ht="24.95" customHeight="1"/>
    <row r="286" s="543" customFormat="1" ht="24.95" customHeight="1"/>
    <row r="287" s="543" customFormat="1" ht="24.95" customHeight="1"/>
    <row r="288" s="543" customFormat="1" ht="24.95" customHeight="1"/>
    <row r="289" s="543" customFormat="1" ht="24.95" customHeight="1"/>
    <row r="290" s="543" customFormat="1" ht="24.95" customHeight="1"/>
    <row r="291" s="543" customFormat="1" ht="24.95" customHeight="1"/>
    <row r="292" s="543" customFormat="1" ht="24.95" customHeight="1"/>
    <row r="293" s="543" customFormat="1" ht="24.95" customHeight="1"/>
    <row r="294" s="543" customFormat="1" ht="24.95" customHeight="1"/>
    <row r="295" s="543" customFormat="1" ht="24.95" customHeight="1"/>
    <row r="296" s="543" customFormat="1" ht="24.95" customHeight="1"/>
    <row r="297" s="543" customFormat="1" ht="24.95" customHeight="1"/>
    <row r="298" s="543" customFormat="1" ht="24.95" customHeight="1"/>
    <row r="299" s="543" customFormat="1" ht="24.95" customHeight="1"/>
    <row r="300" s="543" customFormat="1" ht="24.95" customHeight="1"/>
    <row r="301" s="543" customFormat="1" ht="24.95" customHeight="1"/>
    <row r="302" s="543" customFormat="1" ht="24.95" customHeight="1"/>
    <row r="303" s="543" customFormat="1" ht="24.95" customHeight="1"/>
    <row r="304" s="543" customFormat="1" ht="24.95" customHeight="1"/>
    <row r="305" s="543" customFormat="1" ht="24.95" customHeight="1"/>
    <row r="306" s="543" customFormat="1" ht="24.95" customHeight="1"/>
    <row r="307" s="543" customFormat="1" ht="24.95" customHeight="1"/>
    <row r="308" s="543" customFormat="1" ht="24.95" customHeight="1"/>
    <row r="309" s="543" customFormat="1" ht="24.95" customHeight="1"/>
    <row r="310" s="543" customFormat="1" ht="24.95" customHeight="1"/>
    <row r="311" s="543" customFormat="1" ht="24.95" customHeight="1"/>
    <row r="312" s="543" customFormat="1" ht="24.95" customHeight="1"/>
    <row r="313" s="543" customFormat="1" ht="24.95" customHeight="1"/>
    <row r="314" s="543" customFormat="1" ht="24.95" customHeight="1"/>
    <row r="315" s="543" customFormat="1" ht="24.95" customHeight="1"/>
    <row r="316" s="543" customFormat="1" ht="24.95" customHeight="1"/>
    <row r="317" s="543" customFormat="1" ht="24.95" customHeight="1"/>
    <row r="318" s="543" customFormat="1" ht="24.95" customHeight="1"/>
    <row r="319" s="543" customFormat="1" ht="24.95" customHeight="1"/>
    <row r="320" s="543" customFormat="1" ht="24.95" customHeight="1"/>
    <row r="321" s="543" customFormat="1" ht="24.95" customHeight="1"/>
    <row r="322" s="543" customFormat="1" ht="24.95" customHeight="1"/>
    <row r="323" s="543" customFormat="1" ht="24.95" customHeight="1"/>
    <row r="324" s="543" customFormat="1" ht="24.95" customHeight="1"/>
    <row r="325" s="543" customFormat="1" ht="24.95" customHeight="1"/>
    <row r="326" s="543" customFormat="1" ht="24.95" customHeight="1"/>
    <row r="327" s="543" customFormat="1" ht="24.95" customHeight="1"/>
    <row r="328" s="543" customFormat="1" ht="24.95" customHeight="1"/>
    <row r="329" s="543" customFormat="1" ht="24.95" customHeight="1"/>
    <row r="330" s="543" customFormat="1" ht="24.95" customHeight="1"/>
    <row r="331" s="543" customFormat="1" ht="24.95" customHeight="1"/>
    <row r="332" s="543" customFormat="1" ht="24.95" customHeight="1"/>
    <row r="333" s="543" customFormat="1" ht="24.95" customHeight="1"/>
    <row r="334" s="543" customFormat="1" ht="24.95" customHeight="1"/>
    <row r="335" s="543" customFormat="1" ht="24.95" customHeight="1"/>
    <row r="336" s="543" customFormat="1" ht="24.95" customHeight="1"/>
    <row r="337" s="543" customFormat="1" ht="24.95" customHeight="1"/>
    <row r="338" s="543" customFormat="1" ht="24.95" customHeight="1"/>
    <row r="339" s="543" customFormat="1" ht="24.95" customHeight="1"/>
    <row r="340" s="543" customFormat="1" ht="24.95" customHeight="1"/>
    <row r="341" s="543" customFormat="1" ht="24.95" customHeight="1"/>
    <row r="342" s="543" customFormat="1" ht="24.95" customHeight="1"/>
    <row r="343" s="543" customFormat="1" ht="24.95" customHeight="1"/>
    <row r="344" s="543" customFormat="1" ht="24.95" customHeight="1"/>
    <row r="345" s="543" customFormat="1" ht="24.95" customHeight="1"/>
    <row r="346" s="543" customFormat="1" ht="24.95" customHeight="1"/>
    <row r="347" s="543" customFormat="1" ht="24.95" customHeight="1"/>
    <row r="348" s="543" customFormat="1" ht="24.95" customHeight="1"/>
    <row r="349" s="543" customFormat="1" ht="24.95" customHeight="1"/>
    <row r="350" s="543" customFormat="1" ht="24.95" customHeight="1"/>
    <row r="351" s="543" customFormat="1" ht="24.95" customHeight="1"/>
    <row r="352" s="543" customFormat="1" ht="24.95" customHeight="1"/>
    <row r="353" s="543" customFormat="1" ht="24.95" customHeight="1"/>
    <row r="354" s="543" customFormat="1" ht="24.95" customHeight="1"/>
    <row r="355" s="543" customFormat="1" ht="24.95" customHeight="1"/>
    <row r="356" s="543" customFormat="1" ht="24.95" customHeight="1"/>
    <row r="357" s="543" customFormat="1" ht="24.95" customHeight="1"/>
    <row r="358" s="543" customFormat="1" ht="24.95" customHeight="1"/>
    <row r="359" s="543" customFormat="1" ht="24.95" customHeight="1"/>
    <row r="360" s="543" customFormat="1" ht="24.95" customHeight="1"/>
    <row r="361" s="543" customFormat="1" ht="24.95" customHeight="1"/>
    <row r="362" s="543" customFormat="1" ht="24.95" customHeight="1"/>
    <row r="363" s="543" customFormat="1" ht="24.95" customHeight="1"/>
    <row r="364" s="543" customFormat="1" ht="24.95" customHeight="1"/>
    <row r="365" s="543" customFormat="1" ht="24.95" customHeight="1"/>
    <row r="366" s="543" customFormat="1" ht="24.95" customHeight="1"/>
    <row r="367" s="543" customFormat="1" ht="24.95" customHeight="1"/>
    <row r="368" s="543" customFormat="1" ht="24.95" customHeight="1"/>
    <row r="369" s="543" customFormat="1" ht="24.95" customHeight="1"/>
    <row r="370" s="543" customFormat="1" ht="24.95" customHeight="1"/>
    <row r="371" s="543" customFormat="1" ht="24.95" customHeight="1"/>
    <row r="372" s="543" customFormat="1" ht="24.95" customHeight="1"/>
    <row r="373" s="543" customFormat="1" ht="24.95" customHeight="1"/>
    <row r="374" s="543" customFormat="1" ht="24.95" customHeight="1"/>
    <row r="375" s="543" customFormat="1" ht="24.95" customHeight="1"/>
    <row r="376" s="543" customFormat="1" ht="24.95" customHeight="1"/>
    <row r="377" s="543" customFormat="1" ht="24.95" customHeight="1"/>
    <row r="378" s="543" customFormat="1" ht="24.95" customHeight="1"/>
    <row r="379" s="543" customFormat="1" ht="24.95" customHeight="1"/>
    <row r="380" s="543" customFormat="1" ht="24.95" customHeight="1"/>
    <row r="381" s="543" customFormat="1" ht="24.95" customHeight="1"/>
    <row r="382" s="543" customFormat="1" ht="24.95" customHeight="1"/>
    <row r="383" s="543" customFormat="1" ht="24.95" customHeight="1"/>
    <row r="384" s="543" customFormat="1" ht="24.95" customHeight="1"/>
    <row r="385" s="543" customFormat="1" ht="24.95" customHeight="1"/>
    <row r="386" s="543" customFormat="1" ht="24.95" customHeight="1"/>
    <row r="387" s="543" customFormat="1" ht="24.95" customHeight="1"/>
    <row r="388" s="543" customFormat="1" ht="24.95" customHeight="1"/>
    <row r="389" s="543" customFormat="1" ht="24.95" customHeight="1"/>
    <row r="390" s="543" customFormat="1" ht="24.95" customHeight="1"/>
    <row r="391" s="543" customFormat="1" ht="24.95" customHeight="1"/>
    <row r="392" s="543" customFormat="1" ht="24.95" customHeight="1"/>
    <row r="393" s="543" customFormat="1" ht="24.95" customHeight="1"/>
    <row r="394" s="543" customFormat="1" ht="24.95" customHeight="1"/>
    <row r="395" s="543" customFormat="1" ht="24.95" customHeight="1"/>
    <row r="396" s="543" customFormat="1" ht="24.95" customHeight="1"/>
    <row r="397" s="543" customFormat="1" ht="24.95" customHeight="1"/>
    <row r="398" s="543" customFormat="1" ht="24.95" customHeight="1"/>
    <row r="399" s="543" customFormat="1" ht="24.95" customHeight="1"/>
    <row r="400" s="543" customFormat="1" ht="24.95" customHeight="1"/>
    <row r="401" s="543" customFormat="1" ht="24.95" customHeight="1"/>
    <row r="402" s="543" customFormat="1" ht="24.95" customHeight="1"/>
    <row r="403" s="543" customFormat="1" ht="24.95" customHeight="1"/>
    <row r="404" s="543" customFormat="1" ht="24.95" customHeight="1"/>
    <row r="405" s="543" customFormat="1" ht="24.95" customHeight="1"/>
    <row r="406" s="543" customFormat="1" ht="24.95" customHeight="1"/>
    <row r="407" s="543" customFormat="1" ht="24.95" customHeight="1"/>
    <row r="408" s="543" customFormat="1" ht="24.95" customHeight="1"/>
    <row r="409" s="543" customFormat="1" ht="24.95" customHeight="1"/>
    <row r="410" s="543" customFormat="1" ht="24.95" customHeight="1"/>
    <row r="411" s="543" customFormat="1" ht="24.95" customHeight="1"/>
    <row r="412" s="543" customFormat="1" ht="24.95" customHeight="1"/>
    <row r="413" s="543" customFormat="1" ht="24.95" customHeight="1"/>
    <row r="414" s="543" customFormat="1" ht="24.95" customHeight="1"/>
    <row r="415" s="543" customFormat="1" ht="24.95" customHeight="1"/>
    <row r="416" s="543" customFormat="1" ht="24.95" customHeight="1"/>
    <row r="417" s="543" customFormat="1" ht="24.95" customHeight="1"/>
    <row r="418" s="543" customFormat="1" ht="24.95" customHeight="1"/>
    <row r="419" s="543" customFormat="1" ht="24.95" customHeight="1"/>
    <row r="420" s="543" customFormat="1" ht="24.95" customHeight="1"/>
    <row r="421" s="543" customFormat="1" ht="24.95" customHeight="1"/>
    <row r="422" s="543" customFormat="1" ht="24.95" customHeight="1"/>
    <row r="423" s="543" customFormat="1" ht="24.95" customHeight="1"/>
    <row r="424" s="543" customFormat="1" ht="24.95" customHeight="1"/>
    <row r="425" s="543" customFormat="1" ht="24.95" customHeight="1"/>
    <row r="426" s="543" customFormat="1" ht="24.95" customHeight="1"/>
    <row r="427" s="543" customFormat="1" ht="24.95" customHeight="1"/>
    <row r="428" s="543" customFormat="1" ht="24.95" customHeight="1"/>
    <row r="429" s="543" customFormat="1" ht="24.95" customHeight="1"/>
    <row r="430" s="543" customFormat="1" ht="24.95" customHeight="1"/>
    <row r="431" s="543" customFormat="1" ht="24.95" customHeight="1"/>
    <row r="432" s="543" customFormat="1" ht="24.95" customHeight="1"/>
    <row r="433" s="543" customFormat="1" ht="24.95" customHeight="1"/>
    <row r="434" s="543" customFormat="1" ht="24.95" customHeight="1"/>
    <row r="435" s="543" customFormat="1" ht="24.95" customHeight="1"/>
    <row r="436" s="543" customFormat="1" ht="24.95" customHeight="1"/>
    <row r="437" s="543" customFormat="1" ht="24.95" customHeight="1"/>
    <row r="438" s="543" customFormat="1" ht="24.95" customHeight="1"/>
    <row r="439" s="543" customFormat="1" ht="24.95" customHeight="1"/>
    <row r="440" s="543" customFormat="1" ht="24.95" customHeight="1"/>
    <row r="441" s="543" customFormat="1" ht="24.95" customHeight="1"/>
    <row r="442" s="543" customFormat="1" ht="24.95" customHeight="1"/>
    <row r="443" s="543" customFormat="1" ht="24.95" customHeight="1"/>
    <row r="444" s="543" customFormat="1" ht="24.95" customHeight="1"/>
    <row r="445" s="543" customFormat="1" ht="24.95" customHeight="1"/>
    <row r="446" s="543" customFormat="1" ht="24.95" customHeight="1"/>
    <row r="447" s="543" customFormat="1" ht="24.95" customHeight="1"/>
    <row r="448" s="543" customFormat="1" ht="24.95" customHeight="1"/>
    <row r="449" s="543" customFormat="1" ht="24.95" customHeight="1"/>
    <row r="450" s="543" customFormat="1" ht="24.95" customHeight="1"/>
    <row r="451" s="543" customFormat="1" ht="24.95" customHeight="1"/>
    <row r="452" s="543" customFormat="1" ht="24.95" customHeight="1"/>
    <row r="453" s="543" customFormat="1" ht="24.95" customHeight="1"/>
    <row r="454" s="543" customFormat="1" ht="24.95" customHeight="1"/>
    <row r="455" s="543" customFormat="1" ht="24.95" customHeight="1"/>
    <row r="456" s="543" customFormat="1" ht="24.95" customHeight="1"/>
    <row r="457" s="543" customFormat="1" ht="24.95" customHeight="1"/>
    <row r="458" s="543" customFormat="1" ht="24.95" customHeight="1"/>
    <row r="459" s="543" customFormat="1" ht="24.95" customHeight="1"/>
    <row r="460" s="543" customFormat="1" ht="24.95" customHeight="1"/>
    <row r="461" s="543" customFormat="1" ht="24.95" customHeight="1"/>
    <row r="462" s="543" customFormat="1" ht="24.95" customHeight="1"/>
    <row r="463" s="543" customFormat="1" ht="24.95" customHeight="1"/>
    <row r="464" s="543" customFormat="1" ht="24.95" customHeight="1"/>
    <row r="465" s="543" customFormat="1" ht="24.95" customHeight="1"/>
    <row r="466" s="543" customFormat="1" ht="24.95" customHeight="1"/>
    <row r="467" s="543" customFormat="1" ht="24.95" customHeight="1"/>
    <row r="468" s="543" customFormat="1" ht="24.95" customHeight="1"/>
    <row r="469" s="543" customFormat="1" ht="24.95" customHeight="1"/>
    <row r="470" s="543" customFormat="1" ht="24.95" customHeight="1"/>
    <row r="471" s="543" customFormat="1" ht="24.95" customHeight="1"/>
    <row r="472" s="543" customFormat="1" ht="24.95" customHeight="1"/>
    <row r="473" s="543" customFormat="1" ht="24.95" customHeight="1"/>
    <row r="474" s="543" customFormat="1" ht="24.95" customHeight="1"/>
    <row r="475" s="543" customFormat="1" ht="24.95" customHeight="1"/>
    <row r="476" s="543" customFormat="1" ht="24.95" customHeight="1"/>
    <row r="477" s="543" customFormat="1" ht="24.95" customHeight="1"/>
    <row r="478" s="543" customFormat="1" ht="24.95" customHeight="1"/>
    <row r="479" s="543" customFormat="1" ht="24.95" customHeight="1"/>
    <row r="480" s="543" customFormat="1" ht="24.95" customHeight="1"/>
    <row r="481" s="543" customFormat="1" ht="24.95" customHeight="1"/>
    <row r="482" s="543" customFormat="1" ht="24.95" customHeight="1"/>
    <row r="483" s="543" customFormat="1" ht="24.95" customHeight="1"/>
    <row r="484" s="543" customFormat="1" ht="24.95" customHeight="1"/>
    <row r="485" s="543" customFormat="1" ht="24.95" customHeight="1"/>
    <row r="486" s="543" customFormat="1" ht="24.95" customHeight="1"/>
    <row r="487" s="543" customFormat="1" ht="24.95" customHeight="1"/>
    <row r="488" s="543" customFormat="1" ht="24.95" customHeight="1"/>
    <row r="489" s="543" customFormat="1" ht="24.95" customHeight="1"/>
    <row r="490" s="543" customFormat="1" ht="24.95" customHeight="1"/>
    <row r="491" s="543" customFormat="1" ht="24.95" customHeight="1"/>
    <row r="492" s="543" customFormat="1" ht="24.95" customHeight="1"/>
    <row r="493" s="543" customFormat="1" ht="24.95" customHeight="1"/>
    <row r="494" s="543" customFormat="1" ht="24.95" customHeight="1"/>
    <row r="495" s="543" customFormat="1" ht="24.95" customHeight="1"/>
    <row r="496" s="543" customFormat="1" ht="24.95" customHeight="1"/>
    <row r="497" s="543" customFormat="1" ht="24.95" customHeight="1"/>
    <row r="498" s="543" customFormat="1" ht="24.95" customHeight="1"/>
    <row r="499" s="543" customFormat="1" ht="24.95" customHeight="1"/>
    <row r="500" s="543" customFormat="1" ht="24.95" customHeight="1"/>
    <row r="501" s="543" customFormat="1" ht="24.95" customHeight="1"/>
    <row r="502" s="543" customFormat="1" ht="24.95" customHeight="1"/>
    <row r="503" s="543" customFormat="1" ht="24.95" customHeight="1"/>
    <row r="504" s="543" customFormat="1" ht="24.95" customHeight="1"/>
    <row r="505" s="543" customFormat="1" ht="24.95" customHeight="1"/>
    <row r="506" s="543" customFormat="1" ht="24.95" customHeight="1"/>
    <row r="507" s="543" customFormat="1" ht="24.95" customHeight="1"/>
    <row r="508" s="543" customFormat="1" ht="24.95" customHeight="1"/>
    <row r="509" s="543" customFormat="1" ht="24.95" customHeight="1"/>
    <row r="510" s="543" customFormat="1" ht="24.95" customHeight="1"/>
    <row r="511" s="543" customFormat="1" ht="24.95" customHeight="1"/>
    <row r="512" s="543" customFormat="1" ht="24.95" customHeight="1"/>
    <row r="513" s="543" customFormat="1" ht="24.95" customHeight="1"/>
    <row r="514" s="543" customFormat="1" ht="24.95" customHeight="1"/>
    <row r="515" s="543" customFormat="1" ht="24.95" customHeight="1"/>
    <row r="516" s="543" customFormat="1" ht="24.95" customHeight="1"/>
    <row r="517" s="543" customFormat="1" ht="24.95" customHeight="1"/>
    <row r="518" s="543" customFormat="1" ht="24.95" customHeight="1"/>
    <row r="519" s="543" customFormat="1" ht="24.95" customHeight="1"/>
    <row r="520" s="543" customFormat="1" ht="24.95" customHeight="1"/>
    <row r="521" s="543" customFormat="1" ht="24.95" customHeight="1"/>
    <row r="522" s="543" customFormat="1" ht="24.95" customHeight="1"/>
    <row r="523" s="543" customFormat="1" ht="24.95" customHeight="1"/>
    <row r="524" s="543" customFormat="1" ht="24.95" customHeight="1"/>
    <row r="525" s="543" customFormat="1" ht="24.95" customHeight="1"/>
    <row r="526" s="543" customFormat="1" ht="24.95" customHeight="1"/>
    <row r="527" s="543" customFormat="1" ht="24.95" customHeight="1"/>
    <row r="528" s="543" customFormat="1" ht="24.95" customHeight="1"/>
    <row r="529" s="543" customFormat="1" ht="24.95" customHeight="1"/>
    <row r="530" s="543" customFormat="1" ht="24.95" customHeight="1"/>
    <row r="531" s="543" customFormat="1" ht="24.95" customHeight="1"/>
    <row r="532" s="543" customFormat="1" ht="24.95" customHeight="1"/>
    <row r="533" s="543" customFormat="1" ht="24.95" customHeight="1"/>
    <row r="534" s="543" customFormat="1" ht="24.95" customHeight="1"/>
    <row r="535" s="543" customFormat="1" ht="24.95" customHeight="1"/>
    <row r="536" s="543" customFormat="1" ht="24.95" customHeight="1"/>
    <row r="537" s="543" customFormat="1" ht="24.95" customHeight="1"/>
    <row r="538" s="543" customFormat="1" ht="24.95" customHeight="1"/>
    <row r="539" s="543" customFormat="1" ht="24.95" customHeight="1"/>
    <row r="540" s="543" customFormat="1" ht="24.95" customHeight="1"/>
    <row r="541" s="543" customFormat="1" ht="24.95" customHeight="1"/>
    <row r="542" s="543" customFormat="1" ht="24.95" customHeight="1"/>
    <row r="543" s="543" customFormat="1" ht="24.95" customHeight="1"/>
    <row r="544" s="543" customFormat="1" ht="24.95" customHeight="1"/>
    <row r="545" s="543" customFormat="1" ht="24.95" customHeight="1"/>
    <row r="546" s="543" customFormat="1" ht="24.95" customHeight="1"/>
    <row r="547" s="543" customFormat="1" ht="24.95" customHeight="1"/>
    <row r="548" s="543" customFormat="1" ht="24.95" customHeight="1"/>
    <row r="549" s="543" customFormat="1" ht="24.95" customHeight="1"/>
    <row r="550" s="543" customFormat="1" ht="24.95" customHeight="1"/>
    <row r="551" s="543" customFormat="1" ht="24.95" customHeight="1"/>
    <row r="552" s="543" customFormat="1" ht="24.95" customHeight="1"/>
    <row r="553" s="543" customFormat="1" ht="24.95" customHeight="1"/>
    <row r="554" s="543" customFormat="1" ht="24.95" customHeight="1"/>
    <row r="555" s="543" customFormat="1" ht="24.95" customHeight="1"/>
    <row r="556" s="543" customFormat="1" ht="24.95" customHeight="1"/>
    <row r="557" s="543" customFormat="1" ht="24.95" customHeight="1"/>
    <row r="558" s="543" customFormat="1" ht="24.95" customHeight="1"/>
    <row r="559" s="543" customFormat="1" ht="24.95" customHeight="1"/>
    <row r="560" s="543" customFormat="1" ht="24.95" customHeight="1"/>
    <row r="561" s="543" customFormat="1" ht="24.95" customHeight="1"/>
    <row r="562" s="543" customFormat="1" ht="24.95" customHeight="1"/>
    <row r="563" s="543" customFormat="1" ht="24.95" customHeight="1"/>
    <row r="564" s="543" customFormat="1" ht="24.95" customHeight="1"/>
    <row r="565" s="543" customFormat="1" ht="24.95" customHeight="1"/>
    <row r="566" s="543" customFormat="1" ht="24.95" customHeight="1"/>
    <row r="567" s="543" customFormat="1" ht="24.95" customHeight="1"/>
    <row r="568" s="543" customFormat="1" ht="24.95" customHeight="1"/>
    <row r="569" s="543" customFormat="1" ht="24.95" customHeight="1"/>
    <row r="570" s="543" customFormat="1" ht="24.95" customHeight="1"/>
    <row r="571" s="543" customFormat="1" ht="24.95" customHeight="1"/>
    <row r="572" s="543" customFormat="1" ht="24.95" customHeight="1"/>
    <row r="573" s="543" customFormat="1" ht="24.95" customHeight="1"/>
    <row r="574" s="543" customFormat="1" ht="24.95" customHeight="1"/>
    <row r="575" s="543" customFormat="1" ht="24.95" customHeight="1"/>
    <row r="576" s="543" customFormat="1" ht="24.95" customHeight="1"/>
    <row r="577" s="543" customFormat="1" ht="24.95" customHeight="1"/>
    <row r="578" s="543" customFormat="1" ht="24.95" customHeight="1"/>
    <row r="579" s="543" customFormat="1" ht="24.95" customHeight="1"/>
    <row r="580" s="543" customFormat="1" ht="24.95" customHeight="1"/>
    <row r="581" s="543" customFormat="1" ht="24.95" customHeight="1"/>
    <row r="582" s="543" customFormat="1" ht="24.95" customHeight="1"/>
    <row r="583" s="543" customFormat="1" ht="24.95" customHeight="1"/>
    <row r="584" s="543" customFormat="1" ht="24.95" customHeight="1"/>
    <row r="585" s="543" customFormat="1" ht="24.95" customHeight="1"/>
    <row r="586" s="543" customFormat="1" ht="24.95" customHeight="1"/>
    <row r="587" s="543" customFormat="1" ht="24.95" customHeight="1"/>
    <row r="588" s="543" customFormat="1" ht="24.95" customHeight="1"/>
    <row r="589" s="543" customFormat="1" ht="24.95" customHeight="1"/>
    <row r="590" s="543" customFormat="1" ht="24.95" customHeight="1"/>
    <row r="591" s="543" customFormat="1" ht="24.95" customHeight="1"/>
    <row r="592" s="543" customFormat="1" ht="24.95" customHeight="1"/>
    <row r="593" s="543" customFormat="1" ht="24.95" customHeight="1"/>
    <row r="594" s="543" customFormat="1" ht="24.95" customHeight="1"/>
    <row r="595" s="543" customFormat="1" ht="24.95" customHeight="1"/>
    <row r="596" s="543" customFormat="1" ht="24.95" customHeight="1"/>
    <row r="597" s="543" customFormat="1" ht="24.95" customHeight="1"/>
    <row r="598" s="543" customFormat="1" ht="24.95" customHeight="1"/>
    <row r="599" s="543" customFormat="1" ht="24.95" customHeight="1"/>
    <row r="600" s="543" customFormat="1" ht="24.95" customHeight="1"/>
    <row r="601" s="543" customFormat="1" ht="24.95" customHeight="1"/>
    <row r="602" s="543" customFormat="1" ht="24.95" customHeight="1"/>
    <row r="603" s="543" customFormat="1" ht="24.95" customHeight="1"/>
    <row r="604" s="543" customFormat="1" ht="24.95" customHeight="1"/>
    <row r="605" s="543" customFormat="1" ht="24.95" customHeight="1"/>
    <row r="606" s="543" customFormat="1" ht="24.95" customHeight="1"/>
    <row r="607" s="543" customFormat="1" ht="24.95" customHeight="1"/>
    <row r="608" s="543" customFormat="1" ht="24.95" customHeight="1"/>
    <row r="609" s="543" customFormat="1" ht="24.95" customHeight="1"/>
    <row r="610" s="543" customFormat="1" ht="24.95" customHeight="1"/>
    <row r="611" s="543" customFormat="1" ht="24.95" customHeight="1"/>
    <row r="612" s="543" customFormat="1" ht="24.95" customHeight="1"/>
    <row r="613" s="543" customFormat="1" ht="24.95" customHeight="1"/>
    <row r="614" s="543" customFormat="1" ht="24.95" customHeight="1"/>
    <row r="615" s="543" customFormat="1" ht="24.95" customHeight="1"/>
    <row r="616" s="543" customFormat="1" ht="24.95" customHeight="1"/>
    <row r="617" s="543" customFormat="1" ht="24.95" customHeight="1"/>
    <row r="618" s="543" customFormat="1" ht="24.95" customHeight="1"/>
    <row r="619" s="543" customFormat="1" ht="24.95" customHeight="1"/>
    <row r="620" s="543" customFormat="1" ht="24.95" customHeight="1"/>
    <row r="621" s="543" customFormat="1" ht="24.95" customHeight="1"/>
    <row r="622" s="543" customFormat="1" ht="24.95" customHeight="1"/>
    <row r="623" s="543" customFormat="1" ht="24.95" customHeight="1"/>
    <row r="624" s="543" customFormat="1" ht="24.95" customHeight="1"/>
    <row r="625" s="543" customFormat="1" ht="24.95" customHeight="1"/>
    <row r="626" s="543" customFormat="1" ht="24.95" customHeight="1"/>
    <row r="627" s="543" customFormat="1" ht="24.95" customHeight="1"/>
    <row r="628" s="543" customFormat="1" ht="24.95" customHeight="1"/>
    <row r="629" s="543" customFormat="1" ht="24.95" customHeight="1"/>
    <row r="630" s="543" customFormat="1" ht="24.95" customHeight="1"/>
    <row r="631" s="543" customFormat="1" ht="24.95" customHeight="1"/>
    <row r="632" s="543" customFormat="1" ht="24.95" customHeight="1"/>
    <row r="633" s="543" customFormat="1" ht="24.95" customHeight="1"/>
    <row r="634" s="543" customFormat="1" ht="24.95" customHeight="1"/>
    <row r="635" s="543" customFormat="1" ht="24.95" customHeight="1"/>
    <row r="636" s="543" customFormat="1" ht="24.95" customHeight="1"/>
    <row r="637" s="543" customFormat="1" ht="24.95" customHeight="1"/>
    <row r="638" s="543" customFormat="1" ht="24.95" customHeight="1"/>
    <row r="639" s="543" customFormat="1" ht="24.95" customHeight="1"/>
    <row r="640" s="543" customFormat="1" ht="24.95" customHeight="1"/>
    <row r="641" s="543" customFormat="1" ht="24.95" customHeight="1"/>
    <row r="642" s="543" customFormat="1" ht="24.95" customHeight="1"/>
    <row r="643" s="543" customFormat="1" ht="24.95" customHeight="1"/>
    <row r="644" s="543" customFormat="1" ht="24.95" customHeight="1"/>
    <row r="645" s="543" customFormat="1" ht="24.95" customHeight="1"/>
    <row r="646" s="543" customFormat="1" ht="24.95" customHeight="1"/>
    <row r="647" s="543" customFormat="1" ht="24.95" customHeight="1"/>
    <row r="648" s="543" customFormat="1" ht="24.95" customHeight="1"/>
    <row r="649" s="543" customFormat="1" ht="24.95" customHeight="1"/>
    <row r="650" s="543" customFormat="1" ht="24.95" customHeight="1"/>
    <row r="651" s="543" customFormat="1" ht="24.95" customHeight="1"/>
    <row r="652" s="543" customFormat="1" ht="24.95" customHeight="1"/>
    <row r="653" s="543" customFormat="1" ht="24.95" customHeight="1"/>
    <row r="654" s="543" customFormat="1" ht="24.95" customHeight="1"/>
    <row r="655" s="543" customFormat="1" ht="24.95" customHeight="1"/>
    <row r="656" s="543" customFormat="1" ht="24.95" customHeight="1"/>
    <row r="657" s="543" customFormat="1" ht="24.95" customHeight="1"/>
    <row r="658" s="543" customFormat="1" ht="24.95" customHeight="1"/>
    <row r="659" s="543" customFormat="1" ht="24.95" customHeight="1"/>
    <row r="660" s="543" customFormat="1" ht="24.95" customHeight="1"/>
    <row r="661" s="543" customFormat="1" ht="24.95" customHeight="1"/>
    <row r="662" s="543" customFormat="1" ht="24.95" customHeight="1"/>
    <row r="663" s="543" customFormat="1" ht="24.95" customHeight="1"/>
    <row r="664" s="543" customFormat="1" ht="24.95" customHeight="1"/>
    <row r="665" s="543" customFormat="1" ht="24.95" customHeight="1"/>
    <row r="666" s="543" customFormat="1" ht="24.95" customHeight="1"/>
    <row r="667" s="543" customFormat="1" ht="24.95" customHeight="1"/>
    <row r="668" s="543" customFormat="1" ht="24.95" customHeight="1"/>
    <row r="669" s="543" customFormat="1" ht="24.95" customHeight="1"/>
    <row r="670" s="543" customFormat="1" ht="24.95" customHeight="1"/>
    <row r="671" s="543" customFormat="1" ht="24.95" customHeight="1"/>
    <row r="672" s="543" customFormat="1" ht="24.95" customHeight="1"/>
    <row r="673" s="543" customFormat="1" ht="24.95" customHeight="1"/>
    <row r="674" s="543" customFormat="1" ht="24.95" customHeight="1"/>
    <row r="675" s="543" customFormat="1" ht="24.95" customHeight="1"/>
    <row r="676" s="543" customFormat="1" ht="24.95" customHeight="1"/>
    <row r="677" s="543" customFormat="1" ht="24.95" customHeight="1"/>
    <row r="678" s="543" customFormat="1" ht="24.95" customHeight="1"/>
    <row r="679" s="543" customFormat="1" ht="24.95" customHeight="1"/>
    <row r="680" s="543" customFormat="1" ht="24.95" customHeight="1"/>
    <row r="681" s="543" customFormat="1" ht="24.95" customHeight="1"/>
    <row r="682" s="543" customFormat="1" ht="24.95" customHeight="1"/>
    <row r="683" s="543" customFormat="1" ht="24.95" customHeight="1"/>
    <row r="684" s="543" customFormat="1" ht="24.95" customHeight="1"/>
    <row r="685" s="543" customFormat="1" ht="24.95" customHeight="1"/>
    <row r="686" s="543" customFormat="1" ht="24.95" customHeight="1"/>
    <row r="687" s="543" customFormat="1" ht="24.95" customHeight="1"/>
    <row r="688" s="543" customFormat="1" ht="24.95" customHeight="1"/>
    <row r="689" s="543" customFormat="1" ht="24.95" customHeight="1"/>
    <row r="690" s="543" customFormat="1" ht="24.95" customHeight="1"/>
    <row r="691" s="543" customFormat="1" ht="24.95" customHeight="1"/>
    <row r="692" s="543" customFormat="1" ht="24.95" customHeight="1"/>
    <row r="693" s="543" customFormat="1" ht="24.95" customHeight="1"/>
    <row r="694" s="543" customFormat="1" ht="24.95" customHeight="1"/>
    <row r="695" s="543" customFormat="1" ht="24.95" customHeight="1"/>
    <row r="696" s="543" customFormat="1" ht="24.95" customHeight="1"/>
    <row r="697" s="543" customFormat="1" ht="24.95" customHeight="1"/>
    <row r="698" s="543" customFormat="1" ht="24.95" customHeight="1"/>
    <row r="699" s="543" customFormat="1" ht="24.95" customHeight="1"/>
    <row r="700" s="543" customFormat="1" ht="24.95" customHeight="1"/>
    <row r="701" s="543" customFormat="1" ht="24.95" customHeight="1"/>
    <row r="702" s="543" customFormat="1" ht="24.95" customHeight="1"/>
    <row r="703" s="543" customFormat="1" ht="24.95" customHeight="1"/>
    <row r="704" s="543" customFormat="1" ht="24.95" customHeight="1"/>
    <row r="705" s="543" customFormat="1" ht="24.95" customHeight="1"/>
    <row r="706" s="543" customFormat="1" ht="24.95" customHeight="1"/>
    <row r="707" s="543" customFormat="1" ht="24.95" customHeight="1"/>
    <row r="708" s="543" customFormat="1" ht="24.95" customHeight="1"/>
    <row r="709" s="543" customFormat="1" ht="24.95" customHeight="1"/>
    <row r="710" s="543" customFormat="1" ht="24.95" customHeight="1"/>
    <row r="711" s="543" customFormat="1" ht="24.95" customHeight="1"/>
    <row r="712" s="543" customFormat="1" ht="24.95" customHeight="1"/>
    <row r="713" s="543" customFormat="1" ht="24.95" customHeight="1"/>
    <row r="714" s="543" customFormat="1" ht="24.95" customHeight="1"/>
    <row r="715" s="543" customFormat="1" ht="24.95" customHeight="1"/>
    <row r="716" s="543" customFormat="1" ht="24.95" customHeight="1"/>
    <row r="717" s="543" customFormat="1" ht="24.95" customHeight="1"/>
    <row r="718" s="543" customFormat="1" ht="24.95" customHeight="1"/>
    <row r="719" s="543" customFormat="1" ht="24.95" customHeight="1"/>
    <row r="720" s="543" customFormat="1" ht="24.95" customHeight="1"/>
    <row r="721" s="543" customFormat="1" ht="24.95" customHeight="1"/>
    <row r="722" s="543" customFormat="1" ht="24.95" customHeight="1"/>
    <row r="723" s="543" customFormat="1" ht="24.95" customHeight="1"/>
    <row r="724" s="543" customFormat="1" ht="24.95" customHeight="1"/>
    <row r="725" s="543" customFormat="1" ht="24.95" customHeight="1"/>
    <row r="726" s="543" customFormat="1" ht="24.95" customHeight="1"/>
    <row r="727" s="543" customFormat="1" ht="24.95" customHeight="1"/>
    <row r="728" s="543" customFormat="1" ht="24.95" customHeight="1"/>
    <row r="729" s="543" customFormat="1" ht="24.95" customHeight="1"/>
    <row r="730" s="543" customFormat="1" ht="24.95" customHeight="1"/>
    <row r="731" s="543" customFormat="1" ht="24.95" customHeight="1"/>
    <row r="732" s="543" customFormat="1" ht="24.95" customHeight="1"/>
    <row r="733" s="543" customFormat="1" ht="24.95" customHeight="1"/>
    <row r="734" s="543" customFormat="1" ht="24.95" customHeight="1"/>
    <row r="735" s="543" customFormat="1" ht="24.95" customHeight="1"/>
    <row r="736" s="543" customFormat="1" ht="24.95" customHeight="1"/>
    <row r="737" s="543" customFormat="1" ht="24.95" customHeight="1"/>
    <row r="738" s="543" customFormat="1" ht="24.95" customHeight="1"/>
    <row r="739" s="543" customFormat="1" ht="24.95" customHeight="1"/>
    <row r="740" s="543" customFormat="1" ht="24.95" customHeight="1"/>
    <row r="741" s="543" customFormat="1" ht="24.95" customHeight="1"/>
    <row r="742" s="543" customFormat="1" ht="24.95" customHeight="1"/>
    <row r="743" s="543" customFormat="1" ht="24.95" customHeight="1"/>
    <row r="744" s="543" customFormat="1" ht="24.95" customHeight="1"/>
    <row r="745" s="543" customFormat="1" ht="24.95" customHeight="1"/>
    <row r="746" s="543" customFormat="1" ht="24.95" customHeight="1"/>
    <row r="747" s="543" customFormat="1" ht="24.95" customHeight="1"/>
    <row r="748" s="543" customFormat="1" ht="24.95" customHeight="1"/>
    <row r="749" s="543" customFormat="1" ht="24.95" customHeight="1"/>
    <row r="750" s="543" customFormat="1" ht="24.95" customHeight="1"/>
    <row r="751" s="543" customFormat="1" ht="24.95" customHeight="1"/>
    <row r="752" s="543" customFormat="1" ht="24.95" customHeight="1"/>
    <row r="753" s="543" customFormat="1" ht="24.95" customHeight="1"/>
    <row r="754" s="543" customFormat="1" ht="24.95" customHeight="1"/>
    <row r="755" s="543" customFormat="1" ht="24.95" customHeight="1"/>
    <row r="756" s="543" customFormat="1" ht="24.95" customHeight="1"/>
    <row r="757" s="543" customFormat="1" ht="24.95" customHeight="1"/>
    <row r="758" s="543" customFormat="1" ht="24.95" customHeight="1"/>
    <row r="759" s="543" customFormat="1" ht="24.95" customHeight="1"/>
    <row r="760" s="543" customFormat="1" ht="24.95" customHeight="1"/>
    <row r="761" s="543" customFormat="1" ht="24.95" customHeight="1"/>
    <row r="762" s="543" customFormat="1" ht="24.95" customHeight="1"/>
    <row r="763" s="543" customFormat="1" ht="24.95" customHeight="1"/>
    <row r="764" s="543" customFormat="1" ht="24.95" customHeight="1"/>
    <row r="765" s="543" customFormat="1" ht="24.95" customHeight="1"/>
    <row r="766" s="543" customFormat="1" ht="24.95" customHeight="1"/>
    <row r="767" s="543" customFormat="1" ht="24.95" customHeight="1"/>
    <row r="768" s="543" customFormat="1" ht="24.95" customHeight="1"/>
    <row r="769" s="543" customFormat="1" ht="24.95" customHeight="1"/>
    <row r="770" s="543" customFormat="1" ht="24.95" customHeight="1"/>
    <row r="771" s="543" customFormat="1" ht="24.95" customHeight="1"/>
    <row r="772" s="543" customFormat="1" ht="24.95" customHeight="1"/>
    <row r="773" s="543" customFormat="1" ht="24.95" customHeight="1"/>
    <row r="774" s="543" customFormat="1" ht="24.95" customHeight="1"/>
    <row r="775" s="543" customFormat="1" ht="24.95" customHeight="1"/>
    <row r="776" s="543" customFormat="1" ht="24.95" customHeight="1"/>
    <row r="777" s="543" customFormat="1" ht="24.95" customHeight="1"/>
    <row r="778" s="543" customFormat="1" ht="24.95" customHeight="1"/>
    <row r="779" s="543" customFormat="1" ht="24.95" customHeight="1"/>
    <row r="780" s="543" customFormat="1" ht="24.95" customHeight="1"/>
    <row r="781" s="543" customFormat="1" ht="24.95" customHeight="1"/>
    <row r="782" s="543" customFormat="1" ht="24.95" customHeight="1"/>
    <row r="783" s="543" customFormat="1" ht="24.95" customHeight="1"/>
    <row r="784" s="543" customFormat="1" ht="24.95" customHeight="1"/>
    <row r="785" s="543" customFormat="1" ht="24.95" customHeight="1"/>
    <row r="786" s="543" customFormat="1" ht="24.95" customHeight="1"/>
    <row r="787" s="543" customFormat="1" ht="24.95" customHeight="1"/>
    <row r="788" s="543" customFormat="1" ht="24.95" customHeight="1"/>
    <row r="789" s="543" customFormat="1" ht="24.95" customHeight="1"/>
    <row r="790" s="543" customFormat="1" ht="24.95" customHeight="1"/>
    <row r="791" s="543" customFormat="1" ht="24.95" customHeight="1"/>
    <row r="792" s="548" customFormat="1" ht="24.95" customHeight="1"/>
    <row r="793" s="548" customFormat="1" ht="24.95" customHeight="1"/>
    <row r="794" s="548" customFormat="1" ht="24.95" customHeight="1"/>
    <row r="795" s="548" customFormat="1" ht="24.95" customHeight="1"/>
    <row r="796" s="548" customFormat="1" ht="24.95" customHeight="1"/>
    <row r="797" s="548" customFormat="1" ht="24.95" customHeight="1"/>
    <row r="798" s="548" customFormat="1" ht="24.95" customHeight="1"/>
    <row r="799" s="548" customFormat="1" ht="24.95" customHeight="1"/>
    <row r="800" s="548" customFormat="1" ht="24.95" customHeight="1"/>
    <row r="801" s="548" customFormat="1" ht="24.95" customHeight="1"/>
    <row r="802" s="548" customFormat="1" ht="24.95" customHeight="1"/>
    <row r="803" s="548" customFormat="1" ht="24.95" customHeight="1"/>
    <row r="804" s="548" customFormat="1" ht="24.95" customHeight="1"/>
    <row r="805" s="548" customFormat="1" ht="24.95" customHeight="1"/>
    <row r="806" s="548" customFormat="1" ht="24.95" customHeight="1"/>
    <row r="807" s="548" customFormat="1" ht="24.95" customHeight="1"/>
    <row r="808" s="548" customFormat="1" ht="24.95" customHeight="1"/>
    <row r="809" s="548" customFormat="1" ht="24.95" customHeight="1"/>
    <row r="810" s="548" customFormat="1" ht="24.95" customHeight="1"/>
    <row r="811" s="548" customFormat="1" ht="24.95" customHeight="1"/>
    <row r="812" s="548" customFormat="1" ht="24.95" customHeight="1"/>
    <row r="813" s="548" customFormat="1" ht="24.95" customHeight="1"/>
    <row r="814" s="548" customFormat="1" ht="24.95" customHeight="1"/>
    <row r="815" s="548" customFormat="1" ht="24.95" customHeight="1"/>
    <row r="816" s="548" customFormat="1" ht="24.95" customHeight="1"/>
    <row r="817" s="548" customFormat="1" ht="24.95" customHeight="1"/>
    <row r="818" s="548" customFormat="1" ht="24.95" customHeight="1"/>
    <row r="819" s="548" customFormat="1" ht="24.95" customHeight="1"/>
    <row r="820" s="548" customFormat="1" ht="24.95" customHeight="1"/>
    <row r="821" s="548" customFormat="1" ht="24.95" customHeight="1"/>
    <row r="822" s="548" customFormat="1" ht="24.95" customHeight="1"/>
    <row r="823" s="548" customFormat="1" ht="24.95" customHeight="1"/>
    <row r="824" s="548" customFormat="1" ht="24.95" customHeight="1"/>
    <row r="825" s="548" customFormat="1" ht="24.95" customHeight="1"/>
    <row r="826" s="548" customFormat="1" ht="24.95" customHeight="1"/>
    <row r="827" s="548" customFormat="1" ht="24.95" customHeight="1"/>
    <row r="828" s="548" customFormat="1" ht="24.95" customHeight="1"/>
    <row r="829" s="548" customFormat="1" ht="24.95" customHeight="1"/>
    <row r="830" s="548" customFormat="1" ht="24.95" customHeight="1"/>
    <row r="831" s="548" customFormat="1" ht="24.95" customHeight="1"/>
    <row r="832" s="548" customFormat="1" ht="24.95" customHeight="1"/>
    <row r="833" s="548" customFormat="1" ht="24.95" customHeight="1"/>
    <row r="834" s="548" customFormat="1" ht="24.95" customHeight="1"/>
    <row r="835" s="548" customFormat="1" ht="24.95" customHeight="1"/>
    <row r="836" s="548" customFormat="1" ht="24.95" customHeight="1"/>
    <row r="837" s="548" customFormat="1" ht="24.95" customHeight="1"/>
    <row r="838" s="548" customFormat="1" ht="24.95" customHeight="1"/>
    <row r="839" s="548" customFormat="1" ht="24.95" customHeight="1"/>
    <row r="840" s="548" customFormat="1" ht="24.95" customHeight="1"/>
    <row r="841" s="548" customFormat="1" ht="24.95" customHeight="1"/>
    <row r="842" s="548" customFormat="1" ht="24.95" customHeight="1"/>
    <row r="843" s="548" customFormat="1" ht="24.95" customHeight="1"/>
    <row r="844" s="548" customFormat="1" ht="24.95" customHeight="1"/>
    <row r="845" s="548" customFormat="1" ht="24.95" customHeight="1"/>
    <row r="846" s="548" customFormat="1" ht="24.95" customHeight="1"/>
    <row r="847" s="548" customFormat="1" ht="24.95" customHeight="1"/>
    <row r="848" s="548" customFormat="1" ht="24.95" customHeight="1"/>
    <row r="849" s="548" customFormat="1" ht="24.95" customHeight="1"/>
    <row r="850" s="548" customFormat="1" ht="24.95" customHeight="1"/>
    <row r="851" s="548" customFormat="1" ht="24.95" customHeight="1"/>
    <row r="852" s="548" customFormat="1" ht="24.95" customHeight="1"/>
    <row r="853" s="548" customFormat="1" ht="24.95" customHeight="1"/>
    <row r="854" s="548" customFormat="1" ht="24.95" customHeight="1"/>
    <row r="855" s="548" customFormat="1" ht="24.95" customHeight="1"/>
    <row r="856" s="548" customFormat="1" ht="24.95" customHeight="1"/>
    <row r="857" s="548" customFormat="1" ht="24.95" customHeight="1"/>
    <row r="858" s="548" customFormat="1" ht="24.95" customHeight="1"/>
    <row r="859" s="548" customFormat="1" ht="24.95" customHeight="1"/>
    <row r="860" s="548" customFormat="1" ht="24.95" customHeight="1"/>
    <row r="861" s="548" customFormat="1" ht="24.95" customHeight="1"/>
    <row r="862" s="548" customFormat="1" ht="24.95" customHeight="1"/>
    <row r="863" s="548" customFormat="1" ht="24.95" customHeight="1"/>
    <row r="864" s="548" customFormat="1" ht="24.95" customHeight="1"/>
    <row r="865" s="548" customFormat="1" ht="24.95" customHeight="1"/>
    <row r="866" s="548" customFormat="1" ht="24.95" customHeight="1"/>
    <row r="867" s="548" customFormat="1" ht="24.95" customHeight="1"/>
    <row r="868" s="548" customFormat="1" ht="24.95" customHeight="1"/>
    <row r="869" s="548" customFormat="1" ht="24.95" customHeight="1"/>
    <row r="870" s="548" customFormat="1" ht="24.95" customHeight="1"/>
    <row r="871" s="548" customFormat="1" ht="24.95" customHeight="1"/>
    <row r="872" s="548" customFormat="1" ht="24.95" customHeight="1"/>
    <row r="873" s="548" customFormat="1" ht="24.95" customHeight="1"/>
    <row r="874" s="548" customFormat="1" ht="24.95" customHeight="1"/>
    <row r="875" s="548" customFormat="1" ht="24.95" customHeight="1"/>
    <row r="876" s="548" customFormat="1" ht="24.95" customHeight="1"/>
    <row r="877" s="548" customFormat="1" ht="24.95" customHeight="1"/>
    <row r="878" s="548" customFormat="1" ht="24.95" customHeight="1"/>
    <row r="879" s="548" customFormat="1" ht="24.95" customHeight="1"/>
    <row r="880" s="548" customFormat="1" ht="24.95" customHeight="1"/>
    <row r="881" s="548" customFormat="1" ht="24.95" customHeight="1"/>
    <row r="882" s="548" customFormat="1" ht="24.95" customHeight="1"/>
    <row r="883" s="548" customFormat="1" ht="24.95" customHeight="1"/>
    <row r="884" s="548" customFormat="1" ht="24.95" customHeight="1"/>
    <row r="885" s="548" customFormat="1" ht="24.95" customHeight="1"/>
    <row r="886" s="548" customFormat="1" ht="24.95" customHeight="1"/>
    <row r="887" s="548" customFormat="1" ht="24.95" customHeight="1"/>
    <row r="888" s="548" customFormat="1" ht="24.95" customHeight="1"/>
    <row r="889" s="548" customFormat="1" ht="24.95" customHeight="1"/>
    <row r="890" s="548" customFormat="1" ht="24.95" customHeight="1"/>
    <row r="891" s="548" customFormat="1" ht="24.95" customHeight="1"/>
    <row r="892" s="548" customFormat="1" ht="24.95" customHeight="1"/>
    <row r="893" s="548" customFormat="1" ht="24.95" customHeight="1"/>
    <row r="894" s="548" customFormat="1" ht="24.95" customHeight="1"/>
    <row r="895" s="548" customFormat="1" ht="24.95" customHeight="1"/>
    <row r="896" s="548" customFormat="1" ht="24.95" customHeight="1"/>
    <row r="897" s="548" customFormat="1" ht="24.95" customHeight="1"/>
    <row r="898" s="548" customFormat="1" ht="24.95" customHeight="1"/>
    <row r="899" s="548" customFormat="1" ht="24.95" customHeight="1"/>
    <row r="900" s="548" customFormat="1" ht="24.95" customHeight="1"/>
    <row r="901" s="548" customFormat="1" ht="24.95" customHeight="1"/>
    <row r="902" s="548" customFormat="1" ht="24.95" customHeight="1"/>
    <row r="903" s="548" customFormat="1" ht="24.95" customHeight="1"/>
    <row r="904" s="548" customFormat="1" ht="24.95" customHeight="1"/>
    <row r="905" s="548" customFormat="1" ht="24.95" customHeight="1"/>
    <row r="906" s="548" customFormat="1" ht="24.95" customHeight="1"/>
    <row r="907" s="548" customFormat="1" ht="24.95" customHeight="1"/>
    <row r="908" s="548" customFormat="1" ht="24.95" customHeight="1"/>
    <row r="909" s="548" customFormat="1" ht="24.95" customHeight="1"/>
    <row r="910" s="548" customFormat="1" ht="24.95" customHeight="1"/>
    <row r="911" s="548" customFormat="1" ht="24.95" customHeight="1"/>
    <row r="912" s="548" customFormat="1" ht="24.95" customHeight="1"/>
    <row r="913" s="548" customFormat="1" ht="24.95" customHeight="1"/>
    <row r="914" s="548" customFormat="1" ht="24.95" customHeight="1"/>
    <row r="915" s="548" customFormat="1" ht="24.95" customHeight="1"/>
    <row r="916" s="548" customFormat="1" ht="24.95" customHeight="1"/>
    <row r="917" s="548" customFormat="1" ht="24.95" customHeight="1"/>
    <row r="918" s="548" customFormat="1" ht="24.95" customHeight="1"/>
    <row r="919" s="548" customFormat="1" ht="24.95" customHeight="1"/>
    <row r="920" s="548" customFormat="1" ht="24.95" customHeight="1"/>
    <row r="921" s="548" customFormat="1" ht="24.95" customHeight="1"/>
    <row r="922" s="548" customFormat="1" ht="24.95" customHeight="1"/>
    <row r="923" s="548" customFormat="1" ht="24.95" customHeight="1"/>
    <row r="924" s="548" customFormat="1" ht="24.95" customHeight="1"/>
    <row r="925" s="548" customFormat="1" ht="24.95" customHeight="1"/>
    <row r="926" s="548" customFormat="1" ht="24.95" customHeight="1"/>
    <row r="927" s="548" customFormat="1" ht="24.95" customHeight="1"/>
    <row r="928" s="548" customFormat="1" ht="24.95" customHeight="1"/>
    <row r="929" s="548" customFormat="1" ht="24.95" customHeight="1"/>
    <row r="930" s="548" customFormat="1" ht="24.95" customHeight="1"/>
    <row r="931" s="548" customFormat="1" ht="24.95" customHeight="1"/>
    <row r="932" s="548" customFormat="1" ht="24.95" customHeight="1"/>
    <row r="933" s="548" customFormat="1" ht="24.95" customHeight="1"/>
    <row r="934" s="548" customFormat="1" ht="24.95" customHeight="1"/>
    <row r="935" s="548" customFormat="1" ht="24.95" customHeight="1"/>
    <row r="936" s="548" customFormat="1" ht="24.95" customHeight="1"/>
    <row r="937" s="548" customFormat="1" ht="24.95" customHeight="1"/>
    <row r="938" s="548" customFormat="1" ht="24.95" customHeight="1"/>
    <row r="939" s="548" customFormat="1" ht="24.95" customHeight="1"/>
    <row r="940" s="548" customFormat="1" ht="24.95" customHeight="1"/>
    <row r="941" s="548" customFormat="1" ht="24.95" customHeight="1"/>
    <row r="942" s="548" customFormat="1" ht="24.95" customHeight="1"/>
    <row r="943" s="548" customFormat="1" ht="24.95" customHeight="1"/>
    <row r="944" s="548" customFormat="1" ht="24.95" customHeight="1"/>
    <row r="945" s="548" customFormat="1" ht="24.95" customHeight="1"/>
    <row r="946" s="548" customFormat="1" ht="24.95" customHeight="1"/>
    <row r="947" s="548" customFormat="1" ht="24.95" customHeight="1"/>
    <row r="948" s="548" customFormat="1" ht="24.95" customHeight="1"/>
    <row r="949" s="548" customFormat="1" ht="24.95" customHeight="1"/>
    <row r="950" s="548" customFormat="1" ht="24.95" customHeight="1"/>
    <row r="951" s="548" customFormat="1" ht="24.95" customHeight="1"/>
    <row r="952" s="548" customFormat="1" ht="24.95" customHeight="1"/>
    <row r="953" s="548" customFormat="1" ht="24.95" customHeight="1"/>
    <row r="954" s="548" customFormat="1" ht="24.95" customHeight="1"/>
    <row r="955" s="548" customFormat="1" ht="24.95" customHeight="1"/>
    <row r="956" s="548" customFormat="1" ht="24.95" customHeight="1"/>
    <row r="957" s="548" customFormat="1" ht="24.95" customHeight="1"/>
    <row r="958" s="548" customFormat="1" ht="24.95" customHeight="1"/>
    <row r="959" s="548" customFormat="1" ht="24.95" customHeight="1"/>
    <row r="960" s="548" customFormat="1" ht="24.95" customHeight="1"/>
    <row r="961" s="548" customFormat="1" ht="24.95" customHeight="1"/>
    <row r="962" s="548" customFormat="1" ht="24.95" customHeight="1"/>
    <row r="963" s="548" customFormat="1" ht="24.95" customHeight="1"/>
    <row r="964" s="548" customFormat="1" ht="24.95" customHeight="1"/>
    <row r="965" s="548" customFormat="1" ht="24.95" customHeight="1"/>
    <row r="966" s="548" customFormat="1" ht="24.95" customHeight="1"/>
    <row r="967" s="548" customFormat="1" ht="24.95" customHeight="1"/>
    <row r="968" s="548" customFormat="1" ht="24.95" customHeight="1"/>
    <row r="969" s="548" customFormat="1" ht="24.95" customHeight="1"/>
    <row r="970" s="548" customFormat="1" ht="24.95" customHeight="1"/>
    <row r="971" s="548" customFormat="1" ht="24.95" customHeight="1"/>
    <row r="972" s="548" customFormat="1" ht="24.95" customHeight="1"/>
    <row r="973" s="548" customFormat="1" ht="24.95" customHeight="1"/>
    <row r="974" s="548" customFormat="1" ht="24.95" customHeight="1"/>
    <row r="975" s="548" customFormat="1" ht="24.95" customHeight="1"/>
    <row r="976" s="548" customFormat="1" ht="24.95" customHeight="1"/>
    <row r="977" s="548" customFormat="1" ht="24.95" customHeight="1"/>
    <row r="978" s="548" customFormat="1" ht="24.95" customHeight="1"/>
    <row r="979" s="548" customFormat="1" ht="24.95" customHeight="1"/>
    <row r="980" s="548" customFormat="1" ht="24.95" customHeight="1"/>
    <row r="981" s="548" customFormat="1" ht="24.95" customHeight="1"/>
    <row r="982" s="548" customFormat="1" ht="24.95" customHeight="1"/>
    <row r="983" s="548" customFormat="1" ht="24.95" customHeight="1"/>
    <row r="984" s="548" customFormat="1" ht="24.95" customHeight="1"/>
    <row r="985" s="548" customFormat="1" ht="24.95" customHeight="1"/>
    <row r="986" s="548" customFormat="1" ht="24.95" customHeight="1"/>
    <row r="987" s="548" customFormat="1" ht="24.95" customHeight="1"/>
    <row r="988" s="548" customFormat="1" ht="24.95" customHeight="1"/>
    <row r="989" s="548" customFormat="1" ht="24.95" customHeight="1"/>
    <row r="990" s="548" customFormat="1" ht="24.95" customHeight="1"/>
    <row r="991" s="548" customFormat="1" ht="24.95" customHeight="1"/>
    <row r="992" s="548" customFormat="1" ht="24.95" customHeight="1"/>
    <row r="993" s="548" customFormat="1" ht="24.95" customHeight="1"/>
    <row r="994" s="548" customFormat="1" ht="24.95" customHeight="1"/>
    <row r="995" s="548" customFormat="1" ht="24.95" customHeight="1"/>
    <row r="996" s="548" customFormat="1" ht="24.95" customHeight="1"/>
    <row r="997" s="548" customFormat="1" ht="24.95" customHeight="1"/>
    <row r="998" s="548" customFormat="1" ht="24.95" customHeight="1"/>
    <row r="999" s="548" customFormat="1" ht="24.95" customHeight="1"/>
    <row r="1000" s="548" customFormat="1" ht="24.95" customHeight="1"/>
    <row r="1001" s="548" customFormat="1" ht="24.95" customHeight="1"/>
    <row r="1002" s="548" customFormat="1" ht="24.95" customHeight="1"/>
    <row r="1003" s="548" customFormat="1" ht="24.95" customHeight="1"/>
    <row r="1004" s="548" customFormat="1" ht="24.95" customHeight="1"/>
    <row r="1005" s="548" customFormat="1" ht="24.95" customHeight="1"/>
    <row r="1006" s="548" customFormat="1" ht="24.95" customHeight="1"/>
    <row r="1007" s="548" customFormat="1" ht="24.95" customHeight="1"/>
    <row r="1008" s="548" customFormat="1" ht="24.95" customHeight="1"/>
    <row r="1009" s="548" customFormat="1" ht="24.95" customHeight="1"/>
    <row r="1010" s="548" customFormat="1" ht="24.95" customHeight="1"/>
    <row r="1011" s="548" customFormat="1" ht="24.95" customHeight="1"/>
    <row r="1012" s="548" customFormat="1" ht="24.95" customHeight="1"/>
    <row r="1013" s="548" customFormat="1" ht="24.95" customHeight="1"/>
    <row r="1014" s="548" customFormat="1" ht="24.95" customHeight="1"/>
    <row r="1015" s="548" customFormat="1" ht="24.95" customHeight="1"/>
    <row r="1016" s="548" customFormat="1" ht="24.95" customHeight="1"/>
    <row r="1017" s="548" customFormat="1" ht="24.95" customHeight="1"/>
    <row r="1018" s="548" customFormat="1" ht="24.95" customHeight="1"/>
    <row r="1019" s="548" customFormat="1" ht="24.95" customHeight="1"/>
    <row r="1020" s="548" customFormat="1" ht="24.95" customHeight="1"/>
    <row r="1021" s="548" customFormat="1" ht="24.95" customHeight="1"/>
    <row r="1022" s="548" customFormat="1" ht="24.95" customHeight="1"/>
    <row r="1023" s="548" customFormat="1" ht="24.95" customHeight="1"/>
    <row r="1024" s="548" customFormat="1" ht="24.95" customHeight="1"/>
    <row r="1025" s="548" customFormat="1" ht="24.95" customHeight="1"/>
    <row r="1026" s="548" customFormat="1" ht="24.95" customHeight="1"/>
    <row r="1027" s="548" customFormat="1" ht="24.95" customHeight="1"/>
    <row r="1028" s="548" customFormat="1" ht="24.95" customHeight="1"/>
    <row r="1029" s="548" customFormat="1" ht="24.95" customHeight="1"/>
    <row r="1030" s="548" customFormat="1" ht="24.95" customHeight="1"/>
    <row r="1031" s="548" customFormat="1" ht="24.95" customHeight="1"/>
    <row r="1032" s="548" customFormat="1" ht="24.95" customHeight="1"/>
    <row r="1033" s="548" customFormat="1" ht="24.95" customHeight="1"/>
    <row r="1034" s="548" customFormat="1" ht="24.95" customHeight="1"/>
    <row r="1035" s="548" customFormat="1" ht="24.95" customHeight="1"/>
    <row r="1036" s="548" customFormat="1" ht="24.95" customHeight="1"/>
    <row r="1037" s="548" customFormat="1" ht="24.95" customHeight="1"/>
    <row r="1038" s="548" customFormat="1" ht="24.95" customHeight="1"/>
    <row r="1039" s="548" customFormat="1" ht="24.95" customHeight="1"/>
    <row r="1040" s="548" customFormat="1" ht="24.95" customHeight="1"/>
    <row r="1041" s="548" customFormat="1" ht="24.95" customHeight="1"/>
    <row r="1042" s="548" customFormat="1" ht="24.95" customHeight="1"/>
    <row r="1043" s="548" customFormat="1" ht="24.95" customHeight="1"/>
    <row r="1044" s="548" customFormat="1" ht="24.95" customHeight="1"/>
    <row r="1045" s="548" customFormat="1" ht="24.95" customHeight="1"/>
    <row r="1046" s="548" customFormat="1" ht="24.95" customHeight="1"/>
    <row r="1047" s="548" customFormat="1" ht="24.95" customHeight="1"/>
    <row r="1048" s="548" customFormat="1" ht="24.95" customHeight="1"/>
    <row r="1049" s="548" customFormat="1" ht="24.95" customHeight="1"/>
    <row r="1050" s="548" customFormat="1" ht="24.95" customHeight="1"/>
    <row r="1051" s="548" customFormat="1" ht="24.95" customHeight="1"/>
    <row r="1052" s="548" customFormat="1" ht="24.95" customHeight="1"/>
    <row r="1053" s="548" customFormat="1" ht="24.95" customHeight="1"/>
    <row r="1054" s="548" customFormat="1" ht="24.95" customHeight="1"/>
    <row r="1055" s="548" customFormat="1" ht="24.95" customHeight="1"/>
    <row r="1056" s="548" customFormat="1" ht="24.95" customHeight="1"/>
    <row r="1057" s="548" customFormat="1" ht="24.95" customHeight="1"/>
    <row r="1058" s="548" customFormat="1" ht="24.95" customHeight="1"/>
    <row r="1059" s="548" customFormat="1" ht="24.95" customHeight="1"/>
    <row r="1060" s="548" customFormat="1" ht="24.95" customHeight="1"/>
    <row r="1061" s="548" customFormat="1" ht="24.95" customHeight="1"/>
    <row r="1062" s="548" customFormat="1" ht="24.95" customHeight="1"/>
    <row r="1063" s="548" customFormat="1" ht="24.95" customHeight="1"/>
    <row r="1064" s="548" customFormat="1" ht="24.95" customHeight="1"/>
    <row r="1065" s="548" customFormat="1" ht="24.95" customHeight="1"/>
    <row r="1066" s="548" customFormat="1" ht="24.95" customHeight="1"/>
    <row r="1067" s="548" customFormat="1" ht="24.95" customHeight="1"/>
    <row r="1068" s="548" customFormat="1" ht="24.95" customHeight="1"/>
    <row r="1069" s="548" customFormat="1" ht="24.95" customHeight="1"/>
    <row r="1070" s="548" customFormat="1" ht="24.95" customHeight="1"/>
    <row r="1071" s="548" customFormat="1" ht="24.95" customHeight="1"/>
    <row r="1072" s="548" customFormat="1" ht="24.95" customHeight="1"/>
    <row r="1073" s="548" customFormat="1" ht="24.95" customHeight="1"/>
    <row r="1074" s="548" customFormat="1" ht="24.95" customHeight="1"/>
    <row r="1075" s="548" customFormat="1" ht="24.95" customHeight="1"/>
    <row r="1076" s="548" customFormat="1" ht="24.95" customHeight="1"/>
    <row r="1077" s="548" customFormat="1" ht="24.95" customHeight="1"/>
    <row r="1078" s="548" customFormat="1" ht="24.95" customHeight="1"/>
    <row r="1079" s="548" customFormat="1" ht="24.95" customHeight="1"/>
    <row r="1080" s="548" customFormat="1" ht="24.95" customHeight="1"/>
    <row r="1081" s="548" customFormat="1" ht="24.95" customHeight="1"/>
    <row r="1082" s="548" customFormat="1" ht="24.95" customHeight="1"/>
    <row r="1083" s="548" customFormat="1" ht="24.95" customHeight="1"/>
    <row r="1084" s="548" customFormat="1" ht="24.95" customHeight="1"/>
    <row r="1085" s="548" customFormat="1" ht="24.95" customHeight="1"/>
    <row r="1086" s="548" customFormat="1" ht="24.95" customHeight="1"/>
    <row r="1087" s="548" customFormat="1" ht="24.95" customHeight="1"/>
    <row r="1088" s="548" customFormat="1" ht="24.95" customHeight="1"/>
    <row r="1089" s="548" customFormat="1" ht="24.95" customHeight="1"/>
    <row r="1090" s="548" customFormat="1" ht="24.95" customHeight="1"/>
    <row r="1091" s="548" customFormat="1" ht="24.95" customHeight="1"/>
    <row r="1092" s="548" customFormat="1" ht="24.95" customHeight="1"/>
    <row r="1093" s="548" customFormat="1" ht="24.95" customHeight="1"/>
    <row r="1094" s="548" customFormat="1" ht="24.95" customHeight="1"/>
    <row r="1095" s="548" customFormat="1" ht="24.95" customHeight="1"/>
    <row r="1096" s="548" customFormat="1" ht="24.95" customHeight="1"/>
    <row r="1097" s="548" customFormat="1" ht="24.95" customHeight="1"/>
    <row r="1098" s="548" customFormat="1" ht="24.95" customHeight="1"/>
    <row r="1099" s="548" customFormat="1" ht="24.95" customHeight="1"/>
    <row r="1100" s="548" customFormat="1" ht="24.95" customHeight="1"/>
    <row r="1101" s="548" customFormat="1" ht="24.95" customHeight="1"/>
    <row r="1102" s="548" customFormat="1" ht="24.95" customHeight="1"/>
    <row r="1103" s="548" customFormat="1" ht="24.95" customHeight="1"/>
    <row r="1104" s="548" customFormat="1" ht="24.95" customHeight="1"/>
    <row r="1105" s="548" customFormat="1" ht="24.95" customHeight="1"/>
    <row r="1106" s="548" customFormat="1" ht="24.95" customHeight="1"/>
    <row r="1107" s="548" customFormat="1" ht="24.95" customHeight="1"/>
    <row r="1108" s="548" customFormat="1" ht="24.95" customHeight="1"/>
    <row r="1109" s="548" customFormat="1" ht="24.95" customHeight="1"/>
    <row r="1110" s="548" customFormat="1" ht="24.95" customHeight="1"/>
    <row r="1111" s="548" customFormat="1" ht="24.95" customHeight="1"/>
    <row r="1112" s="548" customFormat="1" ht="24.95" customHeight="1"/>
    <row r="1113" s="548" customFormat="1" ht="24.95" customHeight="1"/>
    <row r="1114" s="548" customFormat="1" ht="24.95" customHeight="1"/>
    <row r="1115" s="548" customFormat="1" ht="24.95" customHeight="1"/>
    <row r="1116" s="548" customFormat="1" ht="24.95" customHeight="1"/>
    <row r="1117" s="548" customFormat="1" ht="24.95" customHeight="1"/>
    <row r="1118" s="548" customFormat="1" ht="24.95" customHeight="1"/>
    <row r="1119" s="548" customFormat="1" ht="24.95" customHeight="1"/>
    <row r="1120" s="548" customFormat="1" ht="24.95" customHeight="1"/>
    <row r="1121" s="548" customFormat="1" ht="24.95" customHeight="1"/>
    <row r="1122" s="548" customFormat="1" ht="24.95" customHeight="1"/>
    <row r="1123" s="548" customFormat="1" ht="24.95" customHeight="1"/>
    <row r="1124" s="548" customFormat="1" ht="24.95" customHeight="1"/>
    <row r="1125" s="548" customFormat="1" ht="24.95" customHeight="1"/>
    <row r="1126" s="548" customFormat="1" ht="24.95" customHeight="1"/>
    <row r="1127" s="548" customFormat="1" ht="24.95" customHeight="1"/>
    <row r="1128" s="548" customFormat="1" ht="24.95" customHeight="1"/>
    <row r="1129" s="548" customFormat="1" ht="24.95" customHeight="1"/>
    <row r="1130" s="548" customFormat="1" ht="24.95" customHeight="1"/>
    <row r="1131" s="548" customFormat="1" ht="24.95" customHeight="1"/>
    <row r="1132" s="548" customFormat="1" ht="24.95" customHeight="1"/>
    <row r="1133" s="548" customFormat="1" ht="24.95" customHeight="1"/>
    <row r="1134" s="548" customFormat="1" ht="24.95" customHeight="1"/>
    <row r="1135" s="548" customFormat="1" ht="24.95" customHeight="1"/>
    <row r="1136" s="548" customFormat="1" ht="24.95" customHeight="1"/>
    <row r="1137" s="548" customFormat="1" ht="24.95" customHeight="1"/>
    <row r="1138" s="548" customFormat="1" ht="24.95" customHeight="1"/>
    <row r="1139" s="548" customFormat="1" ht="24.95" customHeight="1"/>
    <row r="1140" s="548" customFormat="1" ht="24.95" customHeight="1"/>
    <row r="1141" s="548" customFormat="1" ht="24.95" customHeight="1"/>
    <row r="1142" s="548" customFormat="1" ht="24.95" customHeight="1"/>
    <row r="1143" s="548" customFormat="1" ht="24.95" customHeight="1"/>
    <row r="1144" s="548" customFormat="1" ht="24.95" customHeight="1"/>
    <row r="1145" s="548" customFormat="1" ht="24.95" customHeight="1"/>
    <row r="1146" s="548" customFormat="1" ht="24.95" customHeight="1"/>
    <row r="1147" s="548" customFormat="1" ht="24.95" customHeight="1"/>
    <row r="1148" s="548" customFormat="1" ht="24.95" customHeight="1"/>
    <row r="1149" s="548" customFormat="1" ht="24.95" customHeight="1"/>
    <row r="1150" s="548" customFormat="1" ht="24.95" customHeight="1"/>
    <row r="1151" s="548" customFormat="1" ht="24.95" customHeight="1"/>
    <row r="1152" s="548" customFormat="1" ht="24.95" customHeight="1"/>
    <row r="1153" s="548" customFormat="1" ht="24.95" customHeight="1"/>
    <row r="1154" s="548" customFormat="1" ht="24.95" customHeight="1"/>
    <row r="1155" s="548" customFormat="1" ht="24.95" customHeight="1"/>
    <row r="1156" s="548" customFormat="1" ht="24.95" customHeight="1"/>
    <row r="1157" s="548" customFormat="1" ht="24.95" customHeight="1"/>
    <row r="1158" s="548" customFormat="1" ht="24.95" customHeight="1"/>
    <row r="1159" s="548" customFormat="1" ht="24.95" customHeight="1"/>
    <row r="1160" s="548" customFormat="1" ht="24.95" customHeight="1"/>
    <row r="1161" s="548" customFormat="1" ht="24.95" customHeight="1"/>
    <row r="1162" s="548" customFormat="1" ht="24.95" customHeight="1"/>
    <row r="1163" s="548" customFormat="1" ht="24.95" customHeight="1"/>
    <row r="1164" s="548" customFormat="1" ht="24.95" customHeight="1"/>
    <row r="1165" s="548" customFormat="1" ht="24.95" customHeight="1"/>
    <row r="1166" s="548" customFormat="1" ht="24.95" customHeight="1"/>
    <row r="1167" s="548" customFormat="1" ht="24.95" customHeight="1"/>
    <row r="1168" s="548" customFormat="1" ht="24.95" customHeight="1"/>
    <row r="1169" s="548" customFormat="1" ht="24.95" customHeight="1"/>
    <row r="1170" s="548" customFormat="1" ht="24.95" customHeight="1"/>
    <row r="1171" s="548" customFormat="1" ht="24.95" customHeight="1"/>
    <row r="1172" s="548" customFormat="1" ht="24.95" customHeight="1"/>
    <row r="1173" s="548" customFormat="1" ht="24.95" customHeight="1"/>
    <row r="1174" s="548" customFormat="1" ht="24.95" customHeight="1"/>
    <row r="1175" s="548" customFormat="1" ht="24.95" customHeight="1"/>
    <row r="1176" s="548" customFormat="1" ht="24.95" customHeight="1"/>
    <row r="1177" s="548" customFormat="1" ht="24.95" customHeight="1"/>
    <row r="1178" s="548" customFormat="1" ht="24.95" customHeight="1"/>
    <row r="1179" s="548" customFormat="1" ht="24.95" customHeight="1"/>
    <row r="1180" s="548" customFormat="1" ht="24.95" customHeight="1"/>
    <row r="1181" s="548" customFormat="1" ht="24.95" customHeight="1"/>
    <row r="1182" s="548" customFormat="1" ht="24.95" customHeight="1"/>
    <row r="1183" s="548" customFormat="1" ht="24.95" customHeight="1"/>
    <row r="1184" s="548" customFormat="1" ht="24.95" customHeight="1"/>
    <row r="1185" s="548" customFormat="1" ht="24.95" customHeight="1"/>
    <row r="1186" s="548" customFormat="1" ht="24.95" customHeight="1"/>
    <row r="1187" s="548" customFormat="1" ht="24.95" customHeight="1"/>
    <row r="1188" s="548" customFormat="1" ht="24.95" customHeight="1"/>
    <row r="1189" s="548" customFormat="1" ht="24.95" customHeight="1"/>
    <row r="1190" s="548" customFormat="1" ht="24.95" customHeight="1"/>
    <row r="1191" s="548" customFormat="1" ht="24.95" customHeight="1"/>
    <row r="1192" s="548" customFormat="1" ht="24.95" customHeight="1"/>
    <row r="1193" s="548" customFormat="1" ht="24.95" customHeight="1"/>
    <row r="1194" s="548" customFormat="1" ht="24.95" customHeight="1"/>
    <row r="1195" s="548" customFormat="1" ht="24.95" customHeight="1"/>
    <row r="1196" s="548" customFormat="1" ht="24.95" customHeight="1"/>
    <row r="1197" s="548" customFormat="1" ht="24.95" customHeight="1"/>
    <row r="1198" s="548" customFormat="1" ht="24.95" customHeight="1"/>
    <row r="1199" s="548" customFormat="1" ht="24.95" customHeight="1"/>
    <row r="1200" s="548" customFormat="1" ht="24.95" customHeight="1"/>
    <row r="1201" s="548" customFormat="1" ht="24.95" customHeight="1"/>
    <row r="1202" s="548" customFormat="1" ht="24.95" customHeight="1"/>
    <row r="1203" s="548" customFormat="1" ht="24.95" customHeight="1"/>
    <row r="1204" s="548" customFormat="1" ht="24.95" customHeight="1"/>
    <row r="1205" s="548" customFormat="1" ht="24.95" customHeight="1"/>
    <row r="1206" s="548" customFormat="1" ht="24.95" customHeight="1"/>
    <row r="1207" s="548" customFormat="1" ht="24.95" customHeight="1"/>
    <row r="1208" s="548" customFormat="1" ht="24.95" customHeight="1"/>
    <row r="1209" s="548" customFormat="1" ht="24.95" customHeight="1"/>
    <row r="1210" s="548" customFormat="1" ht="24.95" customHeight="1"/>
    <row r="1211" s="548" customFormat="1" ht="24.95" customHeight="1"/>
    <row r="1212" s="548" customFormat="1" ht="24.95" customHeight="1"/>
    <row r="1213" s="548" customFormat="1" ht="24.95" customHeight="1"/>
    <row r="1214" s="548" customFormat="1" ht="24.95" customHeight="1"/>
    <row r="1215" s="548" customFormat="1" ht="24.95" customHeight="1"/>
    <row r="1216" s="548" customFormat="1" ht="24.95" customHeight="1"/>
    <row r="1217" s="548" customFormat="1" ht="24.95" customHeight="1"/>
    <row r="1218" s="548" customFormat="1" ht="24.95" customHeight="1"/>
    <row r="1219" s="548" customFormat="1" ht="24.95" customHeight="1"/>
    <row r="1220" s="548" customFormat="1" ht="24.95" customHeight="1"/>
    <row r="1221" s="548" customFormat="1" ht="24.95" customHeight="1"/>
    <row r="1222" s="548" customFormat="1" ht="24.95" customHeight="1"/>
    <row r="1223" s="548" customFormat="1" ht="24.95" customHeight="1"/>
    <row r="1224" s="548" customFormat="1" ht="24.95" customHeight="1"/>
    <row r="1225" s="548" customFormat="1" ht="24.95" customHeight="1"/>
    <row r="1226" s="548" customFormat="1" ht="24.95" customHeight="1"/>
    <row r="1227" s="548" customFormat="1" ht="24.95" customHeight="1"/>
    <row r="1228" s="548" customFormat="1" ht="24.95" customHeight="1"/>
    <row r="1229" s="548" customFormat="1" ht="24.95" customHeight="1"/>
    <row r="1230" s="548" customFormat="1" ht="24.95" customHeight="1"/>
    <row r="1231" s="548" customFormat="1" ht="24.95" customHeight="1"/>
    <row r="1232" s="548" customFormat="1" ht="24.95" customHeight="1"/>
    <row r="1233" s="548" customFormat="1" ht="24.95" customHeight="1"/>
    <row r="1234" s="548" customFormat="1" ht="24.95" customHeight="1"/>
    <row r="1235" s="548" customFormat="1" ht="24.95" customHeight="1"/>
    <row r="1236" s="548" customFormat="1" ht="24.95" customHeight="1"/>
    <row r="1237" s="548" customFormat="1" ht="24.95" customHeight="1"/>
    <row r="1238" s="548" customFormat="1" ht="24.95" customHeight="1"/>
    <row r="1239" s="548" customFormat="1" ht="24.95" customHeight="1"/>
    <row r="1240" s="548" customFormat="1" ht="24.95" customHeight="1"/>
    <row r="1241" s="548" customFormat="1" ht="24.95" customHeight="1"/>
    <row r="1242" s="548" customFormat="1" ht="24.95" customHeight="1"/>
    <row r="1243" s="548" customFormat="1" ht="24.95" customHeight="1"/>
    <row r="1244" s="548" customFormat="1" ht="24.95" customHeight="1"/>
    <row r="1245" s="548" customFormat="1" ht="24.95" customHeight="1"/>
    <row r="1246" s="548" customFormat="1" ht="24.95" customHeight="1"/>
    <row r="1247" s="548" customFormat="1" ht="24.95" customHeight="1"/>
    <row r="1248" s="548" customFormat="1" ht="24.95" customHeight="1"/>
    <row r="1249" s="548" customFormat="1" ht="24.95" customHeight="1"/>
    <row r="1250" s="548" customFormat="1" ht="24.95" customHeight="1"/>
    <row r="1251" s="548" customFormat="1" ht="24.95" customHeight="1"/>
    <row r="1252" s="548" customFormat="1" ht="24.95" customHeight="1"/>
    <row r="1253" s="548" customFormat="1" ht="24.95" customHeight="1"/>
    <row r="1254" s="548" customFormat="1" ht="24.95" customHeight="1"/>
    <row r="1255" s="548" customFormat="1" ht="24.95" customHeight="1"/>
    <row r="1256" s="548" customFormat="1" ht="24.95" customHeight="1"/>
    <row r="1257" s="548" customFormat="1" ht="24.95" customHeight="1"/>
    <row r="1258" s="548" customFormat="1" ht="24.95" customHeight="1"/>
    <row r="1259" s="548" customFormat="1" ht="24.95" customHeight="1"/>
    <row r="1260" s="548" customFormat="1" ht="24.95" customHeight="1"/>
    <row r="1261" s="548" customFormat="1" ht="24.95" customHeight="1"/>
    <row r="1262" s="548" customFormat="1" ht="24.95" customHeight="1"/>
    <row r="1263" s="548" customFormat="1" ht="24.95" customHeight="1"/>
    <row r="1264" s="548" customFormat="1" ht="24.95" customHeight="1"/>
    <row r="1265" s="548" customFormat="1" ht="24.95" customHeight="1"/>
    <row r="1266" s="548" customFormat="1" ht="24.95" customHeight="1"/>
    <row r="1267" s="548" customFormat="1" ht="24.95" customHeight="1"/>
    <row r="1268" s="548" customFormat="1" ht="24.95" customHeight="1"/>
    <row r="1269" s="548" customFormat="1" ht="24.95" customHeight="1"/>
    <row r="1270" s="548" customFormat="1" ht="24.95" customHeight="1"/>
    <row r="1271" s="548" customFormat="1" ht="24.95" customHeight="1"/>
    <row r="1272" s="548" customFormat="1" ht="24.95" customHeight="1"/>
    <row r="1273" s="548" customFormat="1" ht="24.95" customHeight="1"/>
    <row r="1274" s="548" customFormat="1" ht="24.95" customHeight="1"/>
    <row r="1275" s="548" customFormat="1" ht="24.95" customHeight="1"/>
    <row r="1276" s="548" customFormat="1" ht="24.95" customHeight="1"/>
    <row r="1277" s="548" customFormat="1" ht="24.95" customHeight="1"/>
    <row r="1278" s="548" customFormat="1" ht="24.95" customHeight="1"/>
    <row r="1279" s="548" customFormat="1" ht="24.95" customHeight="1"/>
    <row r="1280" s="548" customFormat="1" ht="24.95" customHeight="1"/>
    <row r="1281" s="548" customFormat="1" ht="24.95" customHeight="1"/>
    <row r="1282" s="548" customFormat="1" ht="24.95" customHeight="1"/>
    <row r="1283" s="548" customFormat="1" ht="24.95" customHeight="1"/>
    <row r="1284" s="548" customFormat="1" ht="24.95" customHeight="1"/>
    <row r="1285" s="548" customFormat="1" ht="24.95" customHeight="1"/>
    <row r="1286" s="548" customFormat="1" ht="24.95" customHeight="1"/>
    <row r="1287" s="548" customFormat="1" ht="24.95" customHeight="1"/>
    <row r="1288" s="548" customFormat="1" ht="24.95" customHeight="1"/>
    <row r="1289" s="548" customFormat="1" ht="24.95" customHeight="1"/>
    <row r="1290" s="548" customFormat="1" ht="24.95" customHeight="1"/>
    <row r="1291" s="548" customFormat="1" ht="24.95" customHeight="1"/>
    <row r="1292" s="548" customFormat="1" ht="24.95" customHeight="1"/>
    <row r="1293" s="548" customFormat="1" ht="24.95" customHeight="1"/>
    <row r="1294" s="548" customFormat="1" ht="24.95" customHeight="1"/>
    <row r="1295" s="548" customFormat="1" ht="24.95" customHeight="1"/>
    <row r="1296" s="548" customFormat="1" ht="24.95" customHeight="1"/>
    <row r="1297" s="548" customFormat="1" ht="24.95" customHeight="1"/>
    <row r="1298" s="548" customFormat="1" ht="24.95" customHeight="1"/>
    <row r="1299" s="548" customFormat="1" ht="24.95" customHeight="1"/>
    <row r="1300" s="548" customFormat="1" ht="24.95" customHeight="1"/>
    <row r="1301" s="548" customFormat="1" ht="24.95" customHeight="1"/>
    <row r="1302" s="548" customFormat="1" ht="24.95" customHeight="1"/>
    <row r="1303" s="548" customFormat="1" ht="24.95" customHeight="1"/>
    <row r="1304" s="548" customFormat="1" ht="24.95" customHeight="1"/>
    <row r="1305" s="548" customFormat="1" ht="24.95" customHeight="1"/>
    <row r="1306" s="548" customFormat="1" ht="24.95" customHeight="1"/>
    <row r="1307" s="548" customFormat="1" ht="24.95" customHeight="1"/>
    <row r="1308" s="548" customFormat="1" ht="24.95" customHeight="1"/>
    <row r="1309" s="548" customFormat="1" ht="24.95" customHeight="1"/>
    <row r="1310" s="548" customFormat="1" ht="24.95" customHeight="1"/>
    <row r="1311" s="548" customFormat="1" ht="24.95" customHeight="1"/>
    <row r="1312" s="548" customFormat="1" ht="24.95" customHeight="1"/>
    <row r="1313" s="548" customFormat="1" ht="24.95" customHeight="1"/>
    <row r="1314" s="548" customFormat="1" ht="24.95" customHeight="1"/>
    <row r="1315" s="548" customFormat="1" ht="24.95" customHeight="1"/>
    <row r="1316" s="548" customFormat="1" ht="24.95" customHeight="1"/>
    <row r="1317" s="548" customFormat="1" ht="24.95" customHeight="1"/>
    <row r="1318" s="548" customFormat="1" ht="24.95" customHeight="1"/>
    <row r="1319" s="548" customFormat="1" ht="24.95" customHeight="1"/>
    <row r="1320" s="548" customFormat="1" ht="24.95" customHeight="1"/>
    <row r="1321" s="548" customFormat="1" ht="24.95" customHeight="1"/>
    <row r="1322" s="548" customFormat="1" ht="24.95" customHeight="1"/>
    <row r="1323" s="548" customFormat="1" ht="24.95" customHeight="1"/>
    <row r="1324" s="548" customFormat="1" ht="24.95" customHeight="1"/>
    <row r="1325" s="548" customFormat="1" ht="24.95" customHeight="1"/>
    <row r="1326" s="548" customFormat="1" ht="24.95" customHeight="1"/>
    <row r="1327" s="548" customFormat="1" ht="24.95" customHeight="1"/>
    <row r="1328" s="548" customFormat="1" ht="24.95" customHeight="1"/>
    <row r="1329" s="548" customFormat="1" ht="24.95" customHeight="1"/>
    <row r="1330" s="548" customFormat="1" ht="24.95" customHeight="1"/>
    <row r="1331" s="548" customFormat="1" ht="24.95" customHeight="1"/>
    <row r="1332" s="548" customFormat="1" ht="24.95" customHeight="1"/>
    <row r="1333" s="548" customFormat="1" ht="24.95" customHeight="1"/>
    <row r="1334" s="548" customFormat="1" ht="24.95" customHeight="1"/>
    <row r="1335" s="548" customFormat="1" ht="24.95" customHeight="1"/>
    <row r="1336" s="548" customFormat="1" ht="24.95" customHeight="1"/>
    <row r="1337" s="548" customFormat="1" ht="24.95" customHeight="1"/>
    <row r="1338" s="548" customFormat="1" ht="24.95" customHeight="1"/>
    <row r="1339" s="548" customFormat="1" ht="24.95" customHeight="1"/>
    <row r="1340" s="548" customFormat="1" ht="24.95" customHeight="1"/>
    <row r="1341" s="548" customFormat="1" ht="24.95" customHeight="1"/>
    <row r="1342" s="548" customFormat="1" ht="24.95" customHeight="1"/>
    <row r="1343" s="548" customFormat="1" ht="24.95" customHeight="1"/>
    <row r="1344" s="548" customFormat="1" ht="24.95" customHeight="1"/>
    <row r="1345" s="548" customFormat="1" ht="24.95" customHeight="1"/>
    <row r="1346" s="548" customFormat="1" ht="24.95" customHeight="1"/>
    <row r="1347" s="548" customFormat="1" ht="24.95" customHeight="1"/>
    <row r="1348" s="548" customFormat="1" ht="24.95" customHeight="1"/>
    <row r="1349" s="548" customFormat="1" ht="24.95" customHeight="1"/>
    <row r="1350" s="548" customFormat="1" ht="24.95" customHeight="1"/>
    <row r="1351" s="548" customFormat="1" ht="24.95" customHeight="1"/>
    <row r="1352" s="548" customFormat="1" ht="24.95" customHeight="1"/>
    <row r="1353" s="548" customFormat="1" ht="24.95" customHeight="1"/>
    <row r="1354" s="548" customFormat="1" ht="24.95" customHeight="1"/>
    <row r="1355" s="548" customFormat="1" ht="24.95" customHeight="1"/>
    <row r="1356" s="548" customFormat="1" ht="24.95" customHeight="1"/>
    <row r="1357" s="548" customFormat="1" ht="24.95" customHeight="1"/>
    <row r="1358" s="548" customFormat="1" ht="24.95" customHeight="1"/>
    <row r="1359" s="548" customFormat="1" ht="24.95" customHeight="1"/>
    <row r="1360" s="548" customFormat="1" ht="24.95" customHeight="1"/>
    <row r="1361" s="548" customFormat="1" ht="24.95" customHeight="1"/>
    <row r="1362" s="548" customFormat="1" ht="24.95" customHeight="1"/>
    <row r="1363" s="548" customFormat="1" ht="24.95" customHeight="1"/>
    <row r="1364" s="548" customFormat="1" ht="24.95" customHeight="1"/>
    <row r="1365" s="548" customFormat="1" ht="24.95" customHeight="1"/>
    <row r="1366" s="548" customFormat="1" ht="24.95" customHeight="1"/>
    <row r="1367" s="548" customFormat="1" ht="24.95" customHeight="1"/>
    <row r="1368" s="548" customFormat="1" ht="24.95" customHeight="1"/>
    <row r="1369" s="548" customFormat="1" ht="24.95" customHeight="1"/>
    <row r="1370" s="548" customFormat="1" ht="24.95" customHeight="1"/>
    <row r="1371" s="548" customFormat="1" ht="24.95" customHeight="1"/>
    <row r="1372" s="548" customFormat="1" ht="24.95" customHeight="1"/>
    <row r="1373" s="548" customFormat="1" ht="24.95" customHeight="1"/>
    <row r="1374" s="548" customFormat="1" ht="24.95" customHeight="1"/>
    <row r="1375" s="548" customFormat="1" ht="24.95" customHeight="1"/>
    <row r="1376" s="548" customFormat="1" ht="24.95" customHeight="1"/>
    <row r="1377" s="548" customFormat="1" ht="24.95" customHeight="1"/>
    <row r="1378" s="548" customFormat="1" ht="24.95" customHeight="1"/>
    <row r="1379" s="548" customFormat="1" ht="24.95" customHeight="1"/>
    <row r="1380" s="548" customFormat="1" ht="24.95" customHeight="1"/>
    <row r="1381" s="548" customFormat="1" ht="24.95" customHeight="1"/>
    <row r="1382" s="548" customFormat="1" ht="24.95" customHeight="1"/>
    <row r="1383" s="548" customFormat="1" ht="24.95" customHeight="1"/>
    <row r="1384" s="548" customFormat="1" ht="24.95" customHeight="1"/>
    <row r="1385" s="548" customFormat="1" ht="24.95" customHeight="1"/>
    <row r="1386" s="548" customFormat="1" ht="24.95" customHeight="1"/>
    <row r="1387" s="548" customFormat="1" ht="24.95" customHeight="1"/>
    <row r="1388" s="548" customFormat="1" ht="24.95" customHeight="1"/>
    <row r="1389" s="548" customFormat="1" ht="24.95" customHeight="1"/>
    <row r="1390" s="548" customFormat="1" ht="24.95" customHeight="1"/>
    <row r="1391" s="548" customFormat="1" ht="24.95" customHeight="1"/>
    <row r="1392" s="548" customFormat="1" ht="24.95" customHeight="1"/>
    <row r="1393" s="548" customFormat="1" ht="24.95" customHeight="1"/>
    <row r="1394" s="548" customFormat="1" ht="24.95" customHeight="1"/>
    <row r="1395" s="548" customFormat="1" ht="24.95" customHeight="1"/>
    <row r="1396" s="548" customFormat="1" ht="24.95" customHeight="1"/>
    <row r="1397" s="548" customFormat="1" ht="24.95" customHeight="1"/>
    <row r="1398" s="548" customFormat="1" ht="24.95" customHeight="1"/>
    <row r="1399" s="548" customFormat="1" ht="24.95" customHeight="1"/>
    <row r="1400" s="548" customFormat="1" ht="24.95" customHeight="1"/>
    <row r="1401" s="548" customFormat="1" ht="24.95" customHeight="1"/>
    <row r="1402" s="548" customFormat="1" ht="24.95" customHeight="1"/>
    <row r="1403" s="548" customFormat="1" ht="24.95" customHeight="1"/>
    <row r="1404" s="548" customFormat="1" ht="24.95" customHeight="1"/>
    <row r="1405" s="548" customFormat="1" ht="24.95" customHeight="1"/>
    <row r="1406" s="548" customFormat="1" ht="24.95" customHeight="1"/>
    <row r="1407" s="548" customFormat="1" ht="24.95" customHeight="1"/>
    <row r="1408" s="548" customFormat="1" ht="24.95" customHeight="1"/>
    <row r="1409" s="548" customFormat="1" ht="24.95" customHeight="1"/>
    <row r="1410" s="548" customFormat="1" ht="24.95" customHeight="1"/>
    <row r="1411" s="548" customFormat="1" ht="24.95" customHeight="1"/>
    <row r="1412" s="548" customFormat="1" ht="24.95" customHeight="1"/>
    <row r="1413" s="548" customFormat="1" ht="24.95" customHeight="1"/>
    <row r="1414" s="548" customFormat="1" ht="24.95" customHeight="1"/>
    <row r="1415" s="548" customFormat="1" ht="24.95" customHeight="1"/>
    <row r="1416" s="548" customFormat="1" ht="24.95" customHeight="1"/>
    <row r="1417" s="548" customFormat="1" ht="24.95" customHeight="1"/>
    <row r="1418" s="548" customFormat="1" ht="24.95" customHeight="1"/>
    <row r="1419" s="548" customFormat="1" ht="24.95" customHeight="1"/>
    <row r="1420" s="548" customFormat="1" ht="24.95" customHeight="1"/>
    <row r="1421" s="548" customFormat="1" ht="24.95" customHeight="1"/>
    <row r="1422" s="548" customFormat="1" ht="24.95" customHeight="1"/>
    <row r="1423" s="548" customFormat="1" ht="24.95" customHeight="1"/>
    <row r="1424" s="548" customFormat="1" ht="24.95" customHeight="1"/>
    <row r="1425" s="548" customFormat="1" ht="24.95" customHeight="1"/>
    <row r="1426" s="548" customFormat="1" ht="24.95" customHeight="1"/>
    <row r="1427" s="548" customFormat="1" ht="24.95" customHeight="1"/>
    <row r="1428" s="548" customFormat="1" ht="24.95" customHeight="1"/>
    <row r="1429" s="548" customFormat="1" ht="24.95" customHeight="1"/>
    <row r="1430" s="548" customFormat="1" ht="24.95" customHeight="1"/>
    <row r="1431" s="548" customFormat="1" ht="24.95" customHeight="1"/>
    <row r="1432" s="548" customFormat="1" ht="24.95" customHeight="1"/>
    <row r="1433" s="548" customFormat="1" ht="24.95" customHeight="1"/>
    <row r="1434" s="548" customFormat="1" ht="24.95" customHeight="1"/>
    <row r="1435" s="548" customFormat="1" ht="24.95" customHeight="1"/>
    <row r="1436" s="548" customFormat="1" ht="24.95" customHeight="1"/>
    <row r="1437" s="548" customFormat="1" ht="24.95" customHeight="1"/>
    <row r="1438" s="548" customFormat="1" ht="24.95" customHeight="1"/>
    <row r="1439" s="548" customFormat="1" ht="24.95" customHeight="1"/>
    <row r="1440" s="548" customFormat="1" ht="24.95" customHeight="1"/>
    <row r="1441" s="548" customFormat="1" ht="24.95" customHeight="1"/>
    <row r="1442" s="548" customFormat="1" ht="24.95" customHeight="1"/>
    <row r="1443" s="548" customFormat="1" ht="24.95" customHeight="1"/>
    <row r="1444" s="548" customFormat="1" ht="24.95" customHeight="1"/>
    <row r="1445" s="548" customFormat="1" ht="24.95" customHeight="1"/>
    <row r="1446" s="548" customFormat="1" ht="24.95" customHeight="1"/>
    <row r="1447" s="548" customFormat="1" ht="24.95" customHeight="1"/>
    <row r="1448" s="548" customFormat="1" ht="24.95" customHeight="1"/>
    <row r="1449" s="548" customFormat="1" ht="24.95" customHeight="1"/>
    <row r="1450" s="548" customFormat="1" ht="24.95" customHeight="1"/>
    <row r="1451" s="548" customFormat="1" ht="24.95" customHeight="1"/>
    <row r="1452" s="548" customFormat="1" ht="24.95" customHeight="1"/>
    <row r="1453" s="548" customFormat="1" ht="24.95" customHeight="1"/>
    <row r="1454" s="548" customFormat="1" ht="24.95" customHeight="1"/>
    <row r="1455" s="548" customFormat="1" ht="24.95" customHeight="1"/>
    <row r="1456" s="548" customFormat="1" ht="24.95" customHeight="1"/>
    <row r="1457" s="548" customFormat="1" ht="24.95" customHeight="1"/>
    <row r="1458" s="548" customFormat="1" ht="24.95" customHeight="1"/>
    <row r="1459" s="548" customFormat="1" ht="24.95" customHeight="1"/>
    <row r="1460" s="548" customFormat="1" ht="24.95" customHeight="1"/>
    <row r="1461" s="548" customFormat="1" ht="24.95" customHeight="1"/>
    <row r="1462" s="548" customFormat="1" ht="24.95" customHeight="1"/>
    <row r="1463" s="548" customFormat="1" ht="24.95" customHeight="1"/>
    <row r="1464" s="548" customFormat="1" ht="24.95" customHeight="1"/>
    <row r="1465" s="548" customFormat="1" ht="24.95" customHeight="1"/>
    <row r="1466" s="548" customFormat="1" ht="24.95" customHeight="1"/>
    <row r="1467" s="548" customFormat="1" ht="24.95" customHeight="1"/>
    <row r="1468" s="548" customFormat="1" ht="24.95" customHeight="1"/>
    <row r="1469" s="548" customFormat="1" ht="24.95" customHeight="1"/>
    <row r="1470" s="548" customFormat="1" ht="24.95" customHeight="1"/>
    <row r="1471" s="548" customFormat="1" ht="24.95" customHeight="1"/>
    <row r="1472" s="548" customFormat="1" ht="24.95" customHeight="1"/>
    <row r="1473" s="548" customFormat="1" ht="24.95" customHeight="1"/>
    <row r="1474" s="548" customFormat="1" ht="24.95" customHeight="1"/>
    <row r="1475" s="548" customFormat="1" ht="24.95" customHeight="1"/>
    <row r="1476" s="548" customFormat="1" ht="24.95" customHeight="1"/>
    <row r="1477" s="548" customFormat="1" ht="24.95" customHeight="1"/>
    <row r="1478" s="548" customFormat="1" ht="24.95" customHeight="1"/>
    <row r="1479" s="548" customFormat="1" ht="24.95" customHeight="1"/>
    <row r="1480" s="548" customFormat="1" ht="24.95" customHeight="1"/>
    <row r="1481" s="548" customFormat="1" ht="24.95" customHeight="1"/>
    <row r="1482" s="548" customFormat="1" ht="24.95" customHeight="1"/>
    <row r="1483" s="548" customFormat="1" ht="24.95" customHeight="1"/>
    <row r="1484" s="548" customFormat="1" ht="24.95" customHeight="1"/>
    <row r="1485" s="548" customFormat="1" ht="24.95" customHeight="1"/>
    <row r="1486" s="548" customFormat="1" ht="24.95" customHeight="1"/>
    <row r="1487" s="548" customFormat="1" ht="24.95" customHeight="1"/>
    <row r="1488" s="548" customFormat="1" ht="24.95" customHeight="1"/>
    <row r="1489" s="548" customFormat="1" ht="24.95" customHeight="1"/>
    <row r="1490" s="548" customFormat="1" ht="24.95" customHeight="1"/>
    <row r="1491" s="548" customFormat="1" ht="24.95" customHeight="1"/>
    <row r="1492" s="548" customFormat="1" ht="24.95" customHeight="1"/>
    <row r="1493" s="548" customFormat="1" ht="24.95" customHeight="1"/>
    <row r="1494" s="548" customFormat="1" ht="24.95" customHeight="1"/>
    <row r="1495" s="548" customFormat="1" ht="24.95" customHeight="1"/>
    <row r="1496" s="548" customFormat="1" ht="24.95" customHeight="1"/>
  </sheetData>
  <mergeCells count="14">
    <mergeCell ref="D8:G8"/>
    <mergeCell ref="A1:J3"/>
    <mergeCell ref="D4:G4"/>
    <mergeCell ref="D5:G5"/>
    <mergeCell ref="D6:G6"/>
    <mergeCell ref="D7:G7"/>
    <mergeCell ref="A16:G16"/>
    <mergeCell ref="H18:J19"/>
    <mergeCell ref="D9:G9"/>
    <mergeCell ref="D10:G10"/>
    <mergeCell ref="D11:G11"/>
    <mergeCell ref="D12:G12"/>
    <mergeCell ref="D13:G13"/>
    <mergeCell ref="D14:G14"/>
  </mergeCells>
  <printOptions horizontalCentered="1"/>
  <pageMargins left="0.25" right="0.25" top="0.5" bottom="0.5" header="0.3" footer="0.3"/>
  <pageSetup paperSize="9" scale="5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3"/>
  <sheetViews>
    <sheetView rightToLeft="1" view="pageBreakPreview" zoomScale="60" zoomScaleNormal="100" workbookViewId="0">
      <selection activeCell="D21" sqref="D21"/>
    </sheetView>
  </sheetViews>
  <sheetFormatPr defaultRowHeight="15"/>
  <cols>
    <col min="1" max="1" width="5.28515625" style="498" customWidth="1"/>
    <col min="2" max="2" width="19.28515625" style="498" bestFit="1" customWidth="1"/>
    <col min="3" max="3" width="11" style="498" bestFit="1" customWidth="1"/>
    <col min="4" max="4" width="47.42578125" style="498" customWidth="1"/>
    <col min="5" max="5" width="50.42578125" style="498" bestFit="1" customWidth="1"/>
    <col min="6" max="6" width="18.7109375" style="498" bestFit="1" customWidth="1"/>
    <col min="7" max="7" width="17" style="498" bestFit="1" customWidth="1"/>
    <col min="8" max="16384" width="9.140625" style="498"/>
  </cols>
  <sheetData>
    <row r="1" spans="1:7" ht="27.75" customHeight="1"/>
    <row r="2" spans="1:7" ht="27.75" customHeight="1"/>
    <row r="3" spans="1:7" ht="27.75" customHeight="1"/>
    <row r="4" spans="1:7" ht="27.75" customHeight="1">
      <c r="A4" s="754" t="s">
        <v>1564</v>
      </c>
      <c r="B4" s="754"/>
      <c r="C4" s="754"/>
      <c r="D4" s="754"/>
      <c r="E4" s="754"/>
      <c r="F4" s="754"/>
      <c r="G4" s="754"/>
    </row>
    <row r="5" spans="1:7" ht="33.75" customHeight="1">
      <c r="A5" s="754"/>
      <c r="B5" s="754"/>
      <c r="C5" s="754"/>
      <c r="D5" s="754"/>
      <c r="E5" s="754"/>
      <c r="F5" s="754"/>
      <c r="G5" s="754"/>
    </row>
    <row r="6" spans="1:7" ht="33.75" customHeight="1">
      <c r="A6" s="754"/>
      <c r="B6" s="754"/>
      <c r="C6" s="754"/>
      <c r="D6" s="754"/>
      <c r="E6" s="754"/>
      <c r="F6" s="754"/>
      <c r="G6" s="754"/>
    </row>
    <row r="7" spans="1:7" ht="31.5" customHeight="1" thickBot="1">
      <c r="A7" s="513" t="s">
        <v>72</v>
      </c>
      <c r="B7" s="512" t="s">
        <v>1563</v>
      </c>
      <c r="C7" s="512" t="s">
        <v>1562</v>
      </c>
      <c r="D7" s="512" t="s">
        <v>1561</v>
      </c>
      <c r="E7" s="512" t="s">
        <v>1560</v>
      </c>
      <c r="F7" s="512" t="s">
        <v>1559</v>
      </c>
      <c r="G7" s="511" t="s">
        <v>1558</v>
      </c>
    </row>
    <row r="8" spans="1:7" ht="31.5" customHeight="1">
      <c r="A8" s="510">
        <v>1</v>
      </c>
      <c r="B8" s="508" t="s">
        <v>1557</v>
      </c>
      <c r="C8" s="508" t="s">
        <v>64</v>
      </c>
      <c r="D8" s="509">
        <v>2972616669940</v>
      </c>
      <c r="E8" s="509" t="s">
        <v>1556</v>
      </c>
      <c r="F8" s="508" t="s">
        <v>1545</v>
      </c>
      <c r="G8" s="507">
        <v>43144</v>
      </c>
    </row>
    <row r="9" spans="1:7" ht="31.5" customHeight="1">
      <c r="A9" s="505">
        <v>5</v>
      </c>
      <c r="B9" s="503" t="s">
        <v>1548</v>
      </c>
      <c r="C9" s="503" t="s">
        <v>64</v>
      </c>
      <c r="D9" s="504">
        <v>2011519119940</v>
      </c>
      <c r="E9" s="504" t="s">
        <v>1549</v>
      </c>
      <c r="F9" s="503" t="s">
        <v>1545</v>
      </c>
      <c r="G9" s="502">
        <v>43160</v>
      </c>
    </row>
    <row r="10" spans="1:7" ht="31.5" customHeight="1">
      <c r="A10" s="505">
        <v>6</v>
      </c>
      <c r="B10" s="503" t="s">
        <v>1548</v>
      </c>
      <c r="C10" s="503" t="s">
        <v>1547</v>
      </c>
      <c r="D10" s="504">
        <v>4.5400001000608004E+22</v>
      </c>
      <c r="E10" s="504" t="s">
        <v>1546</v>
      </c>
      <c r="F10" s="503" t="s">
        <v>1545</v>
      </c>
      <c r="G10" s="502">
        <v>43160</v>
      </c>
    </row>
    <row r="11" spans="1:7" ht="31.5" customHeight="1">
      <c r="A11" s="505">
        <v>2</v>
      </c>
      <c r="B11" s="503" t="s">
        <v>118</v>
      </c>
      <c r="C11" s="503" t="s">
        <v>1547</v>
      </c>
      <c r="D11" s="504">
        <v>454608010306125</v>
      </c>
      <c r="E11" s="504" t="s">
        <v>1555</v>
      </c>
      <c r="F11" s="503" t="s">
        <v>1554</v>
      </c>
      <c r="G11" s="506"/>
    </row>
    <row r="12" spans="1:7" ht="31.5" customHeight="1">
      <c r="A12" s="505">
        <v>3</v>
      </c>
      <c r="B12" s="503" t="s">
        <v>118</v>
      </c>
      <c r="C12" s="503" t="s">
        <v>1553</v>
      </c>
      <c r="D12" s="504">
        <v>6820050050000</v>
      </c>
      <c r="E12" s="503"/>
      <c r="F12" s="503" t="s">
        <v>1550</v>
      </c>
      <c r="G12" s="506"/>
    </row>
    <row r="13" spans="1:7" ht="31.5" customHeight="1">
      <c r="A13" s="501">
        <v>4</v>
      </c>
      <c r="B13" s="499" t="s">
        <v>118</v>
      </c>
      <c r="C13" s="499" t="s">
        <v>1552</v>
      </c>
      <c r="D13" s="500">
        <v>41077377009</v>
      </c>
      <c r="E13" s="500" t="s">
        <v>1551</v>
      </c>
      <c r="F13" s="499" t="s">
        <v>1550</v>
      </c>
      <c r="G13" s="514"/>
    </row>
  </sheetData>
  <mergeCells count="1">
    <mergeCell ref="A4:G6"/>
  </mergeCells>
  <printOptions horizontalCentered="1"/>
  <pageMargins left="0.70866141732283472" right="0.70866141732283472" top="0.35433070866141736" bottom="0.74803149606299213" header="0.31496062992125984" footer="0.31496062992125984"/>
  <pageSetup scale="72"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4"/>
  <dimension ref="A1:AH157"/>
  <sheetViews>
    <sheetView rightToLeft="1" view="pageBreakPreview" zoomScale="50" zoomScaleNormal="90" zoomScaleSheetLayoutView="50" workbookViewId="0">
      <pane xSplit="1" ySplit="5" topLeftCell="C6" activePane="bottomRight" state="frozen"/>
      <selection pane="topRight" activeCell="B1" sqref="B1"/>
      <selection pane="bottomLeft" activeCell="A5" sqref="A5"/>
      <selection pane="bottomRight" activeCell="X2" sqref="X2"/>
    </sheetView>
  </sheetViews>
  <sheetFormatPr defaultColWidth="9.140625" defaultRowHeight="15"/>
  <cols>
    <col min="1" max="1" width="7.42578125" style="401" customWidth="1"/>
    <col min="2" max="2" width="32.5703125" style="401" customWidth="1"/>
    <col min="3" max="3" width="18.5703125" style="401" customWidth="1"/>
    <col min="4" max="4" width="19.140625" style="401" customWidth="1"/>
    <col min="5" max="5" width="12" style="401" customWidth="1"/>
    <col min="6" max="6" width="11.140625" style="401" customWidth="1"/>
    <col min="7" max="7" width="16.42578125" style="401" customWidth="1"/>
    <col min="8" max="8" width="16" style="401" customWidth="1"/>
    <col min="9" max="9" width="16.140625" style="401" customWidth="1"/>
    <col min="10" max="10" width="19.28515625" style="401" customWidth="1"/>
    <col min="11" max="11" width="35.85546875" style="401" customWidth="1"/>
    <col min="12" max="12" width="12.5703125" style="401" customWidth="1"/>
    <col min="13" max="13" width="11.5703125" style="401" customWidth="1"/>
    <col min="14" max="14" width="18.42578125" style="401" customWidth="1"/>
    <col min="15" max="15" width="19.85546875" style="401" customWidth="1"/>
    <col min="16" max="23" width="15.5703125" style="401" customWidth="1"/>
    <col min="24" max="24" width="21" style="401" customWidth="1"/>
    <col min="25" max="25" width="17.28515625" style="401" customWidth="1"/>
    <col min="26" max="26" width="13.28515625" style="401" customWidth="1"/>
    <col min="27" max="27" width="11.85546875" style="401" customWidth="1"/>
    <col min="28" max="28" width="21" style="401" customWidth="1"/>
    <col min="29" max="29" width="17.5703125" style="401" customWidth="1"/>
    <col min="30" max="30" width="16" style="401" customWidth="1"/>
    <col min="31" max="31" width="24.28515625" style="401" customWidth="1"/>
    <col min="32" max="32" width="27" style="401" customWidth="1"/>
    <col min="33" max="33" width="9.140625" style="401"/>
    <col min="34" max="34" width="24.140625" style="401" bestFit="1" customWidth="1"/>
    <col min="35" max="16384" width="9.140625" style="401"/>
  </cols>
  <sheetData>
    <row r="1" spans="1:34" ht="35.25" customHeight="1" thickBot="1">
      <c r="G1" s="402">
        <v>42369</v>
      </c>
      <c r="H1" s="403" t="s">
        <v>1329</v>
      </c>
      <c r="I1" s="403" t="s">
        <v>1330</v>
      </c>
      <c r="J1" s="404">
        <v>42735</v>
      </c>
      <c r="K1" s="405"/>
      <c r="M1" s="406"/>
      <c r="N1" s="406"/>
      <c r="Y1" s="406"/>
      <c r="Z1" s="407"/>
      <c r="AB1" s="408">
        <f>AB2+815079</f>
        <v>5998593.9721917827</v>
      </c>
      <c r="AD1" s="407"/>
    </row>
    <row r="2" spans="1:34" s="409" customFormat="1" ht="61.5" customHeight="1" thickBot="1">
      <c r="G2" s="410">
        <f ca="1">SUMPRODUCT(SUBTOTAL(109,OFFSET(Table51013454[الإجمالي],ROW(Table51013454[الإجمالي])-ROW(O$6),,1)),--(Table51013454[تاريخ الشراء-الاستلام]&lt;DATE(2016,1,1)))</f>
        <v>6949058</v>
      </c>
      <c r="H2" s="411">
        <f ca="1">SUMPRODUCT(SUBTOTAL(109,OFFSET(Table51013454[الإجمالي],ROW(Table51013454[الإجمالي])-ROW(O$6),,1)),--(Table51013454[تاريخ الشراء-الاستلام]&gt;=DATE(2016,1,1)))</f>
        <v>665693</v>
      </c>
      <c r="I2" s="412">
        <f ca="1">SUMPRODUCT(SUBTOTAL(109,OFFSET(Table51013454[إجمالي المستبعد],ROW(Table51013454[إجمالي المستبعد])-ROW(O$6),,1)),--(Table51013454[التاريخ]&gt;=DATE(2016,1,1)))</f>
        <v>0</v>
      </c>
      <c r="J2" s="413">
        <f ca="1">SUM(G2:H2)-I2</f>
        <v>7614751</v>
      </c>
      <c r="K2" s="414"/>
      <c r="L2" s="415">
        <v>2188</v>
      </c>
      <c r="M2" s="416"/>
      <c r="N2" s="416"/>
      <c r="O2" s="417">
        <f>SUBTOTAL(9,Table51013454[الإجمالي])</f>
        <v>7614751</v>
      </c>
      <c r="P2" s="418"/>
      <c r="Q2" s="418"/>
      <c r="R2" s="418"/>
      <c r="S2" s="418"/>
      <c r="T2" s="418"/>
      <c r="U2" s="418"/>
      <c r="V2" s="418"/>
      <c r="W2" s="418"/>
      <c r="X2" s="419">
        <f>SUBTOTAL(9,Table51013454[الإجمالي الصافي])</f>
        <v>7614751</v>
      </c>
      <c r="Y2" s="420"/>
      <c r="Z2" s="421"/>
      <c r="AA2" s="422"/>
      <c r="AB2" s="408">
        <f>SUBTOTAL(9,Table51013454[مجمع الاهلاك 
في 01-01-2017])</f>
        <v>5183514.9721917827</v>
      </c>
      <c r="AC2" s="423"/>
      <c r="AD2" s="424">
        <f>SUBTOTAL(9,Table51013454[مصروف الاهلاك 2017])</f>
        <v>907199.24109589052</v>
      </c>
      <c r="AE2" s="423">
        <f>SUBTOTAL(9,Table51013454[مجمع الاهلاك
في 31-12-2017])</f>
        <v>6090714.2132876739</v>
      </c>
      <c r="AF2" s="425">
        <f>SUBTOTAL(9,Table51013454[القيمة الدفترية 
في 31-12-2017])</f>
        <v>1524036.7867123294</v>
      </c>
      <c r="AH2" s="425">
        <f>AF2-7948485</f>
        <v>-6424448.2132876702</v>
      </c>
    </row>
    <row r="3" spans="1:34" ht="45.75" customHeight="1" thickBot="1">
      <c r="B3" s="426"/>
      <c r="C3" s="426"/>
    </row>
    <row r="4" spans="1:34" ht="45.75" customHeight="1">
      <c r="B4" s="426"/>
      <c r="C4" s="426"/>
      <c r="L4" s="755" t="s">
        <v>1331</v>
      </c>
      <c r="M4" s="755"/>
      <c r="N4" s="755"/>
      <c r="O4" s="755"/>
      <c r="P4" s="756" t="s">
        <v>1332</v>
      </c>
      <c r="Q4" s="757"/>
      <c r="R4" s="757"/>
      <c r="S4" s="757"/>
      <c r="T4" s="757"/>
      <c r="U4" s="758"/>
      <c r="V4" s="759" t="s">
        <v>1333</v>
      </c>
      <c r="W4" s="759"/>
      <c r="X4" s="759"/>
    </row>
    <row r="5" spans="1:34" s="441" customFormat="1" ht="60.75" customHeight="1">
      <c r="A5" s="427" t="s">
        <v>72</v>
      </c>
      <c r="B5" s="428" t="s">
        <v>1334</v>
      </c>
      <c r="C5" s="428" t="s">
        <v>77</v>
      </c>
      <c r="D5" s="428" t="s">
        <v>1335</v>
      </c>
      <c r="E5" s="429" t="s">
        <v>86</v>
      </c>
      <c r="F5" s="428" t="s">
        <v>1336</v>
      </c>
      <c r="G5" s="428" t="s">
        <v>1337</v>
      </c>
      <c r="H5" s="428" t="s">
        <v>1338</v>
      </c>
      <c r="I5" s="428" t="s">
        <v>1339</v>
      </c>
      <c r="J5" s="428" t="s">
        <v>1340</v>
      </c>
      <c r="K5" s="428" t="s">
        <v>1341</v>
      </c>
      <c r="L5" s="430" t="s">
        <v>1342</v>
      </c>
      <c r="M5" s="431" t="s">
        <v>1343</v>
      </c>
      <c r="N5" s="432" t="s">
        <v>1344</v>
      </c>
      <c r="O5" s="432" t="s">
        <v>954</v>
      </c>
      <c r="P5" s="433" t="s">
        <v>1345</v>
      </c>
      <c r="Q5" s="432" t="s">
        <v>151</v>
      </c>
      <c r="R5" s="430" t="s">
        <v>1346</v>
      </c>
      <c r="S5" s="431" t="s">
        <v>1347</v>
      </c>
      <c r="T5" s="432" t="s">
        <v>1348</v>
      </c>
      <c r="U5" s="434" t="s">
        <v>1349</v>
      </c>
      <c r="V5" s="435" t="s">
        <v>1350</v>
      </c>
      <c r="W5" s="432" t="s">
        <v>1351</v>
      </c>
      <c r="X5" s="432" t="s">
        <v>1352</v>
      </c>
      <c r="Y5" s="436" t="s">
        <v>1353</v>
      </c>
      <c r="Z5" s="428" t="s">
        <v>1354</v>
      </c>
      <c r="AA5" s="428" t="s">
        <v>1355</v>
      </c>
      <c r="AB5" s="437" t="s">
        <v>1356</v>
      </c>
      <c r="AC5" s="438" t="s">
        <v>1357</v>
      </c>
      <c r="AD5" s="439" t="s">
        <v>1358</v>
      </c>
      <c r="AE5" s="439" t="s">
        <v>1359</v>
      </c>
      <c r="AF5" s="440" t="s">
        <v>1360</v>
      </c>
    </row>
    <row r="6" spans="1:34" s="456" customFormat="1" ht="57.75" hidden="1" customHeight="1">
      <c r="A6" s="442">
        <f>IF(B6="","",SUBTOTAL(3,$B$6:B6))</f>
        <v>0</v>
      </c>
      <c r="B6" s="443" t="s">
        <v>1361</v>
      </c>
      <c r="C6" s="444" t="s">
        <v>118</v>
      </c>
      <c r="D6" s="443" t="s">
        <v>1362</v>
      </c>
      <c r="E6" s="443" t="s">
        <v>64</v>
      </c>
      <c r="F6" s="443"/>
      <c r="G6" s="445" t="s">
        <v>1363</v>
      </c>
      <c r="H6" s="445" t="s">
        <v>1364</v>
      </c>
      <c r="I6" s="443"/>
      <c r="J6" s="446">
        <v>42571</v>
      </c>
      <c r="K6" s="446"/>
      <c r="L6" s="442">
        <v>1</v>
      </c>
      <c r="M6" s="443">
        <v>4232</v>
      </c>
      <c r="N6" s="447">
        <v>1300</v>
      </c>
      <c r="O6" s="448">
        <f t="shared" ref="O6:O12" si="0">N6*L6</f>
        <v>1300</v>
      </c>
      <c r="P6" s="449"/>
      <c r="Q6" s="447"/>
      <c r="R6" s="447"/>
      <c r="S6" s="447"/>
      <c r="T6" s="447"/>
      <c r="U6" s="450">
        <f>Table51013454[[#This Row],[العدد]]*Table51013454[[#This Row],[السعر الافرادي]]</f>
        <v>0</v>
      </c>
      <c r="V6" s="451">
        <f>Table51013454[[#This Row],[الكمية]]-Table51013454[[#This Row],[العدد]]</f>
        <v>1</v>
      </c>
      <c r="W6" s="447">
        <f>Table51013454[[#This Row],[سعر/الحبة]]</f>
        <v>1300</v>
      </c>
      <c r="X6" s="447">
        <f>Table51013454[[#This Row],[الإجمالي]]-Table51013454[[#This Row],[إجمالي المستبعد]]</f>
        <v>1300</v>
      </c>
      <c r="Y6" s="452">
        <v>0.15</v>
      </c>
      <c r="Z6" s="445"/>
      <c r="AA6" s="443" t="s">
        <v>1365</v>
      </c>
      <c r="AB6" s="453">
        <v>87.61643835616438</v>
      </c>
      <c r="AC6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الشراء-الاستلام]]&lt;DATE(2017,1,1),O6-AB6,0))</f>
        <v>1212.3835616438357</v>
      </c>
      <c r="AD6" s="454">
        <f>IF(OR(Table51013454[[#This Row],[تاريخ الشراء-الاستلام]]="",Table51013454[[#This Row],[الإجمالي]]="",Table51013454[[#This Row],[العمر الافتراضي]]=""),"",IF(AND(AB6&lt;X6,AC6&gt;(X6*Y6),DATE(2016,12,31)&gt;J6),X6*Y6,IF(AND(AB6&lt;X6,DATE(2017,12,31)&gt;J6,AC6&gt;(X6*Y6)),(DATE(2017,12,31)-J6)/((100%/Y6)*365)*X6,IF(AND(AB6&lt;X6,DATE(2017,12,31)&gt;J6,AC6=0),(DATE(2017,12,31)-J6)/((100%/Y6)*365)*X6,IF(AND(AB6&lt;X6,DATE(2017,12,31)&gt;J6,AC6&lt;(X6*Y6)),AC6,0)))))</f>
        <v>195</v>
      </c>
      <c r="AE6" s="453">
        <f>IF(OR(Table51013454[[#This Row],[تاريخ الشراء-الاستلام]]="",Table51013454[[#This Row],[الإجمالي]]="",Table51013454[[#This Row],[العمر الافتراضي]]=""),"",AB6+AD6)</f>
        <v>282.61643835616439</v>
      </c>
      <c r="AF6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الشراء-الاستلام]]&gt;DATE(2017,12,31),0,X6-AE6))</f>
        <v>1017.3835616438356</v>
      </c>
    </row>
    <row r="7" spans="1:34" s="456" customFormat="1" ht="57.75" hidden="1" customHeight="1">
      <c r="A7" s="442">
        <f>IF(B7="","",SUBTOTAL(3,$B$6:B7))</f>
        <v>0</v>
      </c>
      <c r="B7" s="443" t="s">
        <v>1366</v>
      </c>
      <c r="C7" s="444" t="s">
        <v>118</v>
      </c>
      <c r="D7" s="443" t="s">
        <v>1367</v>
      </c>
      <c r="E7" s="443" t="s">
        <v>1368</v>
      </c>
      <c r="F7" s="443"/>
      <c r="G7" s="445" t="s">
        <v>1369</v>
      </c>
      <c r="H7" s="445"/>
      <c r="I7" s="443"/>
      <c r="J7" s="446">
        <v>42695</v>
      </c>
      <c r="K7" s="446" t="s">
        <v>1370</v>
      </c>
      <c r="L7" s="442">
        <v>150</v>
      </c>
      <c r="M7" s="443" t="s">
        <v>1371</v>
      </c>
      <c r="N7" s="447">
        <v>700</v>
      </c>
      <c r="O7" s="448">
        <f t="shared" si="0"/>
        <v>105000</v>
      </c>
      <c r="P7" s="449"/>
      <c r="Q7" s="447"/>
      <c r="R7" s="447"/>
      <c r="S7" s="447"/>
      <c r="T7" s="447"/>
      <c r="U7" s="450">
        <f>Table51013454[[#This Row],[العدد]]*Table51013454[[#This Row],[السعر الافرادي]]</f>
        <v>0</v>
      </c>
      <c r="V7" s="451">
        <f>Table51013454[[#This Row],[الكمية]]-Table51013454[[#This Row],[العدد]]</f>
        <v>150</v>
      </c>
      <c r="W7" s="447">
        <f>Table51013454[[#This Row],[سعر/الحبة]]</f>
        <v>700</v>
      </c>
      <c r="X7" s="447">
        <f>Table51013454[[#This Row],[الإجمالي]]-Table51013454[[#This Row],[إجمالي المستبعد]]</f>
        <v>105000</v>
      </c>
      <c r="Y7" s="452">
        <v>0.15</v>
      </c>
      <c r="Z7" s="445"/>
      <c r="AA7" s="443" t="s">
        <v>1365</v>
      </c>
      <c r="AB7" s="453">
        <v>1726.0273972602738</v>
      </c>
      <c r="AC7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الشراء-الاستلام]]&lt;DATE(2017,1,1),O7-AB7,0))</f>
        <v>103273.97260273973</v>
      </c>
      <c r="AD7" s="454">
        <f>IF(OR(Table51013454[[#This Row],[تاريخ الشراء-الاستلام]]="",Table51013454[[#This Row],[الإجمالي]]="",Table51013454[[#This Row],[العمر الافتراضي]]=""),"",IF(AND(AB7&lt;X7,AC7&gt;(X7*Y7),DATE(2016,12,31)&gt;J7),X7*Y7,IF(AND(AB7&lt;X7,DATE(2017,12,31)&gt;J7,AC7&gt;(X7*Y7)),(DATE(2017,12,31)-J7)/((100%/Y7)*365)*X7,IF(AND(AB7&lt;X7,DATE(2017,12,31)&gt;J7,AC7=0),(DATE(2017,12,31)-J7)/((100%/Y7)*365)*X7,IF(AND(AB7&lt;X7,DATE(2017,12,31)&gt;J7,AC7&lt;(X7*Y7)),AC7,0)))))</f>
        <v>15750</v>
      </c>
      <c r="AE7" s="453">
        <f>IF(OR(Table51013454[[#This Row],[تاريخ الشراء-الاستلام]]="",Table51013454[[#This Row],[الإجمالي]]="",Table51013454[[#This Row],[العمر الافتراضي]]=""),"",AB7+AD7)</f>
        <v>17476.027397260274</v>
      </c>
      <c r="AF7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الشراء-الاستلام]]&gt;DATE(2017,12,31),0,X7-AE7))</f>
        <v>87523.972602739726</v>
      </c>
    </row>
    <row r="8" spans="1:34" s="456" customFormat="1" ht="57.75" hidden="1" customHeight="1">
      <c r="A8" s="442">
        <f>IF(B8="","",SUBTOTAL(3,$B$6:B8))</f>
        <v>0</v>
      </c>
      <c r="B8" s="443" t="s">
        <v>1372</v>
      </c>
      <c r="C8" s="444" t="s">
        <v>118</v>
      </c>
      <c r="D8" s="443" t="s">
        <v>1362</v>
      </c>
      <c r="E8" s="443" t="s">
        <v>64</v>
      </c>
      <c r="F8" s="443"/>
      <c r="G8" s="445"/>
      <c r="H8" s="445"/>
      <c r="I8" s="443"/>
      <c r="J8" s="446">
        <v>40756</v>
      </c>
      <c r="K8" s="446"/>
      <c r="L8" s="442">
        <v>8</v>
      </c>
      <c r="M8" s="443"/>
      <c r="N8" s="447">
        <v>1190</v>
      </c>
      <c r="O8" s="448">
        <f t="shared" si="0"/>
        <v>9520</v>
      </c>
      <c r="P8" s="449"/>
      <c r="Q8" s="447"/>
      <c r="R8" s="447"/>
      <c r="S8" s="447"/>
      <c r="T8" s="447"/>
      <c r="U8" s="450">
        <f>Table51013454[[#This Row],[العدد]]*Table51013454[[#This Row],[السعر الافرادي]]</f>
        <v>0</v>
      </c>
      <c r="V8" s="451">
        <f>Table51013454[[#This Row],[الكمية]]-Table51013454[[#This Row],[العدد]]</f>
        <v>8</v>
      </c>
      <c r="W8" s="447">
        <f>Table51013454[[#This Row],[سعر/الحبة]]</f>
        <v>1190</v>
      </c>
      <c r="X8" s="447">
        <f>Table51013454[[#This Row],[الإجمالي]]-Table51013454[[#This Row],[إجمالي المستبعد]]</f>
        <v>9520</v>
      </c>
      <c r="Y8" s="452">
        <v>0.15</v>
      </c>
      <c r="Z8" s="445"/>
      <c r="AA8" s="443" t="s">
        <v>1365</v>
      </c>
      <c r="AB8" s="453">
        <v>7738.5863013698627</v>
      </c>
      <c r="AC8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الشراء-الاستلام]]&lt;DATE(2017,1,1),O8-AB8,0))</f>
        <v>1781.4136986301373</v>
      </c>
      <c r="AD8" s="454">
        <f>IF(OR(Table51013454[[#This Row],[تاريخ الشراء-الاستلام]]="",Table51013454[[#This Row],[الإجمالي]]="",Table51013454[[#This Row],[العمر الافتراضي]]=""),"",IF(AND(AB8&lt;X8,AC8&gt;(X8*Y8),DATE(2016,12,31)&gt;J8),X8*Y8,IF(AND(AB8&lt;X8,DATE(2017,12,31)&gt;J8,AC8&gt;(X8*Y8)),(DATE(2017,12,31)-J8)/((100%/Y8)*365)*X8,IF(AND(AB8&lt;X8,DATE(2017,12,31)&gt;J8,AC8=0),(DATE(2017,12,31)-J8)/((100%/Y8)*365)*X8,IF(AND(AB8&lt;X8,DATE(2017,12,31)&gt;J8,AC8&lt;(X8*Y8)),AC8,0)))))</f>
        <v>1428</v>
      </c>
      <c r="AE8" s="453">
        <f>IF(OR(Table51013454[[#This Row],[تاريخ الشراء-الاستلام]]="",Table51013454[[#This Row],[الإجمالي]]="",Table51013454[[#This Row],[العمر الافتراضي]]=""),"",AB8+AD8)</f>
        <v>9166.5863013698618</v>
      </c>
      <c r="AF8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الشراء-الاستلام]]&gt;DATE(2017,12,31),0,X8-AE8))</f>
        <v>353.41369863013824</v>
      </c>
    </row>
    <row r="9" spans="1:34" s="456" customFormat="1" ht="57.75" hidden="1" customHeight="1">
      <c r="A9" s="442">
        <f>IF(B9="","",SUBTOTAL(3,$B$6:B9))</f>
        <v>0</v>
      </c>
      <c r="B9" s="443" t="s">
        <v>1373</v>
      </c>
      <c r="C9" s="444" t="s">
        <v>118</v>
      </c>
      <c r="D9" s="443" t="s">
        <v>1374</v>
      </c>
      <c r="E9" s="443" t="s">
        <v>64</v>
      </c>
      <c r="F9" s="443"/>
      <c r="G9" s="445"/>
      <c r="H9" s="445"/>
      <c r="I9" s="443" t="s">
        <v>1324</v>
      </c>
      <c r="J9" s="446">
        <v>42711</v>
      </c>
      <c r="K9" s="446" t="s">
        <v>1375</v>
      </c>
      <c r="L9" s="442">
        <v>4</v>
      </c>
      <c r="M9" s="443"/>
      <c r="N9" s="447">
        <v>971.25</v>
      </c>
      <c r="O9" s="448">
        <f t="shared" si="0"/>
        <v>3885</v>
      </c>
      <c r="P9" s="449"/>
      <c r="Q9" s="447"/>
      <c r="R9" s="447"/>
      <c r="S9" s="447"/>
      <c r="T9" s="447"/>
      <c r="U9" s="450">
        <f>Table51013454[[#This Row],[العدد]]*Table51013454[[#This Row],[السعر الافرادي]]</f>
        <v>0</v>
      </c>
      <c r="V9" s="451">
        <f>Table51013454[[#This Row],[الكمية]]-Table51013454[[#This Row],[العدد]]</f>
        <v>4</v>
      </c>
      <c r="W9" s="447">
        <f>Table51013454[[#This Row],[سعر/الحبة]]</f>
        <v>971.25</v>
      </c>
      <c r="X9" s="447">
        <f>Table51013454[[#This Row],[الإجمالي]]-Table51013454[[#This Row],[إجمالي المستبعد]]</f>
        <v>3885</v>
      </c>
      <c r="Y9" s="457">
        <v>0.2</v>
      </c>
      <c r="Z9" s="445"/>
      <c r="AA9" s="443" t="s">
        <v>1365</v>
      </c>
      <c r="AB9" s="453">
        <v>51.090410958904116</v>
      </c>
      <c r="AC9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الشراء-الاستلام]]&lt;DATE(2017,1,1),O9-AB9,0))</f>
        <v>3833.9095890410958</v>
      </c>
      <c r="AD9" s="454">
        <f>IF(OR(Table51013454[[#This Row],[تاريخ الشراء-الاستلام]]="",Table51013454[[#This Row],[الإجمالي]]="",Table51013454[[#This Row],[العمر الافتراضي]]=""),"",IF(AND(AB9&lt;X9,AC9&gt;(X9*Y9),DATE(2016,12,31)&gt;J9),X9*Y9,IF(AND(AB9&lt;X9,DATE(2017,12,31)&gt;J9,AC9&gt;(X9*Y9)),(DATE(2017,12,31)-J9)/((100%/Y9)*365)*X9,IF(AND(AB9&lt;X9,DATE(2017,12,31)&gt;J9,AC9=0),(DATE(2017,12,31)-J9)/((100%/Y9)*365)*X9,IF(AND(AB9&lt;X9,DATE(2017,12,31)&gt;J9,AC9&lt;(X9*Y9)),AC9,0)))))</f>
        <v>777</v>
      </c>
      <c r="AE9" s="453">
        <f>IF(OR(Table51013454[[#This Row],[تاريخ الشراء-الاستلام]]="",Table51013454[[#This Row],[الإجمالي]]="",Table51013454[[#This Row],[العمر الافتراضي]]=""),"",AB9+AD9)</f>
        <v>828.09041095890416</v>
      </c>
      <c r="AF9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الشراء-الاستلام]]&gt;DATE(2017,12,31),0,X9-AE9))</f>
        <v>3056.9095890410958</v>
      </c>
    </row>
    <row r="10" spans="1:34" s="456" customFormat="1" ht="57.75" hidden="1" customHeight="1">
      <c r="A10" s="442">
        <f>IF(B10="","",SUBTOTAL(3,$B$6:B10))</f>
        <v>0</v>
      </c>
      <c r="B10" s="443" t="s">
        <v>1376</v>
      </c>
      <c r="C10" s="444" t="s">
        <v>118</v>
      </c>
      <c r="D10" s="443" t="s">
        <v>1362</v>
      </c>
      <c r="E10" s="443" t="s">
        <v>64</v>
      </c>
      <c r="F10" s="443"/>
      <c r="G10" s="445" t="s">
        <v>1377</v>
      </c>
      <c r="H10" s="445" t="s">
        <v>1378</v>
      </c>
      <c r="I10" s="443"/>
      <c r="J10" s="446">
        <v>42705</v>
      </c>
      <c r="K10" s="446" t="s">
        <v>1379</v>
      </c>
      <c r="L10" s="442">
        <v>1</v>
      </c>
      <c r="M10" s="443"/>
      <c r="N10" s="447">
        <v>850</v>
      </c>
      <c r="O10" s="448">
        <f t="shared" si="0"/>
        <v>850</v>
      </c>
      <c r="P10" s="449"/>
      <c r="Q10" s="447"/>
      <c r="R10" s="447"/>
      <c r="S10" s="447"/>
      <c r="T10" s="447"/>
      <c r="U10" s="450">
        <f>Table51013454[[#This Row],[العدد]]*Table51013454[[#This Row],[السعر الافرادي]]</f>
        <v>0</v>
      </c>
      <c r="V10" s="451">
        <f>Table51013454[[#This Row],[الكمية]]-Table51013454[[#This Row],[العدد]]</f>
        <v>1</v>
      </c>
      <c r="W10" s="447">
        <f>Table51013454[[#This Row],[سعر/الحبة]]</f>
        <v>850</v>
      </c>
      <c r="X10" s="447">
        <f>Table51013454[[#This Row],[الإجمالي]]-Table51013454[[#This Row],[إجمالي المستبعد]]</f>
        <v>850</v>
      </c>
      <c r="Y10" s="452">
        <v>0.15</v>
      </c>
      <c r="Z10" s="445"/>
      <c r="AA10" s="443" t="s">
        <v>1365</v>
      </c>
      <c r="AB10" s="453">
        <v>10.479452054794521</v>
      </c>
      <c r="AC10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الشراء-الاستلام]]&lt;DATE(2017,1,1),O10-AB10,0))</f>
        <v>839.52054794520552</v>
      </c>
      <c r="AD10" s="454">
        <f>IF(OR(Table51013454[[#This Row],[تاريخ الشراء-الاستلام]]="",Table51013454[[#This Row],[الإجمالي]]="",Table51013454[[#This Row],[العمر الافتراضي]]=""),"",IF(AND(AB10&lt;X10,AC10&gt;(X10*Y10),DATE(2016,12,31)&gt;J10),X10*Y10,IF(AND(AB10&lt;X10,DATE(2017,12,31)&gt;J10,AC10&gt;(X10*Y10)),(DATE(2017,12,31)-J10)/((100%/Y10)*365)*X10,IF(AND(AB10&lt;X10,DATE(2017,12,31)&gt;J10,AC10=0),(DATE(2017,12,31)-J10)/((100%/Y10)*365)*X10,IF(AND(AB10&lt;X10,DATE(2017,12,31)&gt;J10,AC10&lt;(X10*Y10)),AC10,0)))))</f>
        <v>127.5</v>
      </c>
      <c r="AE10" s="453">
        <f>IF(OR(Table51013454[[#This Row],[تاريخ الشراء-الاستلام]]="",Table51013454[[#This Row],[الإجمالي]]="",Table51013454[[#This Row],[العمر الافتراضي]]=""),"",AB10+AD10)</f>
        <v>137.97945205479454</v>
      </c>
      <c r="AF10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الشراء-الاستلام]]&gt;DATE(2017,12,31),0,X10-AE10))</f>
        <v>712.02054794520541</v>
      </c>
    </row>
    <row r="11" spans="1:34" s="456" customFormat="1" ht="57.75" hidden="1" customHeight="1">
      <c r="A11" s="442">
        <f>IF(B11="","",SUBTOTAL(3,$B$6:B11))</f>
        <v>0</v>
      </c>
      <c r="B11" s="443" t="s">
        <v>1380</v>
      </c>
      <c r="C11" s="444" t="s">
        <v>118</v>
      </c>
      <c r="D11" s="443" t="s">
        <v>1362</v>
      </c>
      <c r="E11" s="443" t="s">
        <v>64</v>
      </c>
      <c r="F11" s="443"/>
      <c r="G11" s="445" t="s">
        <v>1377</v>
      </c>
      <c r="H11" s="445" t="s">
        <v>1378</v>
      </c>
      <c r="I11" s="443"/>
      <c r="J11" s="446">
        <v>42730</v>
      </c>
      <c r="K11" s="446" t="s">
        <v>1381</v>
      </c>
      <c r="L11" s="442">
        <v>1</v>
      </c>
      <c r="M11" s="443"/>
      <c r="N11" s="447">
        <v>1400</v>
      </c>
      <c r="O11" s="448">
        <f t="shared" si="0"/>
        <v>1400</v>
      </c>
      <c r="P11" s="449"/>
      <c r="Q11" s="447"/>
      <c r="R11" s="447"/>
      <c r="S11" s="447"/>
      <c r="T11" s="447"/>
      <c r="U11" s="450">
        <f>Table51013454[[#This Row],[العدد]]*Table51013454[[#This Row],[السعر الافرادي]]</f>
        <v>0</v>
      </c>
      <c r="V11" s="451">
        <f>Table51013454[[#This Row],[الكمية]]-Table51013454[[#This Row],[العدد]]</f>
        <v>1</v>
      </c>
      <c r="W11" s="447">
        <f>Table51013454[[#This Row],[سعر/الحبة]]</f>
        <v>1400</v>
      </c>
      <c r="X11" s="447">
        <f>Table51013454[[#This Row],[الإجمالي]]-Table51013454[[#This Row],[إجمالي المستبعد]]</f>
        <v>1400</v>
      </c>
      <c r="Y11" s="452">
        <v>0.15</v>
      </c>
      <c r="Z11" s="445"/>
      <c r="AA11" s="443" t="s">
        <v>1365</v>
      </c>
      <c r="AB11" s="453">
        <v>2.8767123287671228</v>
      </c>
      <c r="AC11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الشراء-الاستلام]]&lt;DATE(2017,1,1),O11-AB11,0))</f>
        <v>1397.1232876712329</v>
      </c>
      <c r="AD11" s="454">
        <f>IF(OR(Table51013454[[#This Row],[تاريخ الشراء-الاستلام]]="",Table51013454[[#This Row],[الإجمالي]]="",Table51013454[[#This Row],[العمر الافتراضي]]=""),"",IF(AND(AB11&lt;X11,AC11&gt;(X11*Y11),DATE(2016,12,31)&gt;J11),X11*Y11,IF(AND(AB11&lt;X11,DATE(2017,12,31)&gt;J11,AC11&gt;(X11*Y11)),(DATE(2017,12,31)-J11)/((100%/Y11)*365)*X11,IF(AND(AB11&lt;X11,DATE(2017,12,31)&gt;J11,AC11=0),(DATE(2017,12,31)-J11)/((100%/Y11)*365)*X11,IF(AND(AB11&lt;X11,DATE(2017,12,31)&gt;J11,AC11&lt;(X11*Y11)),AC11,0)))))</f>
        <v>210</v>
      </c>
      <c r="AE11" s="453">
        <f>IF(OR(Table51013454[[#This Row],[تاريخ الشراء-الاستلام]]="",Table51013454[[#This Row],[الإجمالي]]="",Table51013454[[#This Row],[العمر الافتراضي]]=""),"",AB11+AD11)</f>
        <v>212.87671232876713</v>
      </c>
      <c r="AF11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الشراء-الاستلام]]&gt;DATE(2017,12,31),0,X11-AE11))</f>
        <v>1187.1232876712329</v>
      </c>
    </row>
    <row r="12" spans="1:34" s="456" customFormat="1" ht="57.75" hidden="1" customHeight="1">
      <c r="A12" s="442">
        <f>IF(B12="","",SUBTOTAL(3,$B$6:B12))</f>
        <v>0</v>
      </c>
      <c r="B12" s="443" t="s">
        <v>1382</v>
      </c>
      <c r="C12" s="444" t="s">
        <v>118</v>
      </c>
      <c r="D12" s="443" t="s">
        <v>1383</v>
      </c>
      <c r="E12" s="443" t="s">
        <v>1368</v>
      </c>
      <c r="F12" s="443"/>
      <c r="G12" s="445" t="s">
        <v>1369</v>
      </c>
      <c r="H12" s="445" t="s">
        <v>1384</v>
      </c>
      <c r="I12" s="442">
        <v>9788</v>
      </c>
      <c r="J12" s="446">
        <v>42704</v>
      </c>
      <c r="K12" s="446" t="s">
        <v>1385</v>
      </c>
      <c r="L12" s="442">
        <v>1</v>
      </c>
      <c r="M12" s="443">
        <v>3519</v>
      </c>
      <c r="N12" s="447">
        <v>37500</v>
      </c>
      <c r="O12" s="448">
        <f t="shared" si="0"/>
        <v>37500</v>
      </c>
      <c r="P12" s="449"/>
      <c r="Q12" s="447"/>
      <c r="R12" s="447"/>
      <c r="S12" s="447"/>
      <c r="T12" s="447"/>
      <c r="U12" s="450">
        <f>Table51013454[[#This Row],[العدد]]*Table51013454[[#This Row],[السعر الافرادي]]</f>
        <v>0</v>
      </c>
      <c r="V12" s="451">
        <f>Table51013454[[#This Row],[الكمية]]-Table51013454[[#This Row],[العدد]]</f>
        <v>1</v>
      </c>
      <c r="W12" s="447">
        <f>Table51013454[[#This Row],[سعر/الحبة]]</f>
        <v>37500</v>
      </c>
      <c r="X12" s="447">
        <f>Table51013454[[#This Row],[الإجمالي]]-Table51013454[[#This Row],[إجمالي المستبعد]]</f>
        <v>37500</v>
      </c>
      <c r="Y12" s="452">
        <v>0.25</v>
      </c>
      <c r="Z12" s="445"/>
      <c r="AA12" s="443" t="s">
        <v>1365</v>
      </c>
      <c r="AB12" s="453">
        <v>796.23287671232879</v>
      </c>
      <c r="AC12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الشراء-الاستلام]]&lt;DATE(2017,1,1),O12-AB12,0))</f>
        <v>36703.767123287675</v>
      </c>
      <c r="AD12" s="454">
        <f>IF(OR(Table51013454[[#This Row],[تاريخ الشراء-الاستلام]]="",Table51013454[[#This Row],[الإجمالي]]="",Table51013454[[#This Row],[العمر الافتراضي]]=""),"",IF(AND(AB12&lt;X12,AC12&gt;(X12*Y12),DATE(2016,12,31)&gt;J12),X12*Y12,IF(AND(AB12&lt;X12,DATE(2017,12,31)&gt;J12,AC12&gt;(X12*Y12)),(DATE(2017,12,31)-J12)/((100%/Y12)*365)*X12,IF(AND(AB12&lt;X12,DATE(2017,12,31)&gt;J12,AC12=0),(DATE(2017,12,31)-J12)/((100%/Y12)*365)*X12,IF(AND(AB12&lt;X12,DATE(2017,12,31)&gt;J12,AC12&lt;(X12*Y12)),AC12,0)))))</f>
        <v>9375</v>
      </c>
      <c r="AE12" s="453">
        <f>IF(OR(Table51013454[[#This Row],[تاريخ الشراء-الاستلام]]="",Table51013454[[#This Row],[الإجمالي]]="",Table51013454[[#This Row],[العمر الافتراضي]]=""),"",AB12+AD12)</f>
        <v>10171.232876712329</v>
      </c>
      <c r="AF12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الشراء-الاستلام]]&gt;DATE(2017,12,31),0,X12-AE12))</f>
        <v>27328.767123287671</v>
      </c>
    </row>
    <row r="13" spans="1:34" s="456" customFormat="1" ht="57.75" hidden="1" customHeight="1">
      <c r="A13" s="442">
        <f>IF(B13="","",SUBTOTAL(3,$B$6:B13))</f>
        <v>0</v>
      </c>
      <c r="B13" s="443" t="s">
        <v>1386</v>
      </c>
      <c r="C13" s="444" t="s">
        <v>118</v>
      </c>
      <c r="D13" s="443" t="s">
        <v>1387</v>
      </c>
      <c r="E13" s="443" t="s">
        <v>64</v>
      </c>
      <c r="F13" s="443" t="s">
        <v>1388</v>
      </c>
      <c r="G13" s="445" t="s">
        <v>1369</v>
      </c>
      <c r="H13" s="445"/>
      <c r="I13" s="458" t="s">
        <v>1389</v>
      </c>
      <c r="J13" s="446">
        <v>42735</v>
      </c>
      <c r="K13" s="446" t="s">
        <v>1390</v>
      </c>
      <c r="L13" s="442">
        <v>1</v>
      </c>
      <c r="M13" s="443"/>
      <c r="N13" s="447">
        <v>170800</v>
      </c>
      <c r="O13" s="448">
        <f>N13*L13</f>
        <v>170800</v>
      </c>
      <c r="P13" s="449"/>
      <c r="Q13" s="447"/>
      <c r="R13" s="447"/>
      <c r="S13" s="447"/>
      <c r="T13" s="447"/>
      <c r="U13" s="450">
        <f>Table51013454[[#This Row],[العدد]]*Table51013454[[#This Row],[السعر الافرادي]]</f>
        <v>0</v>
      </c>
      <c r="V13" s="451">
        <f>Table51013454[[#This Row],[الكمية]]-Table51013454[[#This Row],[العدد]]</f>
        <v>1</v>
      </c>
      <c r="W13" s="447">
        <f>Table51013454[[#This Row],[سعر/الحبة]]</f>
        <v>170800</v>
      </c>
      <c r="X13" s="447">
        <f>Table51013454[[#This Row],[الإجمالي]]-Table51013454[[#This Row],[إجمالي المستبعد]]</f>
        <v>170800</v>
      </c>
      <c r="Y13" s="457">
        <v>0.25</v>
      </c>
      <c r="Z13" s="445"/>
      <c r="AA13" s="443" t="s">
        <v>1365</v>
      </c>
      <c r="AB13" s="453">
        <v>0</v>
      </c>
      <c r="AC13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الشراء-الاستلام]]&lt;DATE(2017,1,1),O13-AB13,0))</f>
        <v>170800</v>
      </c>
      <c r="AD13" s="454">
        <f>IF(OR(Table51013454[[#This Row],[تاريخ الشراء-الاستلام]]="",Table51013454[[#This Row],[الإجمالي]]="",Table51013454[[#This Row],[العمر الافتراضي]]=""),"",IF(AND(AB13&lt;X13,AC13&gt;(X13*Y13),DATE(2016,12,31)&gt;J13),X13*Y13,IF(AND(AB13&lt;X13,DATE(2017,12,31)&gt;J13,AC13&gt;(X13*Y13)),(DATE(2017,12,31)-J13)/((100%/Y13)*365)*X13,IF(AND(AB13&lt;X13,DATE(2017,12,31)&gt;J13,AC13=0),(DATE(2017,12,31)-J13)/((100%/Y13)*365)*X13,IF(AND(AB13&lt;X13,DATE(2017,12,31)&gt;J13,AC13&lt;(X13*Y13)),AC13,0)))))</f>
        <v>42700</v>
      </c>
      <c r="AE13" s="453">
        <f>IF(OR(Table51013454[[#This Row],[تاريخ الشراء-الاستلام]]="",Table51013454[[#This Row],[الإجمالي]]="",Table51013454[[#This Row],[العمر الافتراضي]]=""),"",AB13+AD13)</f>
        <v>42700</v>
      </c>
      <c r="AF13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الشراء-الاستلام]]&gt;DATE(2017,12,31),0,X13-AE13))</f>
        <v>128100</v>
      </c>
    </row>
    <row r="14" spans="1:34" s="456" customFormat="1" ht="57.75" hidden="1" customHeight="1">
      <c r="A14" s="442">
        <f>IF(B14="","",SUBTOTAL(3,$B$6:B14))</f>
        <v>0</v>
      </c>
      <c r="B14" s="443" t="s">
        <v>1386</v>
      </c>
      <c r="C14" s="444" t="s">
        <v>118</v>
      </c>
      <c r="D14" s="443" t="s">
        <v>1387</v>
      </c>
      <c r="E14" s="443" t="s">
        <v>64</v>
      </c>
      <c r="F14" s="443" t="s">
        <v>1388</v>
      </c>
      <c r="G14" s="445" t="s">
        <v>1369</v>
      </c>
      <c r="H14" s="445"/>
      <c r="I14" s="458" t="s">
        <v>1391</v>
      </c>
      <c r="J14" s="446">
        <v>42735</v>
      </c>
      <c r="K14" s="446" t="s">
        <v>1390</v>
      </c>
      <c r="L14" s="442">
        <v>1</v>
      </c>
      <c r="M14" s="443"/>
      <c r="N14" s="447">
        <v>170800</v>
      </c>
      <c r="O14" s="448">
        <f>N14*L14</f>
        <v>170800</v>
      </c>
      <c r="P14" s="449"/>
      <c r="Q14" s="447"/>
      <c r="R14" s="447"/>
      <c r="S14" s="447"/>
      <c r="T14" s="447"/>
      <c r="U14" s="450">
        <f>Table51013454[[#This Row],[العدد]]*Table51013454[[#This Row],[السعر الافرادي]]</f>
        <v>0</v>
      </c>
      <c r="V14" s="451">
        <f>Table51013454[[#This Row],[الكمية]]-Table51013454[[#This Row],[العدد]]</f>
        <v>1</v>
      </c>
      <c r="W14" s="447">
        <f>Table51013454[[#This Row],[سعر/الحبة]]</f>
        <v>170800</v>
      </c>
      <c r="X14" s="447">
        <f>Table51013454[[#This Row],[الإجمالي]]-Table51013454[[#This Row],[إجمالي المستبعد]]</f>
        <v>170800</v>
      </c>
      <c r="Y14" s="457">
        <v>0.25</v>
      </c>
      <c r="Z14" s="445"/>
      <c r="AA14" s="443" t="s">
        <v>1365</v>
      </c>
      <c r="AB14" s="453">
        <v>0</v>
      </c>
      <c r="AC14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الشراء-الاستلام]]&lt;DATE(2017,1,1),O14-AB14,0))</f>
        <v>170800</v>
      </c>
      <c r="AD14" s="454">
        <f>IF(OR(Table51013454[[#This Row],[تاريخ الشراء-الاستلام]]="",Table51013454[[#This Row],[الإجمالي]]="",Table51013454[[#This Row],[العمر الافتراضي]]=""),"",IF(AND(AB14&lt;X14,AC14&gt;(X14*Y14),DATE(2016,12,31)&gt;J14),X14*Y14,IF(AND(AB14&lt;X14,DATE(2017,12,31)&gt;J14,AC14&gt;(X14*Y14)),(DATE(2017,12,31)-J14)/((100%/Y14)*365)*X14,IF(AND(AB14&lt;X14,DATE(2017,12,31)&gt;J14,AC14=0),(DATE(2017,12,31)-J14)/((100%/Y14)*365)*X14,IF(AND(AB14&lt;X14,DATE(2017,12,31)&gt;J14,AC14&lt;(X14*Y14)),AC14,0)))))</f>
        <v>42700</v>
      </c>
      <c r="AE14" s="453">
        <f>IF(OR(Table51013454[[#This Row],[تاريخ الشراء-الاستلام]]="",Table51013454[[#This Row],[الإجمالي]]="",Table51013454[[#This Row],[العمر الافتراضي]]=""),"",AB14+AD14)</f>
        <v>42700</v>
      </c>
      <c r="AF14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الشراء-الاستلام]]&gt;DATE(2017,12,31),0,X14-AE14))</f>
        <v>128100</v>
      </c>
    </row>
    <row r="15" spans="1:34" s="456" customFormat="1" ht="57.75" hidden="1" customHeight="1">
      <c r="A15" s="442">
        <f>IF(B15="","",SUBTOTAL(3,$B$6:B15))</f>
        <v>0</v>
      </c>
      <c r="B15" s="443" t="s">
        <v>1386</v>
      </c>
      <c r="C15" s="444" t="s">
        <v>118</v>
      </c>
      <c r="D15" s="443" t="s">
        <v>1387</v>
      </c>
      <c r="E15" s="443" t="s">
        <v>64</v>
      </c>
      <c r="F15" s="443" t="s">
        <v>1388</v>
      </c>
      <c r="G15" s="445" t="s">
        <v>1369</v>
      </c>
      <c r="H15" s="445"/>
      <c r="I15" s="458" t="s">
        <v>1392</v>
      </c>
      <c r="J15" s="446">
        <v>42735</v>
      </c>
      <c r="K15" s="446" t="s">
        <v>1390</v>
      </c>
      <c r="L15" s="442">
        <v>1</v>
      </c>
      <c r="M15" s="443"/>
      <c r="N15" s="447">
        <v>170800</v>
      </c>
      <c r="O15" s="448">
        <f t="shared" ref="O15:O62" si="1">N15*L15</f>
        <v>170800</v>
      </c>
      <c r="P15" s="449"/>
      <c r="Q15" s="447"/>
      <c r="R15" s="447"/>
      <c r="S15" s="447"/>
      <c r="T15" s="447"/>
      <c r="U15" s="450">
        <f>Table51013454[[#This Row],[العدد]]*Table51013454[[#This Row],[السعر الافرادي]]</f>
        <v>0</v>
      </c>
      <c r="V15" s="451">
        <f>Table51013454[[#This Row],[الكمية]]-Table51013454[[#This Row],[العدد]]</f>
        <v>1</v>
      </c>
      <c r="W15" s="447">
        <f>Table51013454[[#This Row],[سعر/الحبة]]</f>
        <v>170800</v>
      </c>
      <c r="X15" s="447">
        <f>Table51013454[[#This Row],[الإجمالي]]-Table51013454[[#This Row],[إجمالي المستبعد]]</f>
        <v>170800</v>
      </c>
      <c r="Y15" s="457">
        <v>0.25</v>
      </c>
      <c r="Z15" s="445"/>
      <c r="AA15" s="443" t="s">
        <v>1365</v>
      </c>
      <c r="AB15" s="453">
        <v>0</v>
      </c>
      <c r="AC15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الشراء-الاستلام]]&lt;DATE(2017,1,1),O15-AB15,0))</f>
        <v>170800</v>
      </c>
      <c r="AD15" s="454">
        <f>IF(OR(Table51013454[[#This Row],[تاريخ الشراء-الاستلام]]="",Table51013454[[#This Row],[الإجمالي]]="",Table51013454[[#This Row],[العمر الافتراضي]]=""),"",IF(AND(AB15&lt;X15,AC15&gt;(X15*Y15),DATE(2016,12,31)&gt;J15),X15*Y15,IF(AND(AB15&lt;X15,DATE(2017,12,31)&gt;J15,AC15&gt;(X15*Y15)),(DATE(2017,12,31)-J15)/((100%/Y15)*365)*X15,IF(AND(AB15&lt;X15,DATE(2017,12,31)&gt;J15,AC15=0),(DATE(2017,12,31)-J15)/((100%/Y15)*365)*X15,IF(AND(AB15&lt;X15,DATE(2017,12,31)&gt;J15,AC15&lt;(X15*Y15)),AC15,0)))))</f>
        <v>42700</v>
      </c>
      <c r="AE15" s="453">
        <f>IF(OR(Table51013454[[#This Row],[تاريخ الشراء-الاستلام]]="",Table51013454[[#This Row],[الإجمالي]]="",Table51013454[[#This Row],[العمر الافتراضي]]=""),"",AB15+AD15)</f>
        <v>42700</v>
      </c>
      <c r="AF15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الشراء-الاستلام]]&gt;DATE(2017,12,31),0,X15-AE15))</f>
        <v>128100</v>
      </c>
    </row>
    <row r="16" spans="1:34" s="456" customFormat="1" ht="57.75" hidden="1" customHeight="1">
      <c r="A16" s="442">
        <f>IF(B16="","",SUBTOTAL(3,$B$6:B16))</f>
        <v>0</v>
      </c>
      <c r="B16" s="443" t="s">
        <v>1386</v>
      </c>
      <c r="C16" s="444" t="s">
        <v>118</v>
      </c>
      <c r="D16" s="443" t="s">
        <v>1387</v>
      </c>
      <c r="E16" s="443" t="s">
        <v>64</v>
      </c>
      <c r="F16" s="443" t="s">
        <v>1388</v>
      </c>
      <c r="G16" s="445" t="s">
        <v>1369</v>
      </c>
      <c r="H16" s="445"/>
      <c r="I16" s="458" t="s">
        <v>1393</v>
      </c>
      <c r="J16" s="446">
        <v>42735</v>
      </c>
      <c r="K16" s="446" t="s">
        <v>1390</v>
      </c>
      <c r="L16" s="442">
        <v>1</v>
      </c>
      <c r="M16" s="443"/>
      <c r="N16" s="447">
        <v>170800</v>
      </c>
      <c r="O16" s="448">
        <f t="shared" si="1"/>
        <v>170800</v>
      </c>
      <c r="P16" s="449"/>
      <c r="Q16" s="447"/>
      <c r="R16" s="447"/>
      <c r="S16" s="447"/>
      <c r="T16" s="447"/>
      <c r="U16" s="450">
        <f>Table51013454[[#This Row],[العدد]]*Table51013454[[#This Row],[السعر الافرادي]]</f>
        <v>0</v>
      </c>
      <c r="V16" s="451">
        <f>Table51013454[[#This Row],[الكمية]]-Table51013454[[#This Row],[العدد]]</f>
        <v>1</v>
      </c>
      <c r="W16" s="447">
        <f>Table51013454[[#This Row],[سعر/الحبة]]</f>
        <v>170800</v>
      </c>
      <c r="X16" s="447">
        <f>Table51013454[[#This Row],[الإجمالي]]-Table51013454[[#This Row],[إجمالي المستبعد]]</f>
        <v>170800</v>
      </c>
      <c r="Y16" s="457">
        <v>0.25</v>
      </c>
      <c r="Z16" s="445"/>
      <c r="AA16" s="443" t="s">
        <v>1365</v>
      </c>
      <c r="AB16" s="453">
        <v>0</v>
      </c>
      <c r="AC16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الشراء-الاستلام]]&lt;DATE(2017,1,1),O16-AB16,0))</f>
        <v>170800</v>
      </c>
      <c r="AD16" s="454">
        <f>IF(OR(Table51013454[[#This Row],[تاريخ الشراء-الاستلام]]="",Table51013454[[#This Row],[الإجمالي]]="",Table51013454[[#This Row],[العمر الافتراضي]]=""),"",IF(AND(AB16&lt;X16,AC16&gt;(X16*Y16),DATE(2016,12,31)&gt;J16),X16*Y16,IF(AND(AB16&lt;X16,DATE(2017,12,31)&gt;J16,AC16&gt;(X16*Y16)),(DATE(2017,12,31)-J16)/((100%/Y16)*365)*X16,IF(AND(AB16&lt;X16,DATE(2017,12,31)&gt;J16,AC16=0),(DATE(2017,12,31)-J16)/((100%/Y16)*365)*X16,IF(AND(AB16&lt;X16,DATE(2017,12,31)&gt;J16,AC16&lt;(X16*Y16)),AC16,0)))))</f>
        <v>42700</v>
      </c>
      <c r="AE16" s="453">
        <f>IF(OR(Table51013454[[#This Row],[تاريخ الشراء-الاستلام]]="",Table51013454[[#This Row],[الإجمالي]]="",Table51013454[[#This Row],[العمر الافتراضي]]=""),"",AB16+AD16)</f>
        <v>42700</v>
      </c>
      <c r="AF16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الشراء-الاستلام]]&gt;DATE(2017,12,31),0,X16-AE16))</f>
        <v>128100</v>
      </c>
    </row>
    <row r="17" spans="1:32" s="456" customFormat="1" ht="57.75" hidden="1" customHeight="1">
      <c r="A17" s="442">
        <f>IF(B17="","",SUBTOTAL(3,$B$6:B17))</f>
        <v>0</v>
      </c>
      <c r="B17" s="443" t="s">
        <v>1386</v>
      </c>
      <c r="C17" s="444" t="s">
        <v>118</v>
      </c>
      <c r="D17" s="443" t="s">
        <v>1387</v>
      </c>
      <c r="E17" s="443" t="s">
        <v>64</v>
      </c>
      <c r="F17" s="443" t="s">
        <v>1388</v>
      </c>
      <c r="G17" s="445" t="s">
        <v>1369</v>
      </c>
      <c r="H17" s="445"/>
      <c r="I17" s="458" t="s">
        <v>1394</v>
      </c>
      <c r="J17" s="446">
        <v>42735</v>
      </c>
      <c r="K17" s="446" t="s">
        <v>1390</v>
      </c>
      <c r="L17" s="442">
        <v>1</v>
      </c>
      <c r="M17" s="443"/>
      <c r="N17" s="447">
        <v>170800</v>
      </c>
      <c r="O17" s="448">
        <f t="shared" si="1"/>
        <v>170800</v>
      </c>
      <c r="P17" s="449"/>
      <c r="Q17" s="447"/>
      <c r="R17" s="447"/>
      <c r="S17" s="447"/>
      <c r="T17" s="447"/>
      <c r="U17" s="450">
        <f>Table51013454[[#This Row],[العدد]]*Table51013454[[#This Row],[السعر الافرادي]]</f>
        <v>0</v>
      </c>
      <c r="V17" s="451">
        <f>Table51013454[[#This Row],[الكمية]]-Table51013454[[#This Row],[العدد]]</f>
        <v>1</v>
      </c>
      <c r="W17" s="447">
        <f>Table51013454[[#This Row],[سعر/الحبة]]</f>
        <v>170800</v>
      </c>
      <c r="X17" s="447">
        <f>Table51013454[[#This Row],[الإجمالي]]-Table51013454[[#This Row],[إجمالي المستبعد]]</f>
        <v>170800</v>
      </c>
      <c r="Y17" s="457">
        <v>0.25</v>
      </c>
      <c r="Z17" s="445"/>
      <c r="AA17" s="443" t="s">
        <v>1365</v>
      </c>
      <c r="AB17" s="453">
        <v>0</v>
      </c>
      <c r="AC17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الشراء-الاستلام]]&lt;DATE(2017,1,1),O17-AB17,0))</f>
        <v>170800</v>
      </c>
      <c r="AD17" s="454">
        <f>IF(OR(Table51013454[[#This Row],[تاريخ الشراء-الاستلام]]="",Table51013454[[#This Row],[الإجمالي]]="",Table51013454[[#This Row],[العمر الافتراضي]]=""),"",IF(AND(AB17&lt;X17,AC17&gt;(X17*Y17),DATE(2016,12,31)&gt;J17),X17*Y17,IF(AND(AB17&lt;X17,DATE(2017,12,31)&gt;J17,AC17&gt;(X17*Y17)),(DATE(2017,12,31)-J17)/((100%/Y17)*365)*X17,IF(AND(AB17&lt;X17,DATE(2017,12,31)&gt;J17,AC17=0),(DATE(2017,12,31)-J17)/((100%/Y17)*365)*X17,IF(AND(AB17&lt;X17,DATE(2017,12,31)&gt;J17,AC17&lt;(X17*Y17)),AC17,0)))))</f>
        <v>42700</v>
      </c>
      <c r="AE17" s="453">
        <f>IF(OR(Table51013454[[#This Row],[تاريخ الشراء-الاستلام]]="",Table51013454[[#This Row],[الإجمالي]]="",Table51013454[[#This Row],[العمر الافتراضي]]=""),"",AB17+AD17)</f>
        <v>42700</v>
      </c>
      <c r="AF17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الشراء-الاستلام]]&gt;DATE(2017,12,31),0,X17-AE17))</f>
        <v>128100</v>
      </c>
    </row>
    <row r="18" spans="1:32" s="456" customFormat="1" ht="57.75" hidden="1" customHeight="1">
      <c r="A18" s="442">
        <f>IF(B18="","",SUBTOTAL(3,$B$6:B18))</f>
        <v>0</v>
      </c>
      <c r="B18" s="443" t="s">
        <v>1386</v>
      </c>
      <c r="C18" s="444" t="s">
        <v>118</v>
      </c>
      <c r="D18" s="443" t="s">
        <v>1387</v>
      </c>
      <c r="E18" s="443" t="s">
        <v>64</v>
      </c>
      <c r="F18" s="443"/>
      <c r="G18" s="445" t="s">
        <v>1369</v>
      </c>
      <c r="H18" s="445"/>
      <c r="I18" s="458" t="s">
        <v>1395</v>
      </c>
      <c r="J18" s="446">
        <v>42735</v>
      </c>
      <c r="K18" s="446" t="s">
        <v>1390</v>
      </c>
      <c r="L18" s="442">
        <v>1</v>
      </c>
      <c r="M18" s="443"/>
      <c r="N18" s="447">
        <v>170800</v>
      </c>
      <c r="O18" s="448">
        <f t="shared" si="1"/>
        <v>170800</v>
      </c>
      <c r="P18" s="449"/>
      <c r="Q18" s="447"/>
      <c r="R18" s="447"/>
      <c r="S18" s="447"/>
      <c r="T18" s="447"/>
      <c r="U18" s="450">
        <f>Table51013454[[#This Row],[العدد]]*Table51013454[[#This Row],[السعر الافرادي]]</f>
        <v>0</v>
      </c>
      <c r="V18" s="451">
        <f>Table51013454[[#This Row],[الكمية]]-Table51013454[[#This Row],[العدد]]</f>
        <v>1</v>
      </c>
      <c r="W18" s="447">
        <f>Table51013454[[#This Row],[سعر/الحبة]]</f>
        <v>170800</v>
      </c>
      <c r="X18" s="447">
        <f>Table51013454[[#This Row],[الإجمالي]]-Table51013454[[#This Row],[إجمالي المستبعد]]</f>
        <v>170800</v>
      </c>
      <c r="Y18" s="457">
        <v>0.25</v>
      </c>
      <c r="Z18" s="445"/>
      <c r="AA18" s="443" t="s">
        <v>1365</v>
      </c>
      <c r="AB18" s="453">
        <v>0</v>
      </c>
      <c r="AC18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الشراء-الاستلام]]&lt;DATE(2017,1,1),O18-AB18,0))</f>
        <v>170800</v>
      </c>
      <c r="AD18" s="454">
        <f>IF(OR(Table51013454[[#This Row],[تاريخ الشراء-الاستلام]]="",Table51013454[[#This Row],[الإجمالي]]="",Table51013454[[#This Row],[العمر الافتراضي]]=""),"",IF(AND(AB18&lt;X18,AC18&gt;(X18*Y18),DATE(2016,12,31)&gt;J18),X18*Y18,IF(AND(AB18&lt;X18,DATE(2017,12,31)&gt;J18,AC18&gt;(X18*Y18)),(DATE(2017,12,31)-J18)/((100%/Y18)*365)*X18,IF(AND(AB18&lt;X18,DATE(2017,12,31)&gt;J18,AC18=0),(DATE(2017,12,31)-J18)/((100%/Y18)*365)*X18,IF(AND(AB18&lt;X18,DATE(2017,12,31)&gt;J18,AC18&lt;(X18*Y18)),AC18,0)))))</f>
        <v>42700</v>
      </c>
      <c r="AE18" s="453">
        <f>IF(OR(Table51013454[[#This Row],[تاريخ الشراء-الاستلام]]="",Table51013454[[#This Row],[الإجمالي]]="",Table51013454[[#This Row],[العمر الافتراضي]]=""),"",AB18+AD18)</f>
        <v>42700</v>
      </c>
      <c r="AF18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الشراء-الاستلام]]&gt;DATE(2017,12,31),0,X18-AE18))</f>
        <v>128100</v>
      </c>
    </row>
    <row r="19" spans="1:32" s="456" customFormat="1" ht="57.75" hidden="1" customHeight="1">
      <c r="A19" s="442">
        <f>IF(B19="","",SUBTOTAL(3,$B$6:B19))</f>
        <v>0</v>
      </c>
      <c r="B19" s="443" t="s">
        <v>1386</v>
      </c>
      <c r="C19" s="444" t="s">
        <v>118</v>
      </c>
      <c r="D19" s="443" t="s">
        <v>1387</v>
      </c>
      <c r="E19" s="443" t="s">
        <v>64</v>
      </c>
      <c r="F19" s="443"/>
      <c r="G19" s="445" t="s">
        <v>1369</v>
      </c>
      <c r="H19" s="445"/>
      <c r="I19" s="458" t="s">
        <v>1396</v>
      </c>
      <c r="J19" s="446">
        <v>42735</v>
      </c>
      <c r="K19" s="446" t="s">
        <v>1390</v>
      </c>
      <c r="L19" s="442">
        <v>1</v>
      </c>
      <c r="M19" s="443"/>
      <c r="N19" s="447">
        <v>170800</v>
      </c>
      <c r="O19" s="448">
        <f t="shared" si="1"/>
        <v>170800</v>
      </c>
      <c r="P19" s="449"/>
      <c r="Q19" s="447"/>
      <c r="R19" s="447"/>
      <c r="S19" s="447"/>
      <c r="T19" s="447"/>
      <c r="U19" s="450">
        <f>Table51013454[[#This Row],[العدد]]*Table51013454[[#This Row],[السعر الافرادي]]</f>
        <v>0</v>
      </c>
      <c r="V19" s="451">
        <f>Table51013454[[#This Row],[الكمية]]-Table51013454[[#This Row],[العدد]]</f>
        <v>1</v>
      </c>
      <c r="W19" s="447">
        <f>Table51013454[[#This Row],[سعر/الحبة]]</f>
        <v>170800</v>
      </c>
      <c r="X19" s="447">
        <f>Table51013454[[#This Row],[الإجمالي]]-Table51013454[[#This Row],[إجمالي المستبعد]]</f>
        <v>170800</v>
      </c>
      <c r="Y19" s="457">
        <v>0.25</v>
      </c>
      <c r="Z19" s="445"/>
      <c r="AA19" s="443" t="s">
        <v>1365</v>
      </c>
      <c r="AB19" s="453">
        <v>0</v>
      </c>
      <c r="AC19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الشراء-الاستلام]]&lt;DATE(2017,1,1),O19-AB19,0))</f>
        <v>170800</v>
      </c>
      <c r="AD19" s="454">
        <f>IF(OR(Table51013454[[#This Row],[تاريخ الشراء-الاستلام]]="",Table51013454[[#This Row],[الإجمالي]]="",Table51013454[[#This Row],[العمر الافتراضي]]=""),"",IF(AND(AB19&lt;X19,AC19&gt;(X19*Y19),DATE(2016,12,31)&gt;J19),X19*Y19,IF(AND(AB19&lt;X19,DATE(2017,12,31)&gt;J19,AC19&gt;(X19*Y19)),(DATE(2017,12,31)-J19)/((100%/Y19)*365)*X19,IF(AND(AB19&lt;X19,DATE(2017,12,31)&gt;J19,AC19=0),(DATE(2017,12,31)-J19)/((100%/Y19)*365)*X19,IF(AND(AB19&lt;X19,DATE(2017,12,31)&gt;J19,AC19&lt;(X19*Y19)),AC19,0)))))</f>
        <v>42700</v>
      </c>
      <c r="AE19" s="453">
        <f>IF(OR(Table51013454[[#This Row],[تاريخ الشراء-الاستلام]]="",Table51013454[[#This Row],[الإجمالي]]="",Table51013454[[#This Row],[العمر الافتراضي]]=""),"",AB19+AD19)</f>
        <v>42700</v>
      </c>
      <c r="AF19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الشراء-الاستلام]]&gt;DATE(2017,12,31),0,X19-AE19))</f>
        <v>128100</v>
      </c>
    </row>
    <row r="20" spans="1:32" s="456" customFormat="1" ht="57.75" hidden="1" customHeight="1">
      <c r="A20" s="442">
        <f>IF(B20="","",SUBTOTAL(3,$B$6:B20))</f>
        <v>0</v>
      </c>
      <c r="B20" s="443" t="s">
        <v>1386</v>
      </c>
      <c r="C20" s="444" t="s">
        <v>118</v>
      </c>
      <c r="D20" s="443" t="s">
        <v>1387</v>
      </c>
      <c r="E20" s="443" t="s">
        <v>64</v>
      </c>
      <c r="F20" s="443"/>
      <c r="G20" s="445" t="s">
        <v>1369</v>
      </c>
      <c r="H20" s="445"/>
      <c r="I20" s="458" t="s">
        <v>1397</v>
      </c>
      <c r="J20" s="446">
        <v>42735</v>
      </c>
      <c r="K20" s="446" t="s">
        <v>1390</v>
      </c>
      <c r="L20" s="442">
        <v>1</v>
      </c>
      <c r="M20" s="443"/>
      <c r="N20" s="447">
        <v>170800</v>
      </c>
      <c r="O20" s="448">
        <f t="shared" si="1"/>
        <v>170800</v>
      </c>
      <c r="P20" s="449"/>
      <c r="Q20" s="447"/>
      <c r="R20" s="447"/>
      <c r="S20" s="447"/>
      <c r="T20" s="447"/>
      <c r="U20" s="450">
        <f>Table51013454[[#This Row],[العدد]]*Table51013454[[#This Row],[السعر الافرادي]]</f>
        <v>0</v>
      </c>
      <c r="V20" s="451">
        <f>Table51013454[[#This Row],[الكمية]]-Table51013454[[#This Row],[العدد]]</f>
        <v>1</v>
      </c>
      <c r="W20" s="447">
        <f>Table51013454[[#This Row],[سعر/الحبة]]</f>
        <v>170800</v>
      </c>
      <c r="X20" s="447">
        <f>Table51013454[[#This Row],[الإجمالي]]-Table51013454[[#This Row],[إجمالي المستبعد]]</f>
        <v>170800</v>
      </c>
      <c r="Y20" s="457">
        <v>0.25</v>
      </c>
      <c r="Z20" s="445"/>
      <c r="AA20" s="443" t="s">
        <v>1365</v>
      </c>
      <c r="AB20" s="453">
        <v>0</v>
      </c>
      <c r="AC20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الشراء-الاستلام]]&lt;DATE(2017,1,1),O20-AB20,0))</f>
        <v>170800</v>
      </c>
      <c r="AD20" s="454">
        <f>IF(OR(Table51013454[[#This Row],[تاريخ الشراء-الاستلام]]="",Table51013454[[#This Row],[الإجمالي]]="",Table51013454[[#This Row],[العمر الافتراضي]]=""),"",IF(AND(AB20&lt;X20,AC20&gt;(X20*Y20),DATE(2016,12,31)&gt;J20),X20*Y20,IF(AND(AB20&lt;X20,DATE(2017,12,31)&gt;J20,AC20&gt;(X20*Y20)),(DATE(2017,12,31)-J20)/((100%/Y20)*365)*X20,IF(AND(AB20&lt;X20,DATE(2017,12,31)&gt;J20,AC20=0),(DATE(2017,12,31)-J20)/((100%/Y20)*365)*X20,IF(AND(AB20&lt;X20,DATE(2017,12,31)&gt;J20,AC20&lt;(X20*Y20)),AC20,0)))))</f>
        <v>42700</v>
      </c>
      <c r="AE20" s="453">
        <f>IF(OR(Table51013454[[#This Row],[تاريخ الشراء-الاستلام]]="",Table51013454[[#This Row],[الإجمالي]]="",Table51013454[[#This Row],[العمر الافتراضي]]=""),"",AB20+AD20)</f>
        <v>42700</v>
      </c>
      <c r="AF20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الشراء-الاستلام]]&gt;DATE(2017,12,31),0,X20-AE20))</f>
        <v>128100</v>
      </c>
    </row>
    <row r="21" spans="1:32" s="456" customFormat="1" ht="57.75" hidden="1" customHeight="1">
      <c r="A21" s="442">
        <f>IF(B21="","",SUBTOTAL(3,$B$6:B21))</f>
        <v>0</v>
      </c>
      <c r="B21" s="443" t="s">
        <v>1386</v>
      </c>
      <c r="C21" s="444" t="s">
        <v>118</v>
      </c>
      <c r="D21" s="443" t="s">
        <v>1387</v>
      </c>
      <c r="E21" s="443" t="s">
        <v>64</v>
      </c>
      <c r="F21" s="443"/>
      <c r="G21" s="445" t="s">
        <v>1369</v>
      </c>
      <c r="H21" s="445"/>
      <c r="I21" s="458" t="s">
        <v>1398</v>
      </c>
      <c r="J21" s="446">
        <v>42735</v>
      </c>
      <c r="K21" s="446" t="s">
        <v>1390</v>
      </c>
      <c r="L21" s="442">
        <v>1</v>
      </c>
      <c r="M21" s="443"/>
      <c r="N21" s="447">
        <v>170800</v>
      </c>
      <c r="O21" s="448">
        <f t="shared" si="1"/>
        <v>170800</v>
      </c>
      <c r="P21" s="449"/>
      <c r="Q21" s="447"/>
      <c r="R21" s="447"/>
      <c r="S21" s="447"/>
      <c r="T21" s="447"/>
      <c r="U21" s="450">
        <f>Table51013454[[#This Row],[العدد]]*Table51013454[[#This Row],[السعر الافرادي]]</f>
        <v>0</v>
      </c>
      <c r="V21" s="451">
        <f>Table51013454[[#This Row],[الكمية]]-Table51013454[[#This Row],[العدد]]</f>
        <v>1</v>
      </c>
      <c r="W21" s="447">
        <f>Table51013454[[#This Row],[سعر/الحبة]]</f>
        <v>170800</v>
      </c>
      <c r="X21" s="447">
        <f>Table51013454[[#This Row],[الإجمالي]]-Table51013454[[#This Row],[إجمالي المستبعد]]</f>
        <v>170800</v>
      </c>
      <c r="Y21" s="457">
        <v>0.25</v>
      </c>
      <c r="Z21" s="445"/>
      <c r="AA21" s="443" t="s">
        <v>1365</v>
      </c>
      <c r="AB21" s="453">
        <v>0</v>
      </c>
      <c r="AC21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الشراء-الاستلام]]&lt;DATE(2017,1,1),O21-AB21,0))</f>
        <v>170800</v>
      </c>
      <c r="AD21" s="454">
        <f>IF(OR(Table51013454[[#This Row],[تاريخ الشراء-الاستلام]]="",Table51013454[[#This Row],[الإجمالي]]="",Table51013454[[#This Row],[العمر الافتراضي]]=""),"",IF(AND(AB21&lt;X21,AC21&gt;(X21*Y21),DATE(2016,12,31)&gt;J21),X21*Y21,IF(AND(AB21&lt;X21,DATE(2017,12,31)&gt;J21,AC21&gt;(X21*Y21)),(DATE(2017,12,31)-J21)/((100%/Y21)*365)*X21,IF(AND(AB21&lt;X21,DATE(2017,12,31)&gt;J21,AC21=0),(DATE(2017,12,31)-J21)/((100%/Y21)*365)*X21,IF(AND(AB21&lt;X21,DATE(2017,12,31)&gt;J21,AC21&lt;(X21*Y21)),AC21,0)))))</f>
        <v>42700</v>
      </c>
      <c r="AE21" s="453">
        <f>IF(OR(Table51013454[[#This Row],[تاريخ الشراء-الاستلام]]="",Table51013454[[#This Row],[الإجمالي]]="",Table51013454[[#This Row],[العمر الافتراضي]]=""),"",AB21+AD21)</f>
        <v>42700</v>
      </c>
      <c r="AF21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الشراء-الاستلام]]&gt;DATE(2017,12,31),0,X21-AE21))</f>
        <v>128100</v>
      </c>
    </row>
    <row r="22" spans="1:32" s="456" customFormat="1" ht="57.75" hidden="1" customHeight="1">
      <c r="A22" s="442">
        <f>IF(B22="","",SUBTOTAL(3,$B$6:B22))</f>
        <v>0</v>
      </c>
      <c r="B22" s="443" t="s">
        <v>1386</v>
      </c>
      <c r="C22" s="444" t="s">
        <v>118</v>
      </c>
      <c r="D22" s="443" t="s">
        <v>1387</v>
      </c>
      <c r="E22" s="443" t="s">
        <v>64</v>
      </c>
      <c r="F22" s="443"/>
      <c r="G22" s="445" t="s">
        <v>1369</v>
      </c>
      <c r="H22" s="445"/>
      <c r="I22" s="458" t="s">
        <v>1399</v>
      </c>
      <c r="J22" s="446">
        <v>42735</v>
      </c>
      <c r="K22" s="446" t="s">
        <v>1390</v>
      </c>
      <c r="L22" s="442">
        <v>1</v>
      </c>
      <c r="M22" s="443"/>
      <c r="N22" s="447">
        <v>170800</v>
      </c>
      <c r="O22" s="448">
        <f t="shared" si="1"/>
        <v>170800</v>
      </c>
      <c r="P22" s="449"/>
      <c r="Q22" s="447"/>
      <c r="R22" s="447"/>
      <c r="S22" s="447"/>
      <c r="T22" s="447"/>
      <c r="U22" s="450">
        <f>Table51013454[[#This Row],[العدد]]*Table51013454[[#This Row],[السعر الافرادي]]</f>
        <v>0</v>
      </c>
      <c r="V22" s="451">
        <f>Table51013454[[#This Row],[الكمية]]-Table51013454[[#This Row],[العدد]]</f>
        <v>1</v>
      </c>
      <c r="W22" s="447">
        <f>Table51013454[[#This Row],[سعر/الحبة]]</f>
        <v>170800</v>
      </c>
      <c r="X22" s="447">
        <f>Table51013454[[#This Row],[الإجمالي]]-Table51013454[[#This Row],[إجمالي المستبعد]]</f>
        <v>170800</v>
      </c>
      <c r="Y22" s="457">
        <v>0.25</v>
      </c>
      <c r="Z22" s="445"/>
      <c r="AA22" s="443" t="s">
        <v>1365</v>
      </c>
      <c r="AB22" s="453">
        <v>0</v>
      </c>
      <c r="AC22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الشراء-الاستلام]]&lt;DATE(2017,1,1),O22-AB22,0))</f>
        <v>170800</v>
      </c>
      <c r="AD22" s="454">
        <f>IF(OR(Table51013454[[#This Row],[تاريخ الشراء-الاستلام]]="",Table51013454[[#This Row],[الإجمالي]]="",Table51013454[[#This Row],[العمر الافتراضي]]=""),"",IF(AND(AB22&lt;X22,AC22&gt;(X22*Y22),DATE(2016,12,31)&gt;J22),X22*Y22,IF(AND(AB22&lt;X22,DATE(2017,12,31)&gt;J22,AC22&gt;(X22*Y22)),(DATE(2017,12,31)-J22)/((100%/Y22)*365)*X22,IF(AND(AB22&lt;X22,DATE(2017,12,31)&gt;J22,AC22=0),(DATE(2017,12,31)-J22)/((100%/Y22)*365)*X22,IF(AND(AB22&lt;X22,DATE(2017,12,31)&gt;J22,AC22&lt;(X22*Y22)),AC22,0)))))</f>
        <v>42700</v>
      </c>
      <c r="AE22" s="453">
        <f>IF(OR(Table51013454[[#This Row],[تاريخ الشراء-الاستلام]]="",Table51013454[[#This Row],[الإجمالي]]="",Table51013454[[#This Row],[العمر الافتراضي]]=""),"",AB22+AD22)</f>
        <v>42700</v>
      </c>
      <c r="AF22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الشراء-الاستلام]]&gt;DATE(2017,12,31),0,X22-AE22))</f>
        <v>128100</v>
      </c>
    </row>
    <row r="23" spans="1:32" s="456" customFormat="1" ht="57.75" hidden="1" customHeight="1">
      <c r="A23" s="442">
        <f>IF(B23="","",SUBTOTAL(3,$B$6:B23))</f>
        <v>0</v>
      </c>
      <c r="B23" s="443" t="s">
        <v>1400</v>
      </c>
      <c r="C23" s="444" t="s">
        <v>118</v>
      </c>
      <c r="D23" s="443" t="s">
        <v>1362</v>
      </c>
      <c r="E23" s="443" t="s">
        <v>1134</v>
      </c>
      <c r="F23" s="443"/>
      <c r="G23" s="445" t="s">
        <v>1369</v>
      </c>
      <c r="H23" s="445"/>
      <c r="I23" s="443"/>
      <c r="J23" s="446">
        <v>42732</v>
      </c>
      <c r="K23" s="446" t="s">
        <v>1401</v>
      </c>
      <c r="L23" s="442">
        <v>1</v>
      </c>
      <c r="M23" s="443"/>
      <c r="N23" s="447">
        <v>1417</v>
      </c>
      <c r="O23" s="448">
        <f t="shared" si="1"/>
        <v>1417</v>
      </c>
      <c r="P23" s="449"/>
      <c r="Q23" s="447"/>
      <c r="R23" s="447"/>
      <c r="S23" s="447"/>
      <c r="T23" s="447"/>
      <c r="U23" s="450">
        <f>Table51013454[[#This Row],[العدد]]*Table51013454[[#This Row],[السعر الافرادي]]</f>
        <v>0</v>
      </c>
      <c r="V23" s="451">
        <f>Table51013454[[#This Row],[الكمية]]-Table51013454[[#This Row],[العدد]]</f>
        <v>1</v>
      </c>
      <c r="W23" s="447">
        <f>Table51013454[[#This Row],[سعر/الحبة]]</f>
        <v>1417</v>
      </c>
      <c r="X23" s="447">
        <f>Table51013454[[#This Row],[الإجمالي]]-Table51013454[[#This Row],[إجمالي المستبعد]]</f>
        <v>1417</v>
      </c>
      <c r="Y23" s="452">
        <v>0.15</v>
      </c>
      <c r="Z23" s="445"/>
      <c r="AA23" s="443" t="s">
        <v>1365</v>
      </c>
      <c r="AB23" s="453">
        <v>1.746986301369863</v>
      </c>
      <c r="AC23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الشراء-الاستلام]]&lt;DATE(2017,1,1),O23-AB23,0))</f>
        <v>1415.2530136986302</v>
      </c>
      <c r="AD23" s="454">
        <f>IF(OR(Table51013454[[#This Row],[تاريخ الشراء-الاستلام]]="",Table51013454[[#This Row],[الإجمالي]]="",Table51013454[[#This Row],[العمر الافتراضي]]=""),"",IF(AND(AB23&lt;X23,AC23&gt;(X23*Y23),DATE(2016,12,31)&gt;J23),X23*Y23,IF(AND(AB23&lt;X23,DATE(2017,12,31)&gt;J23,AC23&gt;(X23*Y23)),(DATE(2017,12,31)-J23)/((100%/Y23)*365)*X23,IF(AND(AB23&lt;X23,DATE(2017,12,31)&gt;J23,AC23=0),(DATE(2017,12,31)-J23)/((100%/Y23)*365)*X23,IF(AND(AB23&lt;X23,DATE(2017,12,31)&gt;J23,AC23&lt;(X23*Y23)),AC23,0)))))</f>
        <v>212.54999999999998</v>
      </c>
      <c r="AE23" s="453">
        <f>IF(OR(Table51013454[[#This Row],[تاريخ الشراء-الاستلام]]="",Table51013454[[#This Row],[الإجمالي]]="",Table51013454[[#This Row],[العمر الافتراضي]]=""),"",AB23+AD23)</f>
        <v>214.29698630136986</v>
      </c>
      <c r="AF23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الشراء-الاستلام]]&gt;DATE(2017,12,31),0,X23-AE23))</f>
        <v>1202.7030136986302</v>
      </c>
    </row>
    <row r="24" spans="1:32" s="456" customFormat="1" ht="57.75" hidden="1" customHeight="1">
      <c r="A24" s="442">
        <f>IF(B24="","",SUBTOTAL(3,$B$6:B24))</f>
        <v>0</v>
      </c>
      <c r="B24" s="443" t="s">
        <v>1402</v>
      </c>
      <c r="C24" s="444" t="s">
        <v>118</v>
      </c>
      <c r="D24" s="443" t="s">
        <v>1362</v>
      </c>
      <c r="E24" s="443" t="s">
        <v>1134</v>
      </c>
      <c r="F24" s="443"/>
      <c r="G24" s="445" t="s">
        <v>1369</v>
      </c>
      <c r="H24" s="445"/>
      <c r="I24" s="443"/>
      <c r="J24" s="446">
        <v>42732</v>
      </c>
      <c r="K24" s="446" t="s">
        <v>1401</v>
      </c>
      <c r="L24" s="442">
        <v>1</v>
      </c>
      <c r="M24" s="443"/>
      <c r="N24" s="447">
        <v>683</v>
      </c>
      <c r="O24" s="448">
        <f t="shared" si="1"/>
        <v>683</v>
      </c>
      <c r="P24" s="449"/>
      <c r="Q24" s="447"/>
      <c r="R24" s="447"/>
      <c r="S24" s="447"/>
      <c r="T24" s="447"/>
      <c r="U24" s="450">
        <f>Table51013454[[#This Row],[العدد]]*Table51013454[[#This Row],[السعر الافرادي]]</f>
        <v>0</v>
      </c>
      <c r="V24" s="451">
        <f>Table51013454[[#This Row],[الكمية]]-Table51013454[[#This Row],[العدد]]</f>
        <v>1</v>
      </c>
      <c r="W24" s="447">
        <f>Table51013454[[#This Row],[سعر/الحبة]]</f>
        <v>683</v>
      </c>
      <c r="X24" s="447">
        <f>Table51013454[[#This Row],[الإجمالي]]-Table51013454[[#This Row],[إجمالي المستبعد]]</f>
        <v>683</v>
      </c>
      <c r="Y24" s="452">
        <v>0.15</v>
      </c>
      <c r="Z24" s="445"/>
      <c r="AA24" s="443" t="s">
        <v>1365</v>
      </c>
      <c r="AB24" s="453">
        <v>0.84205479452054788</v>
      </c>
      <c r="AC24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الشراء-الاستلام]]&lt;DATE(2017,1,1),O24-AB24,0))</f>
        <v>682.15794520547945</v>
      </c>
      <c r="AD24" s="454">
        <f>IF(OR(Table51013454[[#This Row],[تاريخ الشراء-الاستلام]]="",Table51013454[[#This Row],[الإجمالي]]="",Table51013454[[#This Row],[العمر الافتراضي]]=""),"",IF(AND(AB24&lt;X24,AC24&gt;(X24*Y24),DATE(2016,12,31)&gt;J24),X24*Y24,IF(AND(AB24&lt;X24,DATE(2017,12,31)&gt;J24,AC24&gt;(X24*Y24)),(DATE(2017,12,31)-J24)/((100%/Y24)*365)*X24,IF(AND(AB24&lt;X24,DATE(2017,12,31)&gt;J24,AC24=0),(DATE(2017,12,31)-J24)/((100%/Y24)*365)*X24,IF(AND(AB24&lt;X24,DATE(2017,12,31)&gt;J24,AC24&lt;(X24*Y24)),AC24,0)))))</f>
        <v>102.45</v>
      </c>
      <c r="AE24" s="453">
        <f>IF(OR(Table51013454[[#This Row],[تاريخ الشراء-الاستلام]]="",Table51013454[[#This Row],[الإجمالي]]="",Table51013454[[#This Row],[العمر الافتراضي]]=""),"",AB24+AD24)</f>
        <v>103.29205479452055</v>
      </c>
      <c r="AF24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الشراء-الاستلام]]&gt;DATE(2017,12,31),0,X24-AE24))</f>
        <v>579.7079452054794</v>
      </c>
    </row>
    <row r="25" spans="1:32" s="456" customFormat="1" ht="57.75" hidden="1" customHeight="1">
      <c r="A25" s="442">
        <f>IF(B25="","",SUBTOTAL(3,$B$6:B25))</f>
        <v>0</v>
      </c>
      <c r="B25" s="443" t="s">
        <v>1403</v>
      </c>
      <c r="C25" s="444" t="s">
        <v>118</v>
      </c>
      <c r="D25" s="443" t="s">
        <v>1362</v>
      </c>
      <c r="E25" s="443" t="s">
        <v>64</v>
      </c>
      <c r="F25" s="443"/>
      <c r="G25" s="445" t="s">
        <v>1369</v>
      </c>
      <c r="H25" s="445"/>
      <c r="I25" s="443"/>
      <c r="J25" s="446">
        <v>42735</v>
      </c>
      <c r="K25" s="446" t="s">
        <v>1404</v>
      </c>
      <c r="L25" s="442">
        <v>1</v>
      </c>
      <c r="M25" s="443"/>
      <c r="N25" s="447">
        <v>900</v>
      </c>
      <c r="O25" s="448">
        <f t="shared" si="1"/>
        <v>900</v>
      </c>
      <c r="P25" s="449"/>
      <c r="Q25" s="447"/>
      <c r="R25" s="447"/>
      <c r="S25" s="447"/>
      <c r="T25" s="447"/>
      <c r="U25" s="450">
        <f>Table51013454[[#This Row],[العدد]]*Table51013454[[#This Row],[السعر الافرادي]]</f>
        <v>0</v>
      </c>
      <c r="V25" s="451">
        <f>Table51013454[[#This Row],[الكمية]]-Table51013454[[#This Row],[العدد]]</f>
        <v>1</v>
      </c>
      <c r="W25" s="447">
        <f>Table51013454[[#This Row],[سعر/الحبة]]</f>
        <v>900</v>
      </c>
      <c r="X25" s="447">
        <f>Table51013454[[#This Row],[الإجمالي]]-Table51013454[[#This Row],[إجمالي المستبعد]]</f>
        <v>900</v>
      </c>
      <c r="Y25" s="452">
        <v>0.15</v>
      </c>
      <c r="Z25" s="445"/>
      <c r="AA25" s="443" t="s">
        <v>1365</v>
      </c>
      <c r="AB25" s="453">
        <v>0</v>
      </c>
      <c r="AC25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الشراء-الاستلام]]&lt;DATE(2017,1,1),O25-AB25,0))</f>
        <v>900</v>
      </c>
      <c r="AD25" s="454">
        <f>IF(OR(Table51013454[[#This Row],[تاريخ الشراء-الاستلام]]="",Table51013454[[#This Row],[الإجمالي]]="",Table51013454[[#This Row],[العمر الافتراضي]]=""),"",IF(AND(AB25&lt;X25,AC25&gt;(X25*Y25),DATE(2016,12,31)&gt;J25),X25*Y25,IF(AND(AB25&lt;X25,DATE(2017,12,31)&gt;J25,AC25&gt;(X25*Y25)),(DATE(2017,12,31)-J25)/((100%/Y25)*365)*X25,IF(AND(AB25&lt;X25,DATE(2017,12,31)&gt;J25,AC25=0),(DATE(2017,12,31)-J25)/((100%/Y25)*365)*X25,IF(AND(AB25&lt;X25,DATE(2017,12,31)&gt;J25,AC25&lt;(X25*Y25)),AC25,0)))))</f>
        <v>135</v>
      </c>
      <c r="AE25" s="453">
        <f>IF(OR(Table51013454[[#This Row],[تاريخ الشراء-الاستلام]]="",Table51013454[[#This Row],[الإجمالي]]="",Table51013454[[#This Row],[العمر الافتراضي]]=""),"",AB25+AD25)</f>
        <v>135</v>
      </c>
      <c r="AF25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الشراء-الاستلام]]&gt;DATE(2017,12,31),0,X25-AE25))</f>
        <v>765</v>
      </c>
    </row>
    <row r="26" spans="1:32" s="456" customFormat="1" ht="57.75" hidden="1" customHeight="1">
      <c r="A26" s="442">
        <f>IF(B26="","",SUBTOTAL(3,$B$6:B26))</f>
        <v>0</v>
      </c>
      <c r="B26" s="443" t="s">
        <v>1382</v>
      </c>
      <c r="C26" s="444" t="s">
        <v>118</v>
      </c>
      <c r="D26" s="443" t="s">
        <v>1383</v>
      </c>
      <c r="E26" s="443" t="s">
        <v>64</v>
      </c>
      <c r="F26" s="443" t="s">
        <v>1388</v>
      </c>
      <c r="G26" s="445" t="s">
        <v>1405</v>
      </c>
      <c r="H26" s="443" t="s">
        <v>980</v>
      </c>
      <c r="I26" s="442">
        <v>8469</v>
      </c>
      <c r="J26" s="446">
        <v>42594</v>
      </c>
      <c r="K26" s="446" t="s">
        <v>1385</v>
      </c>
      <c r="L26" s="442">
        <v>1</v>
      </c>
      <c r="M26" s="443"/>
      <c r="N26" s="447">
        <v>40000</v>
      </c>
      <c r="O26" s="448">
        <f t="shared" si="1"/>
        <v>40000</v>
      </c>
      <c r="P26" s="449"/>
      <c r="Q26" s="447"/>
      <c r="R26" s="447"/>
      <c r="S26" s="447"/>
      <c r="T26" s="447"/>
      <c r="U26" s="450">
        <f>Table51013454[[#This Row],[العدد]]*Table51013454[[#This Row],[السعر الافرادي]]</f>
        <v>0</v>
      </c>
      <c r="V26" s="451">
        <f>Table51013454[[#This Row],[الكمية]]-Table51013454[[#This Row],[العدد]]</f>
        <v>1</v>
      </c>
      <c r="W26" s="447">
        <f>Table51013454[[#This Row],[سعر/الحبة]]</f>
        <v>40000</v>
      </c>
      <c r="X26" s="447">
        <f>Table51013454[[#This Row],[الإجمالي]]-Table51013454[[#This Row],[إجمالي المستبعد]]</f>
        <v>40000</v>
      </c>
      <c r="Y26" s="452">
        <v>0.25</v>
      </c>
      <c r="Z26" s="445"/>
      <c r="AA26" s="443" t="s">
        <v>1365</v>
      </c>
      <c r="AB26" s="453">
        <v>3863.0136986301372</v>
      </c>
      <c r="AC26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الشراء-الاستلام]]&lt;DATE(2017,1,1),O26-AB26,0))</f>
        <v>36136.986301369863</v>
      </c>
      <c r="AD26" s="454">
        <f>IF(OR(Table51013454[[#This Row],[تاريخ الشراء-الاستلام]]="",Table51013454[[#This Row],[الإجمالي]]="",Table51013454[[#This Row],[العمر الافتراضي]]=""),"",IF(AND(AB26&lt;X26,AC26&gt;(X26*Y26),DATE(2016,12,31)&gt;J26),X26*Y26,IF(AND(AB26&lt;X26,DATE(2017,12,31)&gt;J26,AC26&gt;(X26*Y26)),(DATE(2017,12,31)-J26)/((100%/Y26)*365)*X26,IF(AND(AB26&lt;X26,DATE(2017,12,31)&gt;J26,AC26=0),(DATE(2017,12,31)-J26)/((100%/Y26)*365)*X26,IF(AND(AB26&lt;X26,DATE(2017,12,31)&gt;J26,AC26&lt;(X26*Y26)),AC26,0)))))</f>
        <v>10000</v>
      </c>
      <c r="AE26" s="453">
        <f>IF(OR(Table51013454[[#This Row],[تاريخ الشراء-الاستلام]]="",Table51013454[[#This Row],[الإجمالي]]="",Table51013454[[#This Row],[العمر الافتراضي]]=""),"",AB26+AD26)</f>
        <v>13863.013698630137</v>
      </c>
      <c r="AF26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الشراء-الاستلام]]&gt;DATE(2017,12,31),0,X26-AE26))</f>
        <v>26136.986301369863</v>
      </c>
    </row>
    <row r="27" spans="1:32" s="456" customFormat="1" ht="57.75" hidden="1" customHeight="1">
      <c r="A27" s="442">
        <f>IF(B27="","",SUBTOTAL(3,$B$6:B27))</f>
        <v>0</v>
      </c>
      <c r="B27" s="443" t="s">
        <v>1382</v>
      </c>
      <c r="C27" s="444" t="s">
        <v>118</v>
      </c>
      <c r="D27" s="443" t="s">
        <v>1383</v>
      </c>
      <c r="E27" s="443" t="s">
        <v>994</v>
      </c>
      <c r="F27" s="443"/>
      <c r="G27" s="445" t="s">
        <v>1405</v>
      </c>
      <c r="H27" s="445" t="s">
        <v>1406</v>
      </c>
      <c r="I27" s="442">
        <v>8467</v>
      </c>
      <c r="J27" s="446">
        <v>42594.7</v>
      </c>
      <c r="K27" s="446" t="s">
        <v>1385</v>
      </c>
      <c r="L27" s="442">
        <v>1</v>
      </c>
      <c r="M27" s="443"/>
      <c r="N27" s="447">
        <v>40000</v>
      </c>
      <c r="O27" s="448">
        <f t="shared" si="1"/>
        <v>40000</v>
      </c>
      <c r="P27" s="449"/>
      <c r="Q27" s="447"/>
      <c r="R27" s="447"/>
      <c r="S27" s="447"/>
      <c r="T27" s="447"/>
      <c r="U27" s="450">
        <f>Table51013454[[#This Row],[العدد]]*Table51013454[[#This Row],[السعر الافرادي]]</f>
        <v>0</v>
      </c>
      <c r="V27" s="451">
        <f>Table51013454[[#This Row],[الكمية]]-Table51013454[[#This Row],[العدد]]</f>
        <v>1</v>
      </c>
      <c r="W27" s="447">
        <f>Table51013454[[#This Row],[سعر/الحبة]]</f>
        <v>40000</v>
      </c>
      <c r="X27" s="447">
        <f>Table51013454[[#This Row],[الإجمالي]]-Table51013454[[#This Row],[إجمالي المستبعد]]</f>
        <v>40000</v>
      </c>
      <c r="Y27" s="452">
        <v>0.25</v>
      </c>
      <c r="Z27" s="445"/>
      <c r="AA27" s="443" t="s">
        <v>1365</v>
      </c>
      <c r="AB27" s="453">
        <v>3843.8356164384359</v>
      </c>
      <c r="AC27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الشراء-الاستلام]]&lt;DATE(2017,1,1),O27-AB27,0))</f>
        <v>36156.164383561561</v>
      </c>
      <c r="AD27" s="454">
        <f>IF(OR(Table51013454[[#This Row],[تاريخ الشراء-الاستلام]]="",Table51013454[[#This Row],[الإجمالي]]="",Table51013454[[#This Row],[العمر الافتراضي]]=""),"",IF(AND(AB27&lt;X27,AC27&gt;(X27*Y27),DATE(2016,12,31)&gt;J27),X27*Y27,IF(AND(AB27&lt;X27,DATE(2017,12,31)&gt;J27,AC27&gt;(X27*Y27)),(DATE(2017,12,31)-J27)/((100%/Y27)*365)*X27,IF(AND(AB27&lt;X27,DATE(2017,12,31)&gt;J27,AC27=0),(DATE(2017,12,31)-J27)/((100%/Y27)*365)*X27,IF(AND(AB27&lt;X27,DATE(2017,12,31)&gt;J27,AC27&lt;(X27*Y27)),AC27,0)))))</f>
        <v>10000</v>
      </c>
      <c r="AE27" s="453">
        <f>IF(OR(Table51013454[[#This Row],[تاريخ الشراء-الاستلام]]="",Table51013454[[#This Row],[الإجمالي]]="",Table51013454[[#This Row],[العمر الافتراضي]]=""),"",AB27+AD27)</f>
        <v>13843.835616438435</v>
      </c>
      <c r="AF27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الشراء-الاستلام]]&gt;DATE(2017,12,31),0,X27-AE27))</f>
        <v>26156.164383561565</v>
      </c>
    </row>
    <row r="28" spans="1:32" s="456" customFormat="1" ht="57.75" hidden="1" customHeight="1">
      <c r="A28" s="442">
        <f>IF(B28="","",SUBTOTAL(3,$B$6:B28))</f>
        <v>0</v>
      </c>
      <c r="B28" s="443" t="s">
        <v>1382</v>
      </c>
      <c r="C28" s="444" t="s">
        <v>118</v>
      </c>
      <c r="D28" s="443" t="s">
        <v>1383</v>
      </c>
      <c r="E28" s="443" t="s">
        <v>64</v>
      </c>
      <c r="F28" s="443" t="s">
        <v>990</v>
      </c>
      <c r="G28" s="445" t="s">
        <v>1377</v>
      </c>
      <c r="H28" s="445" t="s">
        <v>1378</v>
      </c>
      <c r="I28" s="442">
        <v>8468</v>
      </c>
      <c r="J28" s="446">
        <v>42595</v>
      </c>
      <c r="K28" s="446" t="s">
        <v>1385</v>
      </c>
      <c r="L28" s="442">
        <v>1</v>
      </c>
      <c r="M28" s="443"/>
      <c r="N28" s="447">
        <v>40000</v>
      </c>
      <c r="O28" s="448">
        <f t="shared" si="1"/>
        <v>40000</v>
      </c>
      <c r="P28" s="449"/>
      <c r="Q28" s="447"/>
      <c r="R28" s="447"/>
      <c r="S28" s="447"/>
      <c r="T28" s="447"/>
      <c r="U28" s="450">
        <f>Table51013454[[#This Row],[العدد]]*Table51013454[[#This Row],[السعر الافرادي]]</f>
        <v>0</v>
      </c>
      <c r="V28" s="451">
        <f>Table51013454[[#This Row],[الكمية]]-Table51013454[[#This Row],[العدد]]</f>
        <v>1</v>
      </c>
      <c r="W28" s="447">
        <f>Table51013454[[#This Row],[سعر/الحبة]]</f>
        <v>40000</v>
      </c>
      <c r="X28" s="447">
        <f>Table51013454[[#This Row],[الإجمالي]]-Table51013454[[#This Row],[إجمالي المستبعد]]</f>
        <v>40000</v>
      </c>
      <c r="Y28" s="452">
        <v>0.25</v>
      </c>
      <c r="Z28" s="445"/>
      <c r="AA28" s="443" t="s">
        <v>1365</v>
      </c>
      <c r="AB28" s="453">
        <v>3835.6164383561641</v>
      </c>
      <c r="AC28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الشراء-الاستلام]]&lt;DATE(2017,1,1),O28-AB28,0))</f>
        <v>36164.383561643837</v>
      </c>
      <c r="AD28" s="454">
        <f>IF(OR(Table51013454[[#This Row],[تاريخ الشراء-الاستلام]]="",Table51013454[[#This Row],[الإجمالي]]="",Table51013454[[#This Row],[العمر الافتراضي]]=""),"",IF(AND(AB28&lt;X28,AC28&gt;(X28*Y28),DATE(2016,12,31)&gt;J28),X28*Y28,IF(AND(AB28&lt;X28,DATE(2017,12,31)&gt;J28,AC28&gt;(X28*Y28)),(DATE(2017,12,31)-J28)/((100%/Y28)*365)*X28,IF(AND(AB28&lt;X28,DATE(2017,12,31)&gt;J28,AC28=0),(DATE(2017,12,31)-J28)/((100%/Y28)*365)*X28,IF(AND(AB28&lt;X28,DATE(2017,12,31)&gt;J28,AC28&lt;(X28*Y28)),AC28,0)))))</f>
        <v>10000</v>
      </c>
      <c r="AE28" s="453">
        <f>IF(OR(Table51013454[[#This Row],[تاريخ الشراء-الاستلام]]="",Table51013454[[#This Row],[الإجمالي]]="",Table51013454[[#This Row],[العمر الافتراضي]]=""),"",AB28+AD28)</f>
        <v>13835.616438356165</v>
      </c>
      <c r="AF28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الشراء-الاستلام]]&gt;DATE(2017,12,31),0,X28-AE28))</f>
        <v>26164.383561643837</v>
      </c>
    </row>
    <row r="29" spans="1:32" s="456" customFormat="1" ht="57.75" hidden="1" customHeight="1">
      <c r="A29" s="442">
        <f>IF(B29="","",SUBTOTAL(3,$B$6:B29))</f>
        <v>0</v>
      </c>
      <c r="B29" s="443" t="s">
        <v>1382</v>
      </c>
      <c r="C29" s="444" t="s">
        <v>118</v>
      </c>
      <c r="D29" s="443" t="s">
        <v>1383</v>
      </c>
      <c r="E29" s="443" t="s">
        <v>64</v>
      </c>
      <c r="F29" s="443" t="s">
        <v>1388</v>
      </c>
      <c r="G29" s="445" t="s">
        <v>1407</v>
      </c>
      <c r="H29" s="445" t="s">
        <v>1408</v>
      </c>
      <c r="I29" s="442">
        <v>8470</v>
      </c>
      <c r="J29" s="446">
        <v>42595</v>
      </c>
      <c r="K29" s="446" t="s">
        <v>1385</v>
      </c>
      <c r="L29" s="442">
        <v>1</v>
      </c>
      <c r="M29" s="443"/>
      <c r="N29" s="447">
        <v>40000</v>
      </c>
      <c r="O29" s="448">
        <f t="shared" si="1"/>
        <v>40000</v>
      </c>
      <c r="P29" s="449"/>
      <c r="Q29" s="447"/>
      <c r="R29" s="447"/>
      <c r="S29" s="447"/>
      <c r="T29" s="447"/>
      <c r="U29" s="450">
        <f>Table51013454[[#This Row],[العدد]]*Table51013454[[#This Row],[السعر الافرادي]]</f>
        <v>0</v>
      </c>
      <c r="V29" s="451">
        <f>Table51013454[[#This Row],[الكمية]]-Table51013454[[#This Row],[العدد]]</f>
        <v>1</v>
      </c>
      <c r="W29" s="447">
        <f>Table51013454[[#This Row],[سعر/الحبة]]</f>
        <v>40000</v>
      </c>
      <c r="X29" s="447">
        <f>Table51013454[[#This Row],[الإجمالي]]-Table51013454[[#This Row],[إجمالي المستبعد]]</f>
        <v>40000</v>
      </c>
      <c r="Y29" s="452">
        <v>0.25</v>
      </c>
      <c r="Z29" s="445"/>
      <c r="AA29" s="443" t="s">
        <v>1365</v>
      </c>
      <c r="AB29" s="453">
        <v>3835.6164383561641</v>
      </c>
      <c r="AC29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الشراء-الاستلام]]&lt;DATE(2017,1,1),O29-AB29,0))</f>
        <v>36164.383561643837</v>
      </c>
      <c r="AD29" s="454">
        <f>IF(OR(Table51013454[[#This Row],[تاريخ الشراء-الاستلام]]="",Table51013454[[#This Row],[الإجمالي]]="",Table51013454[[#This Row],[العمر الافتراضي]]=""),"",IF(AND(AB29&lt;X29,AC29&gt;(X29*Y29),DATE(2016,12,31)&gt;J29),X29*Y29,IF(AND(AB29&lt;X29,DATE(2017,12,31)&gt;J29,AC29&gt;(X29*Y29)),(DATE(2017,12,31)-J29)/((100%/Y29)*365)*X29,IF(AND(AB29&lt;X29,DATE(2017,12,31)&gt;J29,AC29=0),(DATE(2017,12,31)-J29)/((100%/Y29)*365)*X29,IF(AND(AB29&lt;X29,DATE(2017,12,31)&gt;J29,AC29&lt;(X29*Y29)),AC29,0)))))</f>
        <v>10000</v>
      </c>
      <c r="AE29" s="453">
        <f>IF(OR(Table51013454[[#This Row],[تاريخ الشراء-الاستلام]]="",Table51013454[[#This Row],[الإجمالي]]="",Table51013454[[#This Row],[العمر الافتراضي]]=""),"",AB29+AD29)</f>
        <v>13835.616438356165</v>
      </c>
      <c r="AF29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الشراء-الاستلام]]&gt;DATE(2017,12,31),0,X29-AE29))</f>
        <v>26164.383561643837</v>
      </c>
    </row>
    <row r="30" spans="1:32" s="456" customFormat="1" ht="57.75" hidden="1" customHeight="1">
      <c r="A30" s="442">
        <f>IF(B30="","",SUBTOTAL(3,$B$6:B30))</f>
        <v>0</v>
      </c>
      <c r="B30" s="443" t="s">
        <v>1386</v>
      </c>
      <c r="C30" s="444" t="s">
        <v>118</v>
      </c>
      <c r="D30" s="443" t="s">
        <v>1387</v>
      </c>
      <c r="E30" s="443" t="s">
        <v>996</v>
      </c>
      <c r="F30" s="443"/>
      <c r="G30" s="445" t="s">
        <v>1369</v>
      </c>
      <c r="H30" s="445"/>
      <c r="I30" s="458" t="s">
        <v>1409</v>
      </c>
      <c r="J30" s="446">
        <v>42711.040000000001</v>
      </c>
      <c r="K30" s="446" t="s">
        <v>1390</v>
      </c>
      <c r="L30" s="442">
        <v>1</v>
      </c>
      <c r="M30" s="443"/>
      <c r="N30" s="447">
        <v>160000</v>
      </c>
      <c r="O30" s="448">
        <f t="shared" si="1"/>
        <v>160000</v>
      </c>
      <c r="P30" s="449"/>
      <c r="Q30" s="447"/>
      <c r="R30" s="447"/>
      <c r="S30" s="447"/>
      <c r="T30" s="447"/>
      <c r="U30" s="450">
        <f>Table51013454[[#This Row],[العدد]]*Table51013454[[#This Row],[السعر الافرادي]]</f>
        <v>0</v>
      </c>
      <c r="V30" s="451">
        <f>Table51013454[[#This Row],[الكمية]]-Table51013454[[#This Row],[العدد]]</f>
        <v>1</v>
      </c>
      <c r="W30" s="447">
        <f>Table51013454[[#This Row],[سعر/الحبة]]</f>
        <v>160000</v>
      </c>
      <c r="X30" s="447">
        <f>Table51013454[[#This Row],[الإجمالي]]-Table51013454[[#This Row],[إجمالي المستبعد]]</f>
        <v>160000</v>
      </c>
      <c r="Y30" s="457">
        <v>0.25</v>
      </c>
      <c r="Z30" s="445"/>
      <c r="AA30" s="443" t="s">
        <v>1365</v>
      </c>
      <c r="AB30" s="453">
        <v>2625.7534246574387</v>
      </c>
      <c r="AC30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الشراء-الاستلام]]&lt;DATE(2017,1,1),O30-AB30,0))</f>
        <v>157374.24657534255</v>
      </c>
      <c r="AD30" s="454">
        <f>IF(OR(Table51013454[[#This Row],[تاريخ الشراء-الاستلام]]="",Table51013454[[#This Row],[الإجمالي]]="",Table51013454[[#This Row],[العمر الافتراضي]]=""),"",IF(AND(AB30&lt;X30,AC30&gt;(X30*Y30),DATE(2016,12,31)&gt;J30),X30*Y30,IF(AND(AB30&lt;X30,DATE(2017,12,31)&gt;J30,AC30&gt;(X30*Y30)),(DATE(2017,12,31)-J30)/((100%/Y30)*365)*X30,IF(AND(AB30&lt;X30,DATE(2017,12,31)&gt;J30,AC30=0),(DATE(2017,12,31)-J30)/((100%/Y30)*365)*X30,IF(AND(AB30&lt;X30,DATE(2017,12,31)&gt;J30,AC30&lt;(X30*Y30)),AC30,0)))))</f>
        <v>40000</v>
      </c>
      <c r="AE30" s="453">
        <f>IF(OR(Table51013454[[#This Row],[تاريخ الشراء-الاستلام]]="",Table51013454[[#This Row],[الإجمالي]]="",Table51013454[[#This Row],[العمر الافتراضي]]=""),"",AB30+AD30)</f>
        <v>42625.753424657436</v>
      </c>
      <c r="AF30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الشراء-الاستلام]]&gt;DATE(2017,12,31),0,X30-AE30))</f>
        <v>117374.24657534256</v>
      </c>
    </row>
    <row r="31" spans="1:32" s="456" customFormat="1" ht="57.75" hidden="1" customHeight="1">
      <c r="A31" s="459">
        <f>IF(B31="","",SUBTOTAL(3,$B$6:B157))</f>
        <v>47</v>
      </c>
      <c r="B31" s="443" t="s">
        <v>1386</v>
      </c>
      <c r="C31" s="444" t="s">
        <v>118</v>
      </c>
      <c r="D31" s="443" t="s">
        <v>1387</v>
      </c>
      <c r="E31" s="443" t="s">
        <v>1410</v>
      </c>
      <c r="F31" s="443"/>
      <c r="G31" s="445" t="s">
        <v>1369</v>
      </c>
      <c r="H31" s="445"/>
      <c r="I31" s="458" t="s">
        <v>1411</v>
      </c>
      <c r="J31" s="446">
        <v>42711</v>
      </c>
      <c r="K31" s="446" t="s">
        <v>1390</v>
      </c>
      <c r="L31" s="442">
        <v>1</v>
      </c>
      <c r="M31" s="443"/>
      <c r="N31" s="447">
        <v>160000</v>
      </c>
      <c r="O31" s="448">
        <f t="shared" si="1"/>
        <v>160000</v>
      </c>
      <c r="P31" s="449"/>
      <c r="Q31" s="447"/>
      <c r="R31" s="447"/>
      <c r="S31" s="447"/>
      <c r="T31" s="447"/>
      <c r="U31" s="450">
        <f>Table51013454[[#This Row],[العدد]]*Table51013454[[#This Row],[السعر الافرادي]]</f>
        <v>0</v>
      </c>
      <c r="V31" s="451">
        <f>Table51013454[[#This Row],[الكمية]]-Table51013454[[#This Row],[العدد]]</f>
        <v>1</v>
      </c>
      <c r="W31" s="447">
        <f>Table51013454[[#This Row],[سعر/الحبة]]</f>
        <v>160000</v>
      </c>
      <c r="X31" s="447">
        <f>Table51013454[[#This Row],[الإجمالي]]-Table51013454[[#This Row],[إجمالي المستبعد]]</f>
        <v>160000</v>
      </c>
      <c r="Y31" s="457">
        <v>0.25</v>
      </c>
      <c r="Z31" s="445"/>
      <c r="AA31" s="443" t="s">
        <v>1365</v>
      </c>
      <c r="AB31" s="453">
        <v>2630.1369863013697</v>
      </c>
      <c r="AC31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الشراء-الاستلام]]&lt;DATE(2017,1,1),O31-AB31,0))</f>
        <v>157369.86301369863</v>
      </c>
      <c r="AD31" s="454">
        <f>IF(OR(Table51013454[[#This Row],[تاريخ الشراء-الاستلام]]="",Table51013454[[#This Row],[الإجمالي]]="",Table51013454[[#This Row],[العمر الافتراضي]]=""),"",IF(AND(AB31&lt;X31,AC31&gt;(X31*Y31),DATE(2016,12,31)&gt;J31),X31*Y31,IF(AND(AB31&lt;X31,DATE(2017,12,31)&gt;J31,AC31&gt;(X31*Y31)),(DATE(2017,12,31)-J31)/((100%/Y31)*365)*X31,IF(AND(AB31&lt;X31,DATE(2017,12,31)&gt;J31,AC31=0),(DATE(2017,12,31)-J31)/((100%/Y31)*365)*X31,IF(AND(AB31&lt;X31,DATE(2017,12,31)&gt;J31,AC31&lt;(X31*Y31)),AC31,0)))))</f>
        <v>40000</v>
      </c>
      <c r="AE31" s="453">
        <f>IF(OR(Table51013454[[#This Row],[تاريخ الشراء-الاستلام]]="",Table51013454[[#This Row],[الإجمالي]]="",Table51013454[[#This Row],[العمر الافتراضي]]=""),"",AB31+AD31)</f>
        <v>42630.136986301368</v>
      </c>
      <c r="AF31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الشراء-الاستلام]]&gt;DATE(2017,12,31),0,X31-AE31))</f>
        <v>117369.86301369863</v>
      </c>
    </row>
    <row r="32" spans="1:32" s="456" customFormat="1" ht="57.75" customHeight="1">
      <c r="A32" s="442">
        <f>IF(B32="","",SUBTOTAL(3,$B$6:B32))</f>
        <v>1</v>
      </c>
      <c r="B32" s="443" t="s">
        <v>1412</v>
      </c>
      <c r="C32" s="444" t="s">
        <v>1413</v>
      </c>
      <c r="D32" s="443" t="s">
        <v>1387</v>
      </c>
      <c r="E32" s="443" t="s">
        <v>994</v>
      </c>
      <c r="F32" s="443"/>
      <c r="G32" s="445" t="s">
        <v>1369</v>
      </c>
      <c r="H32" s="445"/>
      <c r="I32" s="460" t="s">
        <v>1414</v>
      </c>
      <c r="J32" s="446">
        <v>42005</v>
      </c>
      <c r="K32" s="446"/>
      <c r="L32" s="442">
        <v>1</v>
      </c>
      <c r="M32" s="443"/>
      <c r="N32" s="447">
        <v>217360</v>
      </c>
      <c r="O32" s="448">
        <f t="shared" si="1"/>
        <v>217360</v>
      </c>
      <c r="P32" s="449"/>
      <c r="Q32" s="447"/>
      <c r="R32" s="447"/>
      <c r="S32" s="447"/>
      <c r="T32" s="447"/>
      <c r="U32" s="450">
        <f>Table51013454[[#This Row],[العدد]]*Table51013454[[#This Row],[السعر الافرادي]]</f>
        <v>0</v>
      </c>
      <c r="V32" s="451">
        <f>Table51013454[[#This Row],[الكمية]]-Table51013454[[#This Row],[العدد]]</f>
        <v>1</v>
      </c>
      <c r="W32" s="447">
        <f>Table51013454[[#This Row],[سعر/الحبة]]</f>
        <v>217360</v>
      </c>
      <c r="X32" s="447">
        <f>Table51013454[[#This Row],[الإجمالي]]-Table51013454[[#This Row],[إجمالي المستبعد]]</f>
        <v>217360</v>
      </c>
      <c r="Y32" s="457">
        <v>0.2</v>
      </c>
      <c r="Z32" s="445"/>
      <c r="AA32" s="443" t="s">
        <v>1365</v>
      </c>
      <c r="AB32" s="453">
        <v>86824.898630136988</v>
      </c>
      <c r="AC32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الشراء-الاستلام]]&lt;DATE(2017,1,1),O32-AB32,0))</f>
        <v>130535.10136986301</v>
      </c>
      <c r="AD32" s="454">
        <f>IF(OR(Table51013454[[#This Row],[تاريخ الشراء-الاستلام]]="",Table51013454[[#This Row],[الإجمالي]]="",Table51013454[[#This Row],[العمر الافتراضي]]=""),"",IF(AND(AB32&lt;X32,AC32&gt;(X32*Y32),DATE(2016,12,31)&gt;J32),X32*Y32,IF(AND(AB32&lt;X32,DATE(2017,12,31)&gt;J32,AC32&gt;(X32*Y32)),(DATE(2017,12,31)-J32)/((100%/Y32)*365)*X32,IF(AND(AB32&lt;X32,DATE(2017,12,31)&gt;J32,AC32=0),(DATE(2017,12,31)-J32)/((100%/Y32)*365)*X32,IF(AND(AB32&lt;X32,DATE(2017,12,31)&gt;J32,AC32&lt;(X32*Y32)),AC32,0)))))</f>
        <v>43472</v>
      </c>
      <c r="AE32" s="453">
        <f>IF(OR(Table51013454[[#This Row],[تاريخ الشراء-الاستلام]]="",Table51013454[[#This Row],[الإجمالي]]="",Table51013454[[#This Row],[العمر الافتراضي]]=""),"",AB32+AD32)</f>
        <v>130296.89863013699</v>
      </c>
      <c r="AF32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الشراء-الاستلام]]&gt;DATE(2017,12,31),0,X32-AE32))</f>
        <v>87063.101369863012</v>
      </c>
    </row>
    <row r="33" spans="1:32" s="456" customFormat="1" ht="57.75" customHeight="1">
      <c r="A33" s="442">
        <f>IF(B33="","",SUBTOTAL(3,$B$6:B33))</f>
        <v>2</v>
      </c>
      <c r="B33" s="443" t="s">
        <v>1412</v>
      </c>
      <c r="C33" s="444" t="s">
        <v>1413</v>
      </c>
      <c r="D33" s="443" t="s">
        <v>1387</v>
      </c>
      <c r="E33" s="443" t="s">
        <v>994</v>
      </c>
      <c r="F33" s="443"/>
      <c r="G33" s="445" t="s">
        <v>1369</v>
      </c>
      <c r="H33" s="445"/>
      <c r="I33" s="460" t="s">
        <v>1415</v>
      </c>
      <c r="J33" s="446">
        <v>42005</v>
      </c>
      <c r="K33" s="446"/>
      <c r="L33" s="442">
        <v>1</v>
      </c>
      <c r="M33" s="443"/>
      <c r="N33" s="447">
        <v>217360</v>
      </c>
      <c r="O33" s="448">
        <f t="shared" si="1"/>
        <v>217360</v>
      </c>
      <c r="P33" s="449"/>
      <c r="Q33" s="447"/>
      <c r="R33" s="447"/>
      <c r="S33" s="447"/>
      <c r="T33" s="447"/>
      <c r="U33" s="450">
        <f>Table51013454[[#This Row],[العدد]]*Table51013454[[#This Row],[السعر الافرادي]]</f>
        <v>0</v>
      </c>
      <c r="V33" s="451">
        <f>Table51013454[[#This Row],[الكمية]]-Table51013454[[#This Row],[العدد]]</f>
        <v>1</v>
      </c>
      <c r="W33" s="447">
        <f>Table51013454[[#This Row],[سعر/الحبة]]</f>
        <v>217360</v>
      </c>
      <c r="X33" s="447">
        <f>Table51013454[[#This Row],[الإجمالي]]-Table51013454[[#This Row],[إجمالي المستبعد]]</f>
        <v>217360</v>
      </c>
      <c r="Y33" s="457">
        <v>0.2</v>
      </c>
      <c r="Z33" s="445"/>
      <c r="AA33" s="443" t="s">
        <v>1365</v>
      </c>
      <c r="AB33" s="453">
        <v>86824.898630136988</v>
      </c>
      <c r="AC33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الشراء-الاستلام]]&lt;DATE(2017,1,1),O33-AB33,0))</f>
        <v>130535.10136986301</v>
      </c>
      <c r="AD33" s="454">
        <f>IF(OR(Table51013454[[#This Row],[تاريخ الشراء-الاستلام]]="",Table51013454[[#This Row],[الإجمالي]]="",Table51013454[[#This Row],[العمر الافتراضي]]=""),"",IF(AND(AB33&lt;X33,AC33&gt;(X33*Y33),DATE(2016,12,31)&gt;J33),X33*Y33,IF(AND(AB33&lt;X33,DATE(2017,12,31)&gt;J33,AC33&gt;(X33*Y33)),(DATE(2017,12,31)-J33)/((100%/Y33)*365)*X33,IF(AND(AB33&lt;X33,DATE(2017,12,31)&gt;J33,AC33=0),(DATE(2017,12,31)-J33)/((100%/Y33)*365)*X33,IF(AND(AB33&lt;X33,DATE(2017,12,31)&gt;J33,AC33&lt;(X33*Y33)),AC33,0)))))</f>
        <v>43472</v>
      </c>
      <c r="AE33" s="453">
        <f>IF(OR(Table51013454[[#This Row],[تاريخ الشراء-الاستلام]]="",Table51013454[[#This Row],[الإجمالي]]="",Table51013454[[#This Row],[العمر الافتراضي]]=""),"",AB33+AD33)</f>
        <v>130296.89863013699</v>
      </c>
      <c r="AF33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الشراء-الاستلام]]&gt;DATE(2017,12,31),0,X33-AE33))</f>
        <v>87063.101369863012</v>
      </c>
    </row>
    <row r="34" spans="1:32" s="456" customFormat="1" ht="57.75" hidden="1" customHeight="1">
      <c r="A34" s="442">
        <f>IF(B34="","",SUBTOTAL(3,$B$6:B34))</f>
        <v>2</v>
      </c>
      <c r="B34" s="443" t="s">
        <v>1366</v>
      </c>
      <c r="C34" s="444" t="s">
        <v>118</v>
      </c>
      <c r="D34" s="443" t="s">
        <v>1367</v>
      </c>
      <c r="E34" s="443" t="s">
        <v>994</v>
      </c>
      <c r="F34" s="443"/>
      <c r="G34" s="445" t="s">
        <v>1369</v>
      </c>
      <c r="H34" s="445"/>
      <c r="I34" s="443"/>
      <c r="J34" s="446">
        <v>42005</v>
      </c>
      <c r="K34" s="446"/>
      <c r="L34" s="442">
        <v>34</v>
      </c>
      <c r="M34" s="443"/>
      <c r="N34" s="447">
        <v>650</v>
      </c>
      <c r="O34" s="448">
        <f t="shared" si="1"/>
        <v>22100</v>
      </c>
      <c r="P34" s="449"/>
      <c r="Q34" s="447"/>
      <c r="R34" s="447"/>
      <c r="S34" s="447"/>
      <c r="T34" s="447"/>
      <c r="U34" s="450">
        <f>Table51013454[[#This Row],[العدد]]*Table51013454[[#This Row],[السعر الافرادي]]</f>
        <v>0</v>
      </c>
      <c r="V34" s="451">
        <f>Table51013454[[#This Row],[الكمية]]-Table51013454[[#This Row],[العدد]]</f>
        <v>34</v>
      </c>
      <c r="W34" s="447">
        <f>Table51013454[[#This Row],[سعر/الحبة]]</f>
        <v>650</v>
      </c>
      <c r="X34" s="447">
        <f>Table51013454[[#This Row],[الإجمالي]]-Table51013454[[#This Row],[إجمالي المستبعد]]</f>
        <v>22100</v>
      </c>
      <c r="Y34" s="452">
        <v>0.15</v>
      </c>
      <c r="Z34" s="445"/>
      <c r="AA34" s="443" t="s">
        <v>1365</v>
      </c>
      <c r="AB34" s="453">
        <v>5518.9452054794519</v>
      </c>
      <c r="AC34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الشراء-الاستلام]]&lt;DATE(2017,1,1),O34-AB34,0))</f>
        <v>16581.054794520547</v>
      </c>
      <c r="AD34" s="454">
        <f>IF(OR(Table51013454[[#This Row],[تاريخ الشراء-الاستلام]]="",Table51013454[[#This Row],[الإجمالي]]="",Table51013454[[#This Row],[العمر الافتراضي]]=""),"",IF(AND(AB34&lt;X34,AC34&gt;(X34*Y34),DATE(2016,12,31)&gt;J34),X34*Y34,IF(AND(AB34&lt;X34,DATE(2017,12,31)&gt;J34,AC34&gt;(X34*Y34)),(DATE(2017,12,31)-J34)/((100%/Y34)*365)*X34,IF(AND(AB34&lt;X34,DATE(2017,12,31)&gt;J34,AC34=0),(DATE(2017,12,31)-J34)/((100%/Y34)*365)*X34,IF(AND(AB34&lt;X34,DATE(2017,12,31)&gt;J34,AC34&lt;(X34*Y34)),AC34,0)))))</f>
        <v>3315</v>
      </c>
      <c r="AE34" s="453">
        <f>IF(OR(Table51013454[[#This Row],[تاريخ الشراء-الاستلام]]="",Table51013454[[#This Row],[الإجمالي]]="",Table51013454[[#This Row],[العمر الافتراضي]]=""),"",AB34+AD34)</f>
        <v>8833.9452054794529</v>
      </c>
      <c r="AF34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الشراء-الاستلام]]&gt;DATE(2017,12,31),0,X34-AE34))</f>
        <v>13266.054794520547</v>
      </c>
    </row>
    <row r="35" spans="1:32" s="456" customFormat="1" ht="57.75" hidden="1" customHeight="1">
      <c r="A35" s="442">
        <f>IF(B35="","",SUBTOTAL(3,$B$6:B35))</f>
        <v>2</v>
      </c>
      <c r="B35" s="443" t="s">
        <v>1416</v>
      </c>
      <c r="C35" s="444" t="s">
        <v>118</v>
      </c>
      <c r="D35" s="443" t="s">
        <v>1367</v>
      </c>
      <c r="E35" s="443" t="s">
        <v>994</v>
      </c>
      <c r="F35" s="443"/>
      <c r="G35" s="445" t="s">
        <v>1369</v>
      </c>
      <c r="H35" s="445"/>
      <c r="I35" s="443"/>
      <c r="J35" s="446">
        <v>42005</v>
      </c>
      <c r="K35" s="446"/>
      <c r="L35" s="442">
        <v>71</v>
      </c>
      <c r="M35" s="443"/>
      <c r="N35" s="447">
        <v>800</v>
      </c>
      <c r="O35" s="448">
        <f t="shared" si="1"/>
        <v>56800</v>
      </c>
      <c r="P35" s="449"/>
      <c r="Q35" s="447"/>
      <c r="R35" s="447"/>
      <c r="S35" s="447"/>
      <c r="T35" s="447"/>
      <c r="U35" s="450">
        <f>Table51013454[[#This Row],[العدد]]*Table51013454[[#This Row],[السعر الافرادي]]</f>
        <v>0</v>
      </c>
      <c r="V35" s="451">
        <f>Table51013454[[#This Row],[الكمية]]-Table51013454[[#This Row],[العدد]]</f>
        <v>71</v>
      </c>
      <c r="W35" s="447">
        <f>Table51013454[[#This Row],[سعر/الحبة]]</f>
        <v>800</v>
      </c>
      <c r="X35" s="447">
        <f>Table51013454[[#This Row],[الإجمالي]]-Table51013454[[#This Row],[إجمالي المستبعد]]</f>
        <v>56800</v>
      </c>
      <c r="Y35" s="452">
        <v>0.15</v>
      </c>
      <c r="Z35" s="445"/>
      <c r="AA35" s="443" t="s">
        <v>1365</v>
      </c>
      <c r="AB35" s="453">
        <v>14184.438356164384</v>
      </c>
      <c r="AC35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الشراء-الاستلام]]&lt;DATE(2017,1,1),O35-AB35,0))</f>
        <v>42615.561643835616</v>
      </c>
      <c r="AD35" s="454">
        <f>IF(OR(Table51013454[[#This Row],[تاريخ الشراء-الاستلام]]="",Table51013454[[#This Row],[الإجمالي]]="",Table51013454[[#This Row],[العمر الافتراضي]]=""),"",IF(AND(AB35&lt;X35,AC35&gt;(X35*Y35),DATE(2016,12,31)&gt;J35),X35*Y35,IF(AND(AB35&lt;X35,DATE(2017,12,31)&gt;J35,AC35&gt;(X35*Y35)),(DATE(2017,12,31)-J35)/((100%/Y35)*365)*X35,IF(AND(AB35&lt;X35,DATE(2017,12,31)&gt;J35,AC35=0),(DATE(2017,12,31)-J35)/((100%/Y35)*365)*X35,IF(AND(AB35&lt;X35,DATE(2017,12,31)&gt;J35,AC35&lt;(X35*Y35)),AC35,0)))))</f>
        <v>8520</v>
      </c>
      <c r="AE35" s="453">
        <f>IF(OR(Table51013454[[#This Row],[تاريخ الشراء-الاستلام]]="",Table51013454[[#This Row],[الإجمالي]]="",Table51013454[[#This Row],[العمر الافتراضي]]=""),"",AB35+AD35)</f>
        <v>22704.438356164384</v>
      </c>
      <c r="AF35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الشراء-الاستلام]]&gt;DATE(2017,12,31),0,X35-AE35))</f>
        <v>34095.561643835616</v>
      </c>
    </row>
    <row r="36" spans="1:32" s="456" customFormat="1" ht="57.75" hidden="1" customHeight="1">
      <c r="A36" s="442">
        <f>IF(B36="","",SUBTOTAL(3,$B$6:B36))</f>
        <v>2</v>
      </c>
      <c r="B36" s="443" t="s">
        <v>1417</v>
      </c>
      <c r="C36" s="444" t="s">
        <v>118</v>
      </c>
      <c r="D36" s="443" t="s">
        <v>1367</v>
      </c>
      <c r="E36" s="443" t="s">
        <v>994</v>
      </c>
      <c r="F36" s="443"/>
      <c r="G36" s="445" t="s">
        <v>1369</v>
      </c>
      <c r="H36" s="445"/>
      <c r="I36" s="443"/>
      <c r="J36" s="446">
        <v>42005</v>
      </c>
      <c r="K36" s="446"/>
      <c r="L36" s="442">
        <v>26</v>
      </c>
      <c r="M36" s="443"/>
      <c r="N36" s="447">
        <v>1200</v>
      </c>
      <c r="O36" s="448">
        <f t="shared" si="1"/>
        <v>31200</v>
      </c>
      <c r="P36" s="449"/>
      <c r="Q36" s="447"/>
      <c r="R36" s="447"/>
      <c r="S36" s="447"/>
      <c r="T36" s="447"/>
      <c r="U36" s="450">
        <f>Table51013454[[#This Row],[العدد]]*Table51013454[[#This Row],[السعر الافرادي]]</f>
        <v>0</v>
      </c>
      <c r="V36" s="451">
        <f>Table51013454[[#This Row],[الكمية]]-Table51013454[[#This Row],[العدد]]</f>
        <v>26</v>
      </c>
      <c r="W36" s="447">
        <f>Table51013454[[#This Row],[سعر/الحبة]]</f>
        <v>1200</v>
      </c>
      <c r="X36" s="447">
        <f>Table51013454[[#This Row],[الإجمالي]]-Table51013454[[#This Row],[إجمالي المستبعد]]</f>
        <v>31200</v>
      </c>
      <c r="Y36" s="452">
        <v>0.15</v>
      </c>
      <c r="Z36" s="445"/>
      <c r="AA36" s="443" t="s">
        <v>1365</v>
      </c>
      <c r="AB36" s="453">
        <v>7791.4520547945212</v>
      </c>
      <c r="AC36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الشراء-الاستلام]]&lt;DATE(2017,1,1),O36-AB36,0))</f>
        <v>23408.547945205479</v>
      </c>
      <c r="AD36" s="454">
        <f>IF(OR(Table51013454[[#This Row],[تاريخ الشراء-الاستلام]]="",Table51013454[[#This Row],[الإجمالي]]="",Table51013454[[#This Row],[العمر الافتراضي]]=""),"",IF(AND(AB36&lt;X36,AC36&gt;(X36*Y36),DATE(2016,12,31)&gt;J36),X36*Y36,IF(AND(AB36&lt;X36,DATE(2017,12,31)&gt;J36,AC36&gt;(X36*Y36)),(DATE(2017,12,31)-J36)/((100%/Y36)*365)*X36,IF(AND(AB36&lt;X36,DATE(2017,12,31)&gt;J36,AC36=0),(DATE(2017,12,31)-J36)/((100%/Y36)*365)*X36,IF(AND(AB36&lt;X36,DATE(2017,12,31)&gt;J36,AC36&lt;(X36*Y36)),AC36,0)))))</f>
        <v>4680</v>
      </c>
      <c r="AE36" s="453">
        <f>IF(OR(Table51013454[[#This Row],[تاريخ الشراء-الاستلام]]="",Table51013454[[#This Row],[الإجمالي]]="",Table51013454[[#This Row],[العمر الافتراضي]]=""),"",AB36+AD36)</f>
        <v>12471.452054794521</v>
      </c>
      <c r="AF36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الشراء-الاستلام]]&gt;DATE(2017,12,31),0,X36-AE36))</f>
        <v>18728.547945205479</v>
      </c>
    </row>
    <row r="37" spans="1:32" s="456" customFormat="1" ht="57.75" hidden="1" customHeight="1">
      <c r="A37" s="442">
        <f>IF(B37="","",SUBTOTAL(3,$B$6:B37))</f>
        <v>2</v>
      </c>
      <c r="B37" s="443" t="s">
        <v>1418</v>
      </c>
      <c r="C37" s="444" t="s">
        <v>118</v>
      </c>
      <c r="D37" s="443" t="s">
        <v>1374</v>
      </c>
      <c r="E37" s="443" t="s">
        <v>994</v>
      </c>
      <c r="F37" s="443"/>
      <c r="G37" s="445" t="s">
        <v>1369</v>
      </c>
      <c r="H37" s="445"/>
      <c r="I37" s="443"/>
      <c r="J37" s="446">
        <v>42714</v>
      </c>
      <c r="K37" s="446" t="s">
        <v>1419</v>
      </c>
      <c r="L37" s="442">
        <v>3</v>
      </c>
      <c r="M37" s="443"/>
      <c r="N37" s="447">
        <v>66000</v>
      </c>
      <c r="O37" s="448">
        <f t="shared" si="1"/>
        <v>198000</v>
      </c>
      <c r="P37" s="449"/>
      <c r="Q37" s="447"/>
      <c r="R37" s="447"/>
      <c r="S37" s="447"/>
      <c r="T37" s="447"/>
      <c r="U37" s="450">
        <f>Table51013454[[#This Row],[العدد]]*Table51013454[[#This Row],[السعر الافرادي]]</f>
        <v>0</v>
      </c>
      <c r="V37" s="451">
        <f>Table51013454[[#This Row],[الكمية]]-Table51013454[[#This Row],[العدد]]</f>
        <v>3</v>
      </c>
      <c r="W37" s="447">
        <f>Table51013454[[#This Row],[سعر/الحبة]]</f>
        <v>66000</v>
      </c>
      <c r="X37" s="447">
        <f>Table51013454[[#This Row],[الإجمالي]]-Table51013454[[#This Row],[إجمالي المستبعد]]</f>
        <v>198000</v>
      </c>
      <c r="Y37" s="457">
        <v>0.15</v>
      </c>
      <c r="Z37" s="445"/>
      <c r="AA37" s="443" t="s">
        <v>1365</v>
      </c>
      <c r="AB37" s="453">
        <v>1708.767123287671</v>
      </c>
      <c r="AC37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الشراء-الاستلام]]&lt;DATE(2017,1,1),O37-AB37,0))</f>
        <v>196291.23287671234</v>
      </c>
      <c r="AD37" s="454">
        <f>IF(OR(Table51013454[[#This Row],[تاريخ الشراء-الاستلام]]="",Table51013454[[#This Row],[الإجمالي]]="",Table51013454[[#This Row],[العمر الافتراضي]]=""),"",IF(AND(AB37&lt;X37,AC37&gt;(X37*Y37),DATE(2016,12,31)&gt;J37),X37*Y37,IF(AND(AB37&lt;X37,DATE(2017,12,31)&gt;J37,AC37&gt;(X37*Y37)),(DATE(2017,12,31)-J37)/((100%/Y37)*365)*X37,IF(AND(AB37&lt;X37,DATE(2017,12,31)&gt;J37,AC37=0),(DATE(2017,12,31)-J37)/((100%/Y37)*365)*X37,IF(AND(AB37&lt;X37,DATE(2017,12,31)&gt;J37,AC37&lt;(X37*Y37)),AC37,0)))))</f>
        <v>29700</v>
      </c>
      <c r="AE37" s="453">
        <f>IF(OR(Table51013454[[#This Row],[تاريخ الشراء-الاستلام]]="",Table51013454[[#This Row],[الإجمالي]]="",Table51013454[[#This Row],[العمر الافتراضي]]=""),"",AB37+AD37)</f>
        <v>31408.767123287671</v>
      </c>
      <c r="AF37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الشراء-الاستلام]]&gt;DATE(2017,12,31),0,X37-AE37))</f>
        <v>166591.23287671234</v>
      </c>
    </row>
    <row r="38" spans="1:32" s="456" customFormat="1" ht="57.75" customHeight="1">
      <c r="A38" s="442">
        <f>IF(B38="","",SUBTOTAL(3,$B$6:B38))</f>
        <v>3</v>
      </c>
      <c r="B38" s="443" t="s">
        <v>1420</v>
      </c>
      <c r="C38" s="444" t="s">
        <v>1413</v>
      </c>
      <c r="D38" s="443" t="s">
        <v>1387</v>
      </c>
      <c r="E38" s="443" t="s">
        <v>64</v>
      </c>
      <c r="F38" s="443" t="s">
        <v>1421</v>
      </c>
      <c r="G38" s="445" t="s">
        <v>1369</v>
      </c>
      <c r="H38" s="445" t="s">
        <v>1422</v>
      </c>
      <c r="I38" s="460" t="s">
        <v>1423</v>
      </c>
      <c r="J38" s="446">
        <v>42370</v>
      </c>
      <c r="K38" s="446"/>
      <c r="L38" s="442">
        <v>1</v>
      </c>
      <c r="M38" s="443"/>
      <c r="N38" s="447">
        <v>286752</v>
      </c>
      <c r="O38" s="448">
        <f t="shared" si="1"/>
        <v>286752</v>
      </c>
      <c r="P38" s="449"/>
      <c r="Q38" s="447"/>
      <c r="R38" s="447"/>
      <c r="S38" s="447"/>
      <c r="T38" s="447"/>
      <c r="U38" s="450">
        <f>Table51013454[[#This Row],[العدد]]*Table51013454[[#This Row],[السعر الافرادي]]</f>
        <v>0</v>
      </c>
      <c r="V38" s="451">
        <f>Table51013454[[#This Row],[الكمية]]-Table51013454[[#This Row],[العدد]]</f>
        <v>1</v>
      </c>
      <c r="W38" s="447">
        <f>Table51013454[[#This Row],[سعر/الحبة]]</f>
        <v>286752</v>
      </c>
      <c r="X38" s="447">
        <f>Table51013454[[#This Row],[الإجمالي]]-Table51013454[[#This Row],[إجمالي المستبعد]]</f>
        <v>286752</v>
      </c>
      <c r="Y38" s="457">
        <v>0.15</v>
      </c>
      <c r="Z38" s="445"/>
      <c r="AA38" s="443" t="s">
        <v>1365</v>
      </c>
      <c r="AB38" s="453">
        <v>43012.799999999996</v>
      </c>
      <c r="AC38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الشراء-الاستلام]]&lt;DATE(2017,1,1),O38-AB38,0))</f>
        <v>243739.2</v>
      </c>
      <c r="AD38" s="454">
        <f>IF(OR(Table51013454[[#This Row],[تاريخ الشراء-الاستلام]]="",Table51013454[[#This Row],[الإجمالي]]="",Table51013454[[#This Row],[العمر الافتراضي]]=""),"",IF(AND(AB38&lt;X38,AC38&gt;(X38*Y38),DATE(2016,12,31)&gt;J38),X38*Y38,IF(AND(AB38&lt;X38,DATE(2017,12,31)&gt;J38,AC38&gt;(X38*Y38)),(DATE(2017,12,31)-J38)/((100%/Y38)*365)*X38,IF(AND(AB38&lt;X38,DATE(2017,12,31)&gt;J38,AC38=0),(DATE(2017,12,31)-J38)/((100%/Y38)*365)*X38,IF(AND(AB38&lt;X38,DATE(2017,12,31)&gt;J38,AC38&lt;(X38*Y38)),AC38,0)))))</f>
        <v>43012.799999999996</v>
      </c>
      <c r="AE38" s="453">
        <f>IF(OR(Table51013454[[#This Row],[تاريخ الشراء-الاستلام]]="",Table51013454[[#This Row],[الإجمالي]]="",Table51013454[[#This Row],[العمر الافتراضي]]=""),"",AB38+AD38)</f>
        <v>86025.599999999991</v>
      </c>
      <c r="AF38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الشراء-الاستلام]]&gt;DATE(2017,12,31),0,X38-AE38))</f>
        <v>200726.40000000002</v>
      </c>
    </row>
    <row r="39" spans="1:32" s="456" customFormat="1" ht="57.75" customHeight="1">
      <c r="A39" s="442">
        <f>IF(B39="","",SUBTOTAL(3,$B$6:B39))</f>
        <v>4</v>
      </c>
      <c r="B39" s="443" t="s">
        <v>1424</v>
      </c>
      <c r="C39" s="444" t="s">
        <v>1413</v>
      </c>
      <c r="D39" s="443" t="s">
        <v>1387</v>
      </c>
      <c r="E39" s="443" t="s">
        <v>64</v>
      </c>
      <c r="F39" s="443" t="s">
        <v>1388</v>
      </c>
      <c r="G39" s="445" t="s">
        <v>1369</v>
      </c>
      <c r="H39" s="445"/>
      <c r="I39" s="460" t="s">
        <v>1425</v>
      </c>
      <c r="J39" s="446">
        <v>39813</v>
      </c>
      <c r="K39" s="446"/>
      <c r="L39" s="442">
        <v>1</v>
      </c>
      <c r="M39" s="443"/>
      <c r="N39" s="447">
        <v>585741</v>
      </c>
      <c r="O39" s="448">
        <f t="shared" si="1"/>
        <v>585741</v>
      </c>
      <c r="P39" s="449"/>
      <c r="Q39" s="447"/>
      <c r="R39" s="447"/>
      <c r="S39" s="447"/>
      <c r="T39" s="447"/>
      <c r="U39" s="450">
        <f>Table51013454[[#This Row],[العدد]]*Table51013454[[#This Row],[السعر الافرادي]]</f>
        <v>0</v>
      </c>
      <c r="V39" s="451">
        <f>Table51013454[[#This Row],[الكمية]]-Table51013454[[#This Row],[العدد]]</f>
        <v>1</v>
      </c>
      <c r="W39" s="447">
        <f>Table51013454[[#This Row],[سعر/الحبة]]</f>
        <v>585741</v>
      </c>
      <c r="X39" s="447">
        <f>Table51013454[[#This Row],[الإجمالي]]-Table51013454[[#This Row],[إجمالي المستبعد]]</f>
        <v>585741</v>
      </c>
      <c r="Y39" s="457">
        <v>0.15</v>
      </c>
      <c r="Z39" s="445"/>
      <c r="AA39" s="443"/>
      <c r="AB39" s="453">
        <v>585741</v>
      </c>
      <c r="AC39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الشراء-الاستلام]]&lt;DATE(2017,1,1),O39-AB39,0))</f>
        <v>0</v>
      </c>
      <c r="AD39" s="454">
        <f>IF(OR(Table51013454[[#This Row],[تاريخ الشراء-الاستلام]]="",Table51013454[[#This Row],[الإجمالي]]="",Table51013454[[#This Row],[العمر الافتراضي]]=""),"",IF(AND(AB39&lt;X39,AC39&gt;(X39*Y39),DATE(2016,12,31)&gt;J39),X39*Y39,IF(AND(AB39&lt;X39,DATE(2017,12,31)&gt;J39,AC39&gt;(X39*Y39)),(DATE(2017,12,31)-J39)/((100%/Y39)*365)*X39,IF(AND(AB39&lt;X39,DATE(2017,12,31)&gt;J39,AC39=0),(DATE(2017,12,31)-J39)/((100%/Y39)*365)*X39,IF(AND(AB39&lt;X39,DATE(2017,12,31)&gt;J39,AC39&lt;(X39*Y39)),AC39,0)))))</f>
        <v>0</v>
      </c>
      <c r="AE39" s="453">
        <f>IF(OR(Table51013454[[#This Row],[تاريخ الشراء-الاستلام]]="",Table51013454[[#This Row],[الإجمالي]]="",Table51013454[[#This Row],[العمر الافتراضي]]=""),"",AB39+AD39)</f>
        <v>585741</v>
      </c>
      <c r="AF39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الشراء-الاستلام]]&gt;DATE(2017,12,31),0,X39-AE39))</f>
        <v>0</v>
      </c>
    </row>
    <row r="40" spans="1:32" s="456" customFormat="1" ht="57.75" customHeight="1">
      <c r="A40" s="442">
        <f>IF(B40="","",SUBTOTAL(3,$B$6:B40))</f>
        <v>5</v>
      </c>
      <c r="B40" s="443" t="s">
        <v>93</v>
      </c>
      <c r="C40" s="444" t="s">
        <v>1413</v>
      </c>
      <c r="D40" s="443" t="s">
        <v>1383</v>
      </c>
      <c r="E40" s="443" t="s">
        <v>64</v>
      </c>
      <c r="F40" s="443" t="s">
        <v>1388</v>
      </c>
      <c r="G40" s="445" t="s">
        <v>1369</v>
      </c>
      <c r="H40" s="445"/>
      <c r="I40" s="460" t="s">
        <v>1426</v>
      </c>
      <c r="J40" s="446">
        <v>41707</v>
      </c>
      <c r="K40" s="446"/>
      <c r="L40" s="442">
        <v>1</v>
      </c>
      <c r="M40" s="443"/>
      <c r="N40" s="447">
        <v>48400</v>
      </c>
      <c r="O40" s="448">
        <f t="shared" si="1"/>
        <v>48400</v>
      </c>
      <c r="P40" s="449"/>
      <c r="Q40" s="447"/>
      <c r="R40" s="447"/>
      <c r="S40" s="447"/>
      <c r="T40" s="447"/>
      <c r="U40" s="450">
        <f>Table51013454[[#This Row],[العدد]]*Table51013454[[#This Row],[السعر الافرادي]]</f>
        <v>0</v>
      </c>
      <c r="V40" s="451">
        <f>Table51013454[[#This Row],[الكمية]]-Table51013454[[#This Row],[العدد]]</f>
        <v>1</v>
      </c>
      <c r="W40" s="447">
        <f>Table51013454[[#This Row],[سعر/الحبة]]</f>
        <v>48400</v>
      </c>
      <c r="X40" s="447">
        <f>Table51013454[[#This Row],[الإجمالي]]-Table51013454[[#This Row],[إجمالي المستبعد]]</f>
        <v>48400</v>
      </c>
      <c r="Y40" s="457">
        <v>0.15</v>
      </c>
      <c r="Z40" s="445"/>
      <c r="AA40" s="443"/>
      <c r="AB40" s="453">
        <v>20427.452054794521</v>
      </c>
      <c r="AC40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الشراء-الاستلام]]&lt;DATE(2017,1,1),O40-AB40,0))</f>
        <v>27972.547945205479</v>
      </c>
      <c r="AD40" s="454">
        <f>IF(OR(Table51013454[[#This Row],[تاريخ الشراء-الاستلام]]="",Table51013454[[#This Row],[الإجمالي]]="",Table51013454[[#This Row],[العمر الافتراضي]]=""),"",IF(AND(AB40&lt;X40,AC40&gt;(X40*Y40),DATE(2016,12,31)&gt;J40),X40*Y40,IF(AND(AB40&lt;X40,DATE(2017,12,31)&gt;J40,AC40&gt;(X40*Y40)),(DATE(2017,12,31)-J40)/((100%/Y40)*365)*X40,IF(AND(AB40&lt;X40,DATE(2017,12,31)&gt;J40,AC40=0),(DATE(2017,12,31)-J40)/((100%/Y40)*365)*X40,IF(AND(AB40&lt;X40,DATE(2017,12,31)&gt;J40,AC40&lt;(X40*Y40)),AC40,0)))))</f>
        <v>7260</v>
      </c>
      <c r="AE40" s="453">
        <f>IF(OR(Table51013454[[#This Row],[تاريخ الشراء-الاستلام]]="",Table51013454[[#This Row],[الإجمالي]]="",Table51013454[[#This Row],[العمر الافتراضي]]=""),"",AB40+AD40)</f>
        <v>27687.452054794521</v>
      </c>
      <c r="AF40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الشراء-الاستلام]]&gt;DATE(2017,12,31),0,X40-AE40))</f>
        <v>20712.547945205479</v>
      </c>
    </row>
    <row r="41" spans="1:32" s="456" customFormat="1" ht="57.75" hidden="1" customHeight="1">
      <c r="A41" s="442">
        <f>IF(B41="","",SUBTOTAL(3,$B$6:B41))</f>
        <v>5</v>
      </c>
      <c r="B41" s="460" t="s">
        <v>1427</v>
      </c>
      <c r="C41" s="444" t="s">
        <v>118</v>
      </c>
      <c r="D41" s="443" t="s">
        <v>1362</v>
      </c>
      <c r="E41" s="443" t="s">
        <v>64</v>
      </c>
      <c r="F41" s="443"/>
      <c r="G41" s="445" t="s">
        <v>1369</v>
      </c>
      <c r="H41" s="445"/>
      <c r="I41" s="443"/>
      <c r="J41" s="446">
        <v>42461</v>
      </c>
      <c r="K41" s="446" t="s">
        <v>1413</v>
      </c>
      <c r="L41" s="442">
        <v>1</v>
      </c>
      <c r="M41" s="443"/>
      <c r="N41" s="447">
        <v>12500</v>
      </c>
      <c r="O41" s="448">
        <f t="shared" si="1"/>
        <v>12500</v>
      </c>
      <c r="P41" s="449"/>
      <c r="Q41" s="447"/>
      <c r="R41" s="447"/>
      <c r="S41" s="447"/>
      <c r="T41" s="447"/>
      <c r="U41" s="450">
        <f>Table51013454[[#This Row],[العدد]]*Table51013454[[#This Row],[السعر الافرادي]]</f>
        <v>0</v>
      </c>
      <c r="V41" s="451">
        <f>Table51013454[[#This Row],[الكمية]]-Table51013454[[#This Row],[العدد]]</f>
        <v>1</v>
      </c>
      <c r="W41" s="447">
        <f>Table51013454[[#This Row],[سعر/الحبة]]</f>
        <v>12500</v>
      </c>
      <c r="X41" s="447">
        <f>Table51013454[[#This Row],[الإجمالي]]-Table51013454[[#This Row],[إجمالي المستبعد]]</f>
        <v>12500</v>
      </c>
      <c r="Y41" s="452">
        <v>0.15</v>
      </c>
      <c r="Z41" s="445"/>
      <c r="AA41" s="443" t="s">
        <v>1365</v>
      </c>
      <c r="AB41" s="453">
        <v>1407.5342465753422</v>
      </c>
      <c r="AC41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الشراء-الاستلام]]&lt;DATE(2017,1,1),O41-AB41,0))</f>
        <v>11092.465753424658</v>
      </c>
      <c r="AD41" s="454">
        <f>IF(OR(Table51013454[[#This Row],[تاريخ الشراء-الاستلام]]="",Table51013454[[#This Row],[الإجمالي]]="",Table51013454[[#This Row],[العمر الافتراضي]]=""),"",IF(AND(AB41&lt;X41,AC41&gt;(X41*Y41),DATE(2016,12,31)&gt;J41),X41*Y41,IF(AND(AB41&lt;X41,DATE(2017,12,31)&gt;J41,AC41&gt;(X41*Y41)),(DATE(2017,12,31)-J41)/((100%/Y41)*365)*X41,IF(AND(AB41&lt;X41,DATE(2017,12,31)&gt;J41,AC41=0),(DATE(2017,12,31)-J41)/((100%/Y41)*365)*X41,IF(AND(AB41&lt;X41,DATE(2017,12,31)&gt;J41,AC41&lt;(X41*Y41)),AC41,0)))))</f>
        <v>1875</v>
      </c>
      <c r="AE41" s="453">
        <f>IF(OR(Table51013454[[#This Row],[تاريخ الشراء-الاستلام]]="",Table51013454[[#This Row],[الإجمالي]]="",Table51013454[[#This Row],[العمر الافتراضي]]=""),"",AB41+AD41)</f>
        <v>3282.534246575342</v>
      </c>
      <c r="AF41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الشراء-الاستلام]]&gt;DATE(2017,12,31),0,X41-AE41))</f>
        <v>9217.465753424658</v>
      </c>
    </row>
    <row r="42" spans="1:32" s="456" customFormat="1" ht="57.75" hidden="1" customHeight="1">
      <c r="A42" s="442">
        <f>IF(B42="","",SUBTOTAL(3,$B$6:B42))</f>
        <v>5</v>
      </c>
      <c r="B42" s="443" t="s">
        <v>1418</v>
      </c>
      <c r="C42" s="444" t="s">
        <v>118</v>
      </c>
      <c r="D42" s="443" t="s">
        <v>1374</v>
      </c>
      <c r="E42" s="443" t="s">
        <v>64</v>
      </c>
      <c r="F42" s="443" t="s">
        <v>1421</v>
      </c>
      <c r="G42" s="445" t="s">
        <v>1369</v>
      </c>
      <c r="H42" s="445"/>
      <c r="I42" s="443"/>
      <c r="J42" s="446">
        <v>42663</v>
      </c>
      <c r="K42" s="446" t="s">
        <v>1428</v>
      </c>
      <c r="L42" s="442">
        <v>3</v>
      </c>
      <c r="M42" s="443"/>
      <c r="N42" s="447">
        <v>66000</v>
      </c>
      <c r="O42" s="448">
        <f>N42*L42</f>
        <v>198000</v>
      </c>
      <c r="P42" s="449"/>
      <c r="Q42" s="447"/>
      <c r="R42" s="447"/>
      <c r="S42" s="447"/>
      <c r="T42" s="447"/>
      <c r="U42" s="450">
        <f>Table51013454[[#This Row],[العدد]]*Table51013454[[#This Row],[السعر الافرادي]]</f>
        <v>0</v>
      </c>
      <c r="V42" s="451">
        <f>Table51013454[[#This Row],[الكمية]]-Table51013454[[#This Row],[العدد]]</f>
        <v>3</v>
      </c>
      <c r="W42" s="447">
        <f>Table51013454[[#This Row],[سعر/الحبة]]</f>
        <v>66000</v>
      </c>
      <c r="X42" s="447">
        <f>Table51013454[[#This Row],[الإجمالي]]-Table51013454[[#This Row],[إجمالي المستبعد]]</f>
        <v>198000</v>
      </c>
      <c r="Y42" s="457">
        <v>0.15</v>
      </c>
      <c r="Z42" s="445"/>
      <c r="AA42" s="443" t="s">
        <v>1365</v>
      </c>
      <c r="AB42" s="453">
        <v>5858.6301369863013</v>
      </c>
      <c r="AC42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الشراء-الاستلام]]&lt;DATE(2017,1,1),O42-AB42,0))</f>
        <v>192141.36986301371</v>
      </c>
      <c r="AD42" s="454">
        <f>IF(OR(Table51013454[[#This Row],[تاريخ الشراء-الاستلام]]="",Table51013454[[#This Row],[الإجمالي]]="",Table51013454[[#This Row],[العمر الافتراضي]]=""),"",IF(AND(AB42&lt;X42,AC42&gt;(X42*Y42),DATE(2016,12,31)&gt;J42),X42*Y42,IF(AND(AB42&lt;X42,DATE(2017,12,31)&gt;J42,AC42&gt;(X42*Y42)),(DATE(2017,12,31)-J42)/((100%/Y42)*365)*X42,IF(AND(AB42&lt;X42,DATE(2017,12,31)&gt;J42,AC42=0),(DATE(2017,12,31)-J42)/((100%/Y42)*365)*X42,IF(AND(AB42&lt;X42,DATE(2017,12,31)&gt;J42,AC42&lt;(X42*Y42)),AC42,0)))))</f>
        <v>29700</v>
      </c>
      <c r="AE42" s="453">
        <f>IF(OR(Table51013454[[#This Row],[تاريخ الشراء-الاستلام]]="",Table51013454[[#This Row],[الإجمالي]]="",Table51013454[[#This Row],[العمر الافتراضي]]=""),"",AB42+AD42)</f>
        <v>35558.630136986299</v>
      </c>
      <c r="AF42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الشراء-الاستلام]]&gt;DATE(2017,12,31),0,X42-AE42))</f>
        <v>162441.36986301371</v>
      </c>
    </row>
    <row r="43" spans="1:32" s="456" customFormat="1" ht="57.75" hidden="1" customHeight="1">
      <c r="A43" s="442">
        <f>IF(B43="","",SUBTOTAL(3,$B$6:B43))</f>
        <v>5</v>
      </c>
      <c r="B43" s="443" t="s">
        <v>1418</v>
      </c>
      <c r="C43" s="444" t="s">
        <v>118</v>
      </c>
      <c r="D43" s="443" t="s">
        <v>1374</v>
      </c>
      <c r="E43" s="443" t="s">
        <v>64</v>
      </c>
      <c r="F43" s="443" t="s">
        <v>1421</v>
      </c>
      <c r="G43" s="445" t="s">
        <v>1369</v>
      </c>
      <c r="H43" s="445"/>
      <c r="I43" s="443"/>
      <c r="J43" s="446">
        <v>42694</v>
      </c>
      <c r="K43" s="446" t="s">
        <v>1428</v>
      </c>
      <c r="L43" s="442">
        <v>4</v>
      </c>
      <c r="M43" s="443"/>
      <c r="N43" s="447">
        <v>66000</v>
      </c>
      <c r="O43" s="448">
        <f>N43*L43</f>
        <v>264000</v>
      </c>
      <c r="P43" s="449"/>
      <c r="Q43" s="447"/>
      <c r="R43" s="447"/>
      <c r="S43" s="447"/>
      <c r="T43" s="447"/>
      <c r="U43" s="450">
        <f>Table51013454[[#This Row],[العدد]]*Table51013454[[#This Row],[السعر الافرادي]]</f>
        <v>0</v>
      </c>
      <c r="V43" s="451">
        <f>Table51013454[[#This Row],[الكمية]]-Table51013454[[#This Row],[العدد]]</f>
        <v>4</v>
      </c>
      <c r="W43" s="447">
        <f>Table51013454[[#This Row],[سعر/الحبة]]</f>
        <v>66000</v>
      </c>
      <c r="X43" s="447">
        <f>Table51013454[[#This Row],[الإجمالي]]-Table51013454[[#This Row],[إجمالي المستبعد]]</f>
        <v>264000</v>
      </c>
      <c r="Y43" s="457">
        <v>0.15</v>
      </c>
      <c r="Z43" s="445"/>
      <c r="AA43" s="443" t="s">
        <v>1365</v>
      </c>
      <c r="AB43" s="453">
        <v>4448.2191780821913</v>
      </c>
      <c r="AC43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الشراء-الاستلام]]&lt;DATE(2017,1,1),O43-AB43,0))</f>
        <v>259551.78082191781</v>
      </c>
      <c r="AD43" s="454">
        <f>IF(OR(Table51013454[[#This Row],[تاريخ الشراء-الاستلام]]="",Table51013454[[#This Row],[الإجمالي]]="",Table51013454[[#This Row],[العمر الافتراضي]]=""),"",IF(AND(AB43&lt;X43,AC43&gt;(X43*Y43),DATE(2016,12,31)&gt;J43),X43*Y43,IF(AND(AB43&lt;X43,DATE(2017,12,31)&gt;J43,AC43&gt;(X43*Y43)),(DATE(2017,12,31)-J43)/((100%/Y43)*365)*X43,IF(AND(AB43&lt;X43,DATE(2017,12,31)&gt;J43,AC43=0),(DATE(2017,12,31)-J43)/((100%/Y43)*365)*X43,IF(AND(AB43&lt;X43,DATE(2017,12,31)&gt;J43,AC43&lt;(X43*Y43)),AC43,0)))))</f>
        <v>39600</v>
      </c>
      <c r="AE43" s="453">
        <f>IF(OR(Table51013454[[#This Row],[تاريخ الشراء-الاستلام]]="",Table51013454[[#This Row],[الإجمالي]]="",Table51013454[[#This Row],[العمر الافتراضي]]=""),"",AB43+AD43)</f>
        <v>44048.219178082189</v>
      </c>
      <c r="AF43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الشراء-الاستلام]]&gt;DATE(2017,12,31),0,X43-AE43))</f>
        <v>219951.78082191781</v>
      </c>
    </row>
    <row r="44" spans="1:32" s="456" customFormat="1" ht="57.75" hidden="1" customHeight="1">
      <c r="A44" s="442">
        <f>IF(B44="","",SUBTOTAL(3,$B$6:B44))</f>
        <v>5</v>
      </c>
      <c r="B44" s="443" t="s">
        <v>1418</v>
      </c>
      <c r="C44" s="444" t="s">
        <v>118</v>
      </c>
      <c r="D44" s="443" t="s">
        <v>1374</v>
      </c>
      <c r="E44" s="443" t="s">
        <v>64</v>
      </c>
      <c r="F44" s="443" t="s">
        <v>1421</v>
      </c>
      <c r="G44" s="445" t="s">
        <v>1369</v>
      </c>
      <c r="H44" s="445"/>
      <c r="I44" s="443"/>
      <c r="J44" s="446">
        <v>42644</v>
      </c>
      <c r="K44" s="446" t="s">
        <v>1428</v>
      </c>
      <c r="L44" s="442">
        <v>2</v>
      </c>
      <c r="M44" s="443"/>
      <c r="N44" s="447">
        <v>50000</v>
      </c>
      <c r="O44" s="448">
        <f>N44*L44</f>
        <v>100000</v>
      </c>
      <c r="P44" s="461" t="s">
        <v>1429</v>
      </c>
      <c r="Q44" s="462">
        <v>42644</v>
      </c>
      <c r="R44" s="454">
        <v>2</v>
      </c>
      <c r="S44" s="454" t="s">
        <v>1430</v>
      </c>
      <c r="T44" s="454">
        <v>50000</v>
      </c>
      <c r="U44" s="463">
        <f>Table51013454[[#This Row],[العدد]]*Table51013454[[#This Row],[السعر الافرادي]]</f>
        <v>100000</v>
      </c>
      <c r="V44" s="451">
        <f>Table51013454[[#This Row],[الكمية]]-Table51013454[[#This Row],[العدد]]</f>
        <v>0</v>
      </c>
      <c r="W44" s="447">
        <f>Table51013454[[#This Row],[سعر/الحبة]]</f>
        <v>50000</v>
      </c>
      <c r="X44" s="447">
        <f>Table51013454[[#This Row],[الإجمالي]]-Table51013454[[#This Row],[إجمالي المستبعد]]</f>
        <v>0</v>
      </c>
      <c r="Y44" s="457">
        <v>0.15</v>
      </c>
      <c r="Z44" s="445"/>
      <c r="AA44" s="443" t="s">
        <v>1365</v>
      </c>
      <c r="AB44" s="453">
        <v>0</v>
      </c>
      <c r="AC44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الشراء-الاستلام]]&lt;DATE(2017,1,1),O44-AB44,0))</f>
        <v>100000</v>
      </c>
      <c r="AD44" s="454">
        <f>IF(OR(Table51013454[[#This Row],[تاريخ الشراء-الاستلام]]="",Table51013454[[#This Row],[الإجمالي]]="",Table51013454[[#This Row],[العمر الافتراضي]]=""),"",IF(AND(AB44&lt;X44,AC44&gt;(X44*Y44),DATE(2016,12,31)&gt;J44),X44*Y44,IF(AND(AB44&lt;X44,DATE(2017,12,31)&gt;J44,AC44&gt;(X44*Y44)),(DATE(2017,12,31)-J44)/((100%/Y44)*365)*X44,IF(AND(AB44&lt;X44,DATE(2017,12,31)&gt;J44,AC44=0),(DATE(2017,12,31)-J44)/((100%/Y44)*365)*X44,IF(AND(AB44&lt;X44,DATE(2017,12,31)&gt;J44,AC44&lt;(X44*Y44)),AC44,0)))))</f>
        <v>0</v>
      </c>
      <c r="AE44" s="453">
        <f>IF(OR(Table51013454[[#This Row],[تاريخ الشراء-الاستلام]]="",Table51013454[[#This Row],[الإجمالي]]="",Table51013454[[#This Row],[العمر الافتراضي]]=""),"",AB44+AD44)</f>
        <v>0</v>
      </c>
      <c r="AF44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الشراء-الاستلام]]&gt;DATE(2017,12,31),0,X44-AE44))</f>
        <v>0</v>
      </c>
    </row>
    <row r="45" spans="1:32" s="456" customFormat="1" ht="57.75" hidden="1" customHeight="1">
      <c r="A45" s="442">
        <f>IF(B45="","",SUBTOTAL(3,$B$6:B45))</f>
        <v>5</v>
      </c>
      <c r="B45" s="443" t="s">
        <v>1418</v>
      </c>
      <c r="C45" s="444" t="s">
        <v>118</v>
      </c>
      <c r="D45" s="443" t="s">
        <v>1374</v>
      </c>
      <c r="E45" s="443" t="s">
        <v>64</v>
      </c>
      <c r="F45" s="443" t="s">
        <v>1421</v>
      </c>
      <c r="G45" s="445" t="s">
        <v>1369</v>
      </c>
      <c r="H45" s="445"/>
      <c r="I45" s="443"/>
      <c r="J45" s="446">
        <v>42542</v>
      </c>
      <c r="K45" s="446" t="s">
        <v>1413</v>
      </c>
      <c r="L45" s="442">
        <v>3</v>
      </c>
      <c r="M45" s="443"/>
      <c r="N45" s="447">
        <v>80000</v>
      </c>
      <c r="O45" s="448">
        <f t="shared" si="1"/>
        <v>240000</v>
      </c>
      <c r="P45" s="449"/>
      <c r="Q45" s="447"/>
      <c r="R45" s="447"/>
      <c r="S45" s="447"/>
      <c r="T45" s="447"/>
      <c r="U45" s="450">
        <f>Table51013454[[#This Row],[العدد]]*Table51013454[[#This Row],[السعر الافرادي]]</f>
        <v>0</v>
      </c>
      <c r="V45" s="451">
        <f>Table51013454[[#This Row],[الكمية]]-Table51013454[[#This Row],[العدد]]</f>
        <v>3</v>
      </c>
      <c r="W45" s="447">
        <f>Table51013454[[#This Row],[سعر/الحبة]]</f>
        <v>80000</v>
      </c>
      <c r="X45" s="447">
        <f>Table51013454[[#This Row],[الإجمالي]]-Table51013454[[#This Row],[إجمالي المستبعد]]</f>
        <v>240000</v>
      </c>
      <c r="Y45" s="457">
        <v>0.15</v>
      </c>
      <c r="Z45" s="445"/>
      <c r="AA45" s="443" t="s">
        <v>1365</v>
      </c>
      <c r="AB45" s="453">
        <v>19035.616438356163</v>
      </c>
      <c r="AC45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الشراء-الاستلام]]&lt;DATE(2017,1,1),O45-AB45,0))</f>
        <v>220964.38356164383</v>
      </c>
      <c r="AD45" s="454">
        <f>IF(OR(Table51013454[[#This Row],[تاريخ الشراء-الاستلام]]="",Table51013454[[#This Row],[الإجمالي]]="",Table51013454[[#This Row],[العمر الافتراضي]]=""),"",IF(AND(AB45&lt;X45,AC45&gt;(X45*Y45),DATE(2016,12,31)&gt;J45),X45*Y45,IF(AND(AB45&lt;X45,DATE(2017,12,31)&gt;J45,AC45&gt;(X45*Y45)),(DATE(2017,12,31)-J45)/((100%/Y45)*365)*X45,IF(AND(AB45&lt;X45,DATE(2017,12,31)&gt;J45,AC45=0),(DATE(2017,12,31)-J45)/((100%/Y45)*365)*X45,IF(AND(AB45&lt;X45,DATE(2017,12,31)&gt;J45,AC45&lt;(X45*Y45)),AC45,0)))))</f>
        <v>36000</v>
      </c>
      <c r="AE45" s="453">
        <f>IF(OR(Table51013454[[#This Row],[تاريخ الشراء-الاستلام]]="",Table51013454[[#This Row],[الإجمالي]]="",Table51013454[[#This Row],[العمر الافتراضي]]=""),"",AB45+AD45)</f>
        <v>55035.616438356163</v>
      </c>
      <c r="AF45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الشراء-الاستلام]]&gt;DATE(2017,12,31),0,X45-AE45))</f>
        <v>184964.38356164383</v>
      </c>
    </row>
    <row r="46" spans="1:32" s="456" customFormat="1" ht="57.75" hidden="1" customHeight="1">
      <c r="A46" s="442">
        <f>IF(B46="","",SUBTOTAL(3,$B$6:B46))</f>
        <v>5</v>
      </c>
      <c r="B46" s="443" t="s">
        <v>1418</v>
      </c>
      <c r="C46" s="444" t="s">
        <v>118</v>
      </c>
      <c r="D46" s="443" t="s">
        <v>1374</v>
      </c>
      <c r="E46" s="443" t="s">
        <v>64</v>
      </c>
      <c r="F46" s="443" t="s">
        <v>1421</v>
      </c>
      <c r="G46" s="445" t="s">
        <v>1369</v>
      </c>
      <c r="H46" s="445"/>
      <c r="I46" s="443"/>
      <c r="J46" s="446">
        <v>42607</v>
      </c>
      <c r="K46" s="464" t="s">
        <v>1431</v>
      </c>
      <c r="L46" s="442">
        <v>4</v>
      </c>
      <c r="M46" s="443"/>
      <c r="N46" s="447">
        <v>66000</v>
      </c>
      <c r="O46" s="448">
        <f t="shared" si="1"/>
        <v>264000</v>
      </c>
      <c r="P46" s="449"/>
      <c r="Q46" s="447"/>
      <c r="R46" s="447"/>
      <c r="S46" s="447"/>
      <c r="T46" s="447"/>
      <c r="U46" s="450">
        <f>Table51013454[[#This Row],[العدد]]*Table51013454[[#This Row],[السعر الافرادي]]</f>
        <v>0</v>
      </c>
      <c r="V46" s="451">
        <f>Table51013454[[#This Row],[الكمية]]-Table51013454[[#This Row],[العدد]]</f>
        <v>4</v>
      </c>
      <c r="W46" s="447">
        <f>Table51013454[[#This Row],[سعر/الحبة]]</f>
        <v>66000</v>
      </c>
      <c r="X46" s="447">
        <f>Table51013454[[#This Row],[الإجمالي]]-Table51013454[[#This Row],[إجمالي المستبعد]]</f>
        <v>264000</v>
      </c>
      <c r="Y46" s="457">
        <v>0.15</v>
      </c>
      <c r="Z46" s="445"/>
      <c r="AA46" s="443" t="s">
        <v>1365</v>
      </c>
      <c r="AB46" s="453">
        <v>13887.123287671231</v>
      </c>
      <c r="AC46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الشراء-الاستلام]]&lt;DATE(2017,1,1),O46-AB46,0))</f>
        <v>250112.87671232875</v>
      </c>
      <c r="AD46" s="454">
        <f>IF(OR(Table51013454[[#This Row],[تاريخ الشراء-الاستلام]]="",Table51013454[[#This Row],[الإجمالي]]="",Table51013454[[#This Row],[العمر الافتراضي]]=""),"",IF(AND(AB46&lt;X46,AC46&gt;(X46*Y46),DATE(2016,12,31)&gt;J46),X46*Y46,IF(AND(AB46&lt;X46,DATE(2017,12,31)&gt;J46,AC46&gt;(X46*Y46)),(DATE(2017,12,31)-J46)/((100%/Y46)*365)*X46,IF(AND(AB46&lt;X46,DATE(2017,12,31)&gt;J46,AC46=0),(DATE(2017,12,31)-J46)/((100%/Y46)*365)*X46,IF(AND(AB46&lt;X46,DATE(2017,12,31)&gt;J46,AC46&lt;(X46*Y46)),AC46,0)))))</f>
        <v>39600</v>
      </c>
      <c r="AE46" s="453">
        <f>IF(OR(Table51013454[[#This Row],[تاريخ الشراء-الاستلام]]="",Table51013454[[#This Row],[الإجمالي]]="",Table51013454[[#This Row],[العمر الافتراضي]]=""),"",AB46+AD46)</f>
        <v>53487.123287671231</v>
      </c>
      <c r="AF46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الشراء-الاستلام]]&gt;DATE(2017,12,31),0,X46-AE46))</f>
        <v>210512.87671232875</v>
      </c>
    </row>
    <row r="47" spans="1:32" s="456" customFormat="1" ht="57.75" hidden="1" customHeight="1">
      <c r="A47" s="442">
        <f>IF(B47="","",SUBTOTAL(3,$B$6:B47))</f>
        <v>5</v>
      </c>
      <c r="B47" s="443" t="s">
        <v>1418</v>
      </c>
      <c r="C47" s="444" t="s">
        <v>118</v>
      </c>
      <c r="D47" s="443" t="s">
        <v>1374</v>
      </c>
      <c r="E47" s="443" t="s">
        <v>64</v>
      </c>
      <c r="F47" s="443" t="s">
        <v>1421</v>
      </c>
      <c r="G47" s="445" t="s">
        <v>1369</v>
      </c>
      <c r="H47" s="445"/>
      <c r="I47" s="443"/>
      <c r="J47" s="446">
        <v>42692</v>
      </c>
      <c r="K47" s="464" t="s">
        <v>1432</v>
      </c>
      <c r="L47" s="442">
        <v>12</v>
      </c>
      <c r="M47" s="443"/>
      <c r="N47" s="447">
        <v>66437</v>
      </c>
      <c r="O47" s="448">
        <f t="shared" si="1"/>
        <v>797244</v>
      </c>
      <c r="P47" s="449"/>
      <c r="Q47" s="447"/>
      <c r="R47" s="447"/>
      <c r="S47" s="447"/>
      <c r="T47" s="447"/>
      <c r="U47" s="450">
        <f>Table51013454[[#This Row],[العدد]]*Table51013454[[#This Row],[السعر الافرادي]]</f>
        <v>0</v>
      </c>
      <c r="V47" s="451">
        <f>Table51013454[[#This Row],[الكمية]]-Table51013454[[#This Row],[العدد]]</f>
        <v>12</v>
      </c>
      <c r="W47" s="447">
        <f>Table51013454[[#This Row],[سعر/الحبة]]</f>
        <v>66437</v>
      </c>
      <c r="X47" s="447">
        <f>Table51013454[[#This Row],[الإجمالي]]-Table51013454[[#This Row],[إجمالي المستبعد]]</f>
        <v>797244</v>
      </c>
      <c r="Y47" s="457">
        <v>0.15</v>
      </c>
      <c r="Z47" s="445"/>
      <c r="AA47" s="443" t="s">
        <v>1365</v>
      </c>
      <c r="AB47" s="453">
        <v>14088.284383561642</v>
      </c>
      <c r="AC47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الشراء-الاستلام]]&lt;DATE(2017,1,1),O47-AB47,0))</f>
        <v>783155.71561643831</v>
      </c>
      <c r="AD47" s="454">
        <f>IF(OR(Table51013454[[#This Row],[تاريخ الشراء-الاستلام]]="",Table51013454[[#This Row],[الإجمالي]]="",Table51013454[[#This Row],[العمر الافتراضي]]=""),"",IF(AND(AB47&lt;X47,AC47&gt;(X47*Y47),DATE(2016,12,31)&gt;J47),X47*Y47,IF(AND(AB47&lt;X47,DATE(2017,12,31)&gt;J47,AC47&gt;(X47*Y47)),(DATE(2017,12,31)-J47)/((100%/Y47)*365)*X47,IF(AND(AB47&lt;X47,DATE(2017,12,31)&gt;J47,AC47=0),(DATE(2017,12,31)-J47)/((100%/Y47)*365)*X47,IF(AND(AB47&lt;X47,DATE(2017,12,31)&gt;J47,AC47&lt;(X47*Y47)),AC47,0)))))</f>
        <v>119586.59999999999</v>
      </c>
      <c r="AE47" s="453">
        <f>IF(OR(Table51013454[[#This Row],[تاريخ الشراء-الاستلام]]="",Table51013454[[#This Row],[الإجمالي]]="",Table51013454[[#This Row],[العمر الافتراضي]]=""),"",AB47+AD47)</f>
        <v>133674.88438356164</v>
      </c>
      <c r="AF47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الشراء-الاستلام]]&gt;DATE(2017,12,31),0,X47-AE47))</f>
        <v>663569.11561643833</v>
      </c>
    </row>
    <row r="48" spans="1:32" s="456" customFormat="1" ht="57.75" hidden="1" customHeight="1">
      <c r="A48" s="442">
        <f>IF(B48="","",SUBTOTAL(3,$B$6:B48))</f>
        <v>5</v>
      </c>
      <c r="B48" s="443" t="s">
        <v>90</v>
      </c>
      <c r="C48" s="444" t="s">
        <v>118</v>
      </c>
      <c r="D48" s="443" t="s">
        <v>1387</v>
      </c>
      <c r="E48" s="443" t="s">
        <v>64</v>
      </c>
      <c r="F48" s="443" t="s">
        <v>1421</v>
      </c>
      <c r="G48" s="445" t="s">
        <v>1369</v>
      </c>
      <c r="H48" s="445" t="s">
        <v>1422</v>
      </c>
      <c r="I48" s="458" t="s">
        <v>1433</v>
      </c>
      <c r="J48" s="446">
        <v>42579</v>
      </c>
      <c r="K48" s="446" t="s">
        <v>1434</v>
      </c>
      <c r="L48" s="442">
        <v>1</v>
      </c>
      <c r="M48" s="443"/>
      <c r="N48" s="447">
        <v>250000</v>
      </c>
      <c r="O48" s="448">
        <f t="shared" si="1"/>
        <v>250000</v>
      </c>
      <c r="P48" s="449"/>
      <c r="Q48" s="447"/>
      <c r="R48" s="447"/>
      <c r="S48" s="447"/>
      <c r="T48" s="447"/>
      <c r="U48" s="450">
        <f>Table51013454[[#This Row],[العدد]]*Table51013454[[#This Row],[السعر الافرادي]]</f>
        <v>0</v>
      </c>
      <c r="V48" s="451">
        <f>Table51013454[[#This Row],[الكمية]]-Table51013454[[#This Row],[العدد]]</f>
        <v>1</v>
      </c>
      <c r="W48" s="447">
        <f>Table51013454[[#This Row],[سعر/الحبة]]</f>
        <v>250000</v>
      </c>
      <c r="X48" s="447">
        <f>Table51013454[[#This Row],[الإجمالي]]-Table51013454[[#This Row],[إجمالي المستبعد]]</f>
        <v>250000</v>
      </c>
      <c r="Y48" s="457">
        <v>0.25</v>
      </c>
      <c r="Z48" s="445"/>
      <c r="AA48" s="443" t="s">
        <v>1365</v>
      </c>
      <c r="AB48" s="453">
        <v>26712.32876712329</v>
      </c>
      <c r="AC48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الشراء-الاستلام]]&lt;DATE(2017,1,1),O48-AB48,0))</f>
        <v>223287.67123287672</v>
      </c>
      <c r="AD48" s="454">
        <f>IF(OR(Table51013454[[#This Row],[تاريخ الشراء-الاستلام]]="",Table51013454[[#This Row],[الإجمالي]]="",Table51013454[[#This Row],[العمر الافتراضي]]=""),"",IF(AND(AB48&lt;X48,AC48&gt;(X48*Y48),DATE(2016,12,31)&gt;J48),X48*Y48,IF(AND(AB48&lt;X48,DATE(2017,12,31)&gt;J48,AC48&gt;(X48*Y48)),(DATE(2017,12,31)-J48)/((100%/Y48)*365)*X48,IF(AND(AB48&lt;X48,DATE(2017,12,31)&gt;J48,AC48=0),(DATE(2017,12,31)-J48)/((100%/Y48)*365)*X48,IF(AND(AB48&lt;X48,DATE(2017,12,31)&gt;J48,AC48&lt;(X48*Y48)),AC48,0)))))</f>
        <v>62500</v>
      </c>
      <c r="AE48" s="453">
        <f>IF(OR(Table51013454[[#This Row],[تاريخ الشراء-الاستلام]]="",Table51013454[[#This Row],[الإجمالي]]="",Table51013454[[#This Row],[العمر الافتراضي]]=""),"",AB48+AD48)</f>
        <v>89212.328767123283</v>
      </c>
      <c r="AF48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الشراء-الاستلام]]&gt;DATE(2017,12,31),0,X48-AE48))</f>
        <v>160787.67123287672</v>
      </c>
    </row>
    <row r="49" spans="1:32" s="456" customFormat="1" ht="57.75" hidden="1" customHeight="1">
      <c r="A49" s="442">
        <f>IF(B49="","",SUBTOTAL(3,$B$6:B49))</f>
        <v>5</v>
      </c>
      <c r="B49" s="443" t="s">
        <v>90</v>
      </c>
      <c r="C49" s="444" t="s">
        <v>118</v>
      </c>
      <c r="D49" s="443" t="s">
        <v>1387</v>
      </c>
      <c r="E49" s="443" t="s">
        <v>64</v>
      </c>
      <c r="F49" s="443" t="s">
        <v>1421</v>
      </c>
      <c r="G49" s="445" t="s">
        <v>1369</v>
      </c>
      <c r="H49" s="445"/>
      <c r="I49" s="458" t="s">
        <v>1435</v>
      </c>
      <c r="J49" s="446">
        <v>42580</v>
      </c>
      <c r="K49" s="446" t="s">
        <v>1434</v>
      </c>
      <c r="L49" s="442">
        <v>1</v>
      </c>
      <c r="M49" s="443"/>
      <c r="N49" s="447">
        <v>250000</v>
      </c>
      <c r="O49" s="448">
        <f t="shared" si="1"/>
        <v>250000</v>
      </c>
      <c r="P49" s="449"/>
      <c r="Q49" s="447"/>
      <c r="R49" s="447"/>
      <c r="S49" s="447"/>
      <c r="T49" s="447"/>
      <c r="U49" s="450">
        <f>Table51013454[[#This Row],[العدد]]*Table51013454[[#This Row],[السعر الافرادي]]</f>
        <v>0</v>
      </c>
      <c r="V49" s="451">
        <f>Table51013454[[#This Row],[الكمية]]-Table51013454[[#This Row],[العدد]]</f>
        <v>1</v>
      </c>
      <c r="W49" s="447">
        <f>Table51013454[[#This Row],[سعر/الحبة]]</f>
        <v>250000</v>
      </c>
      <c r="X49" s="447">
        <f>Table51013454[[#This Row],[الإجمالي]]-Table51013454[[#This Row],[إجمالي المستبعد]]</f>
        <v>250000</v>
      </c>
      <c r="Y49" s="457">
        <v>0.25</v>
      </c>
      <c r="Z49" s="445"/>
      <c r="AA49" s="443" t="s">
        <v>1365</v>
      </c>
      <c r="AB49" s="453">
        <v>26541.095890410958</v>
      </c>
      <c r="AC49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الشراء-الاستلام]]&lt;DATE(2017,1,1),O49-AB49,0))</f>
        <v>223458.90410958906</v>
      </c>
      <c r="AD49" s="454">
        <f>IF(OR(Table51013454[[#This Row],[تاريخ الشراء-الاستلام]]="",Table51013454[[#This Row],[الإجمالي]]="",Table51013454[[#This Row],[العمر الافتراضي]]=""),"",IF(AND(AB49&lt;X49,AC49&gt;(X49*Y49),DATE(2016,12,31)&gt;J49),X49*Y49,IF(AND(AB49&lt;X49,DATE(2017,12,31)&gt;J49,AC49&gt;(X49*Y49)),(DATE(2017,12,31)-J49)/((100%/Y49)*365)*X49,IF(AND(AB49&lt;X49,DATE(2017,12,31)&gt;J49,AC49=0),(DATE(2017,12,31)-J49)/((100%/Y49)*365)*X49,IF(AND(AB49&lt;X49,DATE(2017,12,31)&gt;J49,AC49&lt;(X49*Y49)),AC49,0)))))</f>
        <v>62500</v>
      </c>
      <c r="AE49" s="453">
        <f>IF(OR(Table51013454[[#This Row],[تاريخ الشراء-الاستلام]]="",Table51013454[[#This Row],[الإجمالي]]="",Table51013454[[#This Row],[العمر الافتراضي]]=""),"",AB49+AD49)</f>
        <v>89041.095890410958</v>
      </c>
      <c r="AF49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الشراء-الاستلام]]&gt;DATE(2017,12,31),0,X49-AE49))</f>
        <v>160958.90410958906</v>
      </c>
    </row>
    <row r="50" spans="1:32" s="456" customFormat="1" ht="57.75" hidden="1" customHeight="1">
      <c r="A50" s="442">
        <f>IF(B50="","",SUBTOTAL(3,$B$6:B50))</f>
        <v>5</v>
      </c>
      <c r="B50" s="443" t="s">
        <v>90</v>
      </c>
      <c r="C50" s="444" t="s">
        <v>118</v>
      </c>
      <c r="D50" s="443" t="s">
        <v>1387</v>
      </c>
      <c r="E50" s="443" t="s">
        <v>996</v>
      </c>
      <c r="F50" s="443"/>
      <c r="G50" s="445" t="s">
        <v>1369</v>
      </c>
      <c r="H50" s="445"/>
      <c r="I50" s="458" t="s">
        <v>1436</v>
      </c>
      <c r="J50" s="446">
        <v>42580</v>
      </c>
      <c r="K50" s="446" t="s">
        <v>1434</v>
      </c>
      <c r="L50" s="442">
        <v>1</v>
      </c>
      <c r="M50" s="443"/>
      <c r="N50" s="447">
        <v>250000</v>
      </c>
      <c r="O50" s="448">
        <f t="shared" si="1"/>
        <v>250000</v>
      </c>
      <c r="P50" s="449"/>
      <c r="Q50" s="447"/>
      <c r="R50" s="447"/>
      <c r="S50" s="447"/>
      <c r="T50" s="447"/>
      <c r="U50" s="450">
        <f>Table51013454[[#This Row],[العدد]]*Table51013454[[#This Row],[السعر الافرادي]]</f>
        <v>0</v>
      </c>
      <c r="V50" s="451">
        <f>Table51013454[[#This Row],[الكمية]]-Table51013454[[#This Row],[العدد]]</f>
        <v>1</v>
      </c>
      <c r="W50" s="447">
        <f>Table51013454[[#This Row],[سعر/الحبة]]</f>
        <v>250000</v>
      </c>
      <c r="X50" s="447">
        <f>Table51013454[[#This Row],[الإجمالي]]-Table51013454[[#This Row],[إجمالي المستبعد]]</f>
        <v>250000</v>
      </c>
      <c r="Y50" s="457">
        <v>0.25</v>
      </c>
      <c r="Z50" s="445"/>
      <c r="AA50" s="443" t="s">
        <v>1365</v>
      </c>
      <c r="AB50" s="453">
        <v>26541.095890410958</v>
      </c>
      <c r="AC50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الشراء-الاستلام]]&lt;DATE(2017,1,1),O50-AB50,0))</f>
        <v>223458.90410958906</v>
      </c>
      <c r="AD50" s="454">
        <f>IF(OR(Table51013454[[#This Row],[تاريخ الشراء-الاستلام]]="",Table51013454[[#This Row],[الإجمالي]]="",Table51013454[[#This Row],[العمر الافتراضي]]=""),"",IF(AND(AB50&lt;X50,AC50&gt;(X50*Y50),DATE(2016,12,31)&gt;J50),X50*Y50,IF(AND(AB50&lt;X50,DATE(2017,12,31)&gt;J50,AC50&gt;(X50*Y50)),(DATE(2017,12,31)-J50)/((100%/Y50)*365)*X50,IF(AND(AB50&lt;X50,DATE(2017,12,31)&gt;J50,AC50=0),(DATE(2017,12,31)-J50)/((100%/Y50)*365)*X50,IF(AND(AB50&lt;X50,DATE(2017,12,31)&gt;J50,AC50&lt;(X50*Y50)),AC50,0)))))</f>
        <v>62500</v>
      </c>
      <c r="AE50" s="453">
        <f>IF(OR(Table51013454[[#This Row],[تاريخ الشراء-الاستلام]]="",Table51013454[[#This Row],[الإجمالي]]="",Table51013454[[#This Row],[العمر الافتراضي]]=""),"",AB50+AD50)</f>
        <v>89041.095890410958</v>
      </c>
      <c r="AF50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الشراء-الاستلام]]&gt;DATE(2017,12,31),0,X50-AE50))</f>
        <v>160958.90410958906</v>
      </c>
    </row>
    <row r="51" spans="1:32" s="456" customFormat="1" ht="57.75" hidden="1" customHeight="1">
      <c r="A51" s="442">
        <f>IF(B51="","",SUBTOTAL(3,$B$6:B51))</f>
        <v>5</v>
      </c>
      <c r="B51" s="443" t="s">
        <v>1416</v>
      </c>
      <c r="C51" s="444" t="s">
        <v>118</v>
      </c>
      <c r="D51" s="443" t="s">
        <v>1367</v>
      </c>
      <c r="E51" s="443" t="s">
        <v>64</v>
      </c>
      <c r="F51" s="443" t="s">
        <v>1388</v>
      </c>
      <c r="G51" s="445" t="s">
        <v>1369</v>
      </c>
      <c r="H51" s="445"/>
      <c r="I51" s="443"/>
      <c r="J51" s="446">
        <v>42551</v>
      </c>
      <c r="K51" s="446" t="s">
        <v>1437</v>
      </c>
      <c r="L51" s="442">
        <v>43</v>
      </c>
      <c r="M51" s="443"/>
      <c r="N51" s="447">
        <v>595.4</v>
      </c>
      <c r="O51" s="448">
        <f t="shared" si="1"/>
        <v>25602.2</v>
      </c>
      <c r="P51" s="449"/>
      <c r="Q51" s="447"/>
      <c r="R51" s="447"/>
      <c r="S51" s="447"/>
      <c r="T51" s="447"/>
      <c r="U51" s="450">
        <f>Table51013454[[#This Row],[العدد]]*Table51013454[[#This Row],[السعر الافرادي]]</f>
        <v>0</v>
      </c>
      <c r="V51" s="451">
        <f>Table51013454[[#This Row],[الكمية]]-Table51013454[[#This Row],[العدد]]</f>
        <v>43</v>
      </c>
      <c r="W51" s="447">
        <f>Table51013454[[#This Row],[سعر/الحبة]]</f>
        <v>595.4</v>
      </c>
      <c r="X51" s="447">
        <f>Table51013454[[#This Row],[الإجمالي]]-Table51013454[[#This Row],[إجمالي المستبعد]]</f>
        <v>25602.2</v>
      </c>
      <c r="Y51" s="452">
        <v>0.15</v>
      </c>
      <c r="Z51" s="445"/>
      <c r="AA51" s="443" t="s">
        <v>1365</v>
      </c>
      <c r="AB51" s="453">
        <v>1935.9471780821918</v>
      </c>
      <c r="AC51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الشراء-الاستلام]]&lt;DATE(2017,1,1),O51-AB51,0))</f>
        <v>23666.252821917809</v>
      </c>
      <c r="AD51" s="454">
        <f>IF(OR(Table51013454[[#This Row],[تاريخ الشراء-الاستلام]]="",Table51013454[[#This Row],[الإجمالي]]="",Table51013454[[#This Row],[العمر الافتراضي]]=""),"",IF(AND(AB51&lt;X51,AC51&gt;(X51*Y51),DATE(2016,12,31)&gt;J51),X51*Y51,IF(AND(AB51&lt;X51,DATE(2017,12,31)&gt;J51,AC51&gt;(X51*Y51)),(DATE(2017,12,31)-J51)/((100%/Y51)*365)*X51,IF(AND(AB51&lt;X51,DATE(2017,12,31)&gt;J51,AC51=0),(DATE(2017,12,31)-J51)/((100%/Y51)*365)*X51,IF(AND(AB51&lt;X51,DATE(2017,12,31)&gt;J51,AC51&lt;(X51*Y51)),AC51,0)))))</f>
        <v>3840.33</v>
      </c>
      <c r="AE51" s="453">
        <f>IF(OR(Table51013454[[#This Row],[تاريخ الشراء-الاستلام]]="",Table51013454[[#This Row],[الإجمالي]]="",Table51013454[[#This Row],[العمر الافتراضي]]=""),"",AB51+AD51)</f>
        <v>5776.2771780821913</v>
      </c>
      <c r="AF51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الشراء-الاستلام]]&gt;DATE(2017,12,31),0,X51-AE51))</f>
        <v>19825.922821917811</v>
      </c>
    </row>
    <row r="52" spans="1:32" s="456" customFormat="1" ht="57.75" hidden="1" customHeight="1">
      <c r="A52" s="442">
        <f>IF(B52="","",SUBTOTAL(3,$B$6:B52))</f>
        <v>5</v>
      </c>
      <c r="B52" s="443" t="s">
        <v>1438</v>
      </c>
      <c r="C52" s="444" t="s">
        <v>118</v>
      </c>
      <c r="D52" s="443" t="s">
        <v>1367</v>
      </c>
      <c r="E52" s="443" t="s">
        <v>64</v>
      </c>
      <c r="F52" s="443" t="s">
        <v>1388</v>
      </c>
      <c r="G52" s="445" t="s">
        <v>1369</v>
      </c>
      <c r="H52" s="445"/>
      <c r="I52" s="443"/>
      <c r="J52" s="446">
        <v>42640.6</v>
      </c>
      <c r="K52" s="446" t="s">
        <v>1437</v>
      </c>
      <c r="L52" s="442">
        <v>96</v>
      </c>
      <c r="M52" s="443"/>
      <c r="N52" s="447">
        <v>1239.58</v>
      </c>
      <c r="O52" s="448">
        <f t="shared" si="1"/>
        <v>118999.67999999999</v>
      </c>
      <c r="P52" s="449"/>
      <c r="Q52" s="447"/>
      <c r="R52" s="447"/>
      <c r="S52" s="447"/>
      <c r="T52" s="447"/>
      <c r="U52" s="450">
        <f>Table51013454[[#This Row],[العدد]]*Table51013454[[#This Row],[السعر الافرادي]]</f>
        <v>0</v>
      </c>
      <c r="V52" s="451">
        <f>Table51013454[[#This Row],[الكمية]]-Table51013454[[#This Row],[العدد]]</f>
        <v>96</v>
      </c>
      <c r="W52" s="447">
        <f>Table51013454[[#This Row],[سعر/الحبة]]</f>
        <v>1239.58</v>
      </c>
      <c r="X52" s="447">
        <f>Table51013454[[#This Row],[الإجمالي]]-Table51013454[[#This Row],[إجمالي المستبعد]]</f>
        <v>118999.67999999999</v>
      </c>
      <c r="Y52" s="452">
        <v>0.15</v>
      </c>
      <c r="Z52" s="445"/>
      <c r="AA52" s="443" t="s">
        <v>1365</v>
      </c>
      <c r="AB52" s="453">
        <v>4616.5355309589741</v>
      </c>
      <c r="AC52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الشراء-الاستلام]]&lt;DATE(2017,1,1),O52-AB52,0))</f>
        <v>114383.14446904101</v>
      </c>
      <c r="AD52" s="454">
        <f>IF(OR(Table51013454[[#This Row],[تاريخ الشراء-الاستلام]]="",Table51013454[[#This Row],[الإجمالي]]="",Table51013454[[#This Row],[العمر الافتراضي]]=""),"",IF(AND(AB52&lt;X52,AC52&gt;(X52*Y52),DATE(2016,12,31)&gt;J52),X52*Y52,IF(AND(AB52&lt;X52,DATE(2017,12,31)&gt;J52,AC52&gt;(X52*Y52)),(DATE(2017,12,31)-J52)/((100%/Y52)*365)*X52,IF(AND(AB52&lt;X52,DATE(2017,12,31)&gt;J52,AC52=0),(DATE(2017,12,31)-J52)/((100%/Y52)*365)*X52,IF(AND(AB52&lt;X52,DATE(2017,12,31)&gt;J52,AC52&lt;(X52*Y52)),AC52,0)))))</f>
        <v>17849.951999999997</v>
      </c>
      <c r="AE52" s="453">
        <f>IF(OR(Table51013454[[#This Row],[تاريخ الشراء-الاستلام]]="",Table51013454[[#This Row],[الإجمالي]]="",Table51013454[[#This Row],[العمر الافتراضي]]=""),"",AB52+AD52)</f>
        <v>22466.48753095897</v>
      </c>
      <c r="AF52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الشراء-الاستلام]]&gt;DATE(2017,12,31),0,X52-AE52))</f>
        <v>96533.192469041023</v>
      </c>
    </row>
    <row r="53" spans="1:32" s="456" customFormat="1" ht="57.75" hidden="1" customHeight="1">
      <c r="A53" s="442">
        <f>IF(B53="","",SUBTOTAL(3,$B$6:B53))</f>
        <v>5</v>
      </c>
      <c r="B53" s="443" t="s">
        <v>1439</v>
      </c>
      <c r="C53" s="444" t="s">
        <v>118</v>
      </c>
      <c r="D53" s="443" t="s">
        <v>1367</v>
      </c>
      <c r="E53" s="443" t="s">
        <v>64</v>
      </c>
      <c r="F53" s="443" t="s">
        <v>1421</v>
      </c>
      <c r="G53" s="445" t="s">
        <v>1369</v>
      </c>
      <c r="H53" s="445"/>
      <c r="I53" s="443" t="s">
        <v>1440</v>
      </c>
      <c r="J53" s="446">
        <v>42612</v>
      </c>
      <c r="K53" s="446" t="s">
        <v>1437</v>
      </c>
      <c r="L53" s="442">
        <v>5</v>
      </c>
      <c r="M53" s="443"/>
      <c r="N53" s="447">
        <v>23000</v>
      </c>
      <c r="O53" s="448">
        <f t="shared" si="1"/>
        <v>115000</v>
      </c>
      <c r="P53" s="449"/>
      <c r="Q53" s="447"/>
      <c r="R53" s="447"/>
      <c r="S53" s="447"/>
      <c r="T53" s="447"/>
      <c r="U53" s="450">
        <f>Table51013454[[#This Row],[العدد]]*Table51013454[[#This Row],[السعر الافرادي]]</f>
        <v>0</v>
      </c>
      <c r="V53" s="451">
        <f>Table51013454[[#This Row],[الكمية]]-Table51013454[[#This Row],[العدد]]</f>
        <v>5</v>
      </c>
      <c r="W53" s="447">
        <f>Table51013454[[#This Row],[سعر/الحبة]]</f>
        <v>23000</v>
      </c>
      <c r="X53" s="447">
        <f>Table51013454[[#This Row],[الإجمالي]]-Table51013454[[#This Row],[إجمالي المستبعد]]</f>
        <v>115000</v>
      </c>
      <c r="Y53" s="452">
        <v>0.15</v>
      </c>
      <c r="Z53" s="445"/>
      <c r="AA53" s="443" t="s">
        <v>1365</v>
      </c>
      <c r="AB53" s="453">
        <v>5813.0136986301368</v>
      </c>
      <c r="AC53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الشراء-الاستلام]]&lt;DATE(2017,1,1),O53-AB53,0))</f>
        <v>109186.98630136986</v>
      </c>
      <c r="AD53" s="454">
        <f>IF(OR(Table51013454[[#This Row],[تاريخ الشراء-الاستلام]]="",Table51013454[[#This Row],[الإجمالي]]="",Table51013454[[#This Row],[العمر الافتراضي]]=""),"",IF(AND(AB53&lt;X53,AC53&gt;(X53*Y53),DATE(2016,12,31)&gt;J53),X53*Y53,IF(AND(AB53&lt;X53,DATE(2017,12,31)&gt;J53,AC53&gt;(X53*Y53)),(DATE(2017,12,31)-J53)/((100%/Y53)*365)*X53,IF(AND(AB53&lt;X53,DATE(2017,12,31)&gt;J53,AC53=0),(DATE(2017,12,31)-J53)/((100%/Y53)*365)*X53,IF(AND(AB53&lt;X53,DATE(2017,12,31)&gt;J53,AC53&lt;(X53*Y53)),AC53,0)))))</f>
        <v>17250</v>
      </c>
      <c r="AE53" s="453">
        <f>IF(OR(Table51013454[[#This Row],[تاريخ الشراء-الاستلام]]="",Table51013454[[#This Row],[الإجمالي]]="",Table51013454[[#This Row],[العمر الافتراضي]]=""),"",AB53+AD53)</f>
        <v>23063.013698630137</v>
      </c>
      <c r="AF53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الشراء-الاستلام]]&gt;DATE(2017,12,31),0,X53-AE53))</f>
        <v>91936.986301369863</v>
      </c>
    </row>
    <row r="54" spans="1:32" s="456" customFormat="1" ht="57.75" hidden="1" customHeight="1">
      <c r="A54" s="442">
        <f>IF(B54="","",SUBTOTAL(3,$B$6:B54))</f>
        <v>5</v>
      </c>
      <c r="B54" s="443" t="s">
        <v>1441</v>
      </c>
      <c r="C54" s="444" t="s">
        <v>118</v>
      </c>
      <c r="D54" s="443" t="s">
        <v>1367</v>
      </c>
      <c r="E54" s="443" t="s">
        <v>64</v>
      </c>
      <c r="F54" s="443" t="s">
        <v>1421</v>
      </c>
      <c r="G54" s="445" t="s">
        <v>1369</v>
      </c>
      <c r="H54" s="445"/>
      <c r="I54" s="443"/>
      <c r="J54" s="446">
        <v>42522</v>
      </c>
      <c r="K54" s="446" t="s">
        <v>1437</v>
      </c>
      <c r="L54" s="442">
        <v>3</v>
      </c>
      <c r="M54" s="443"/>
      <c r="N54" s="447">
        <v>12000</v>
      </c>
      <c r="O54" s="448">
        <f t="shared" si="1"/>
        <v>36000</v>
      </c>
      <c r="P54" s="449"/>
      <c r="Q54" s="447"/>
      <c r="R54" s="447"/>
      <c r="S54" s="447"/>
      <c r="T54" s="447"/>
      <c r="U54" s="450">
        <f>Table51013454[[#This Row],[العدد]]*Table51013454[[#This Row],[السعر الافرادي]]</f>
        <v>0</v>
      </c>
      <c r="V54" s="451">
        <f>Table51013454[[#This Row],[الكمية]]-Table51013454[[#This Row],[العدد]]</f>
        <v>3</v>
      </c>
      <c r="W54" s="447">
        <f>Table51013454[[#This Row],[سعر/الحبة]]</f>
        <v>12000</v>
      </c>
      <c r="X54" s="447">
        <f>Table51013454[[#This Row],[الإجمالي]]-Table51013454[[#This Row],[إجمالي المستبعد]]</f>
        <v>36000</v>
      </c>
      <c r="Y54" s="452">
        <v>0.15</v>
      </c>
      <c r="Z54" s="445"/>
      <c r="AA54" s="443" t="s">
        <v>1365</v>
      </c>
      <c r="AB54" s="453">
        <v>3151.2328767123286</v>
      </c>
      <c r="AC54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الشراء-الاستلام]]&lt;DATE(2017,1,1),O54-AB54,0))</f>
        <v>32848.767123287675</v>
      </c>
      <c r="AD54" s="454">
        <f>IF(OR(Table51013454[[#This Row],[تاريخ الشراء-الاستلام]]="",Table51013454[[#This Row],[الإجمالي]]="",Table51013454[[#This Row],[العمر الافتراضي]]=""),"",IF(AND(AB54&lt;X54,AC54&gt;(X54*Y54),DATE(2016,12,31)&gt;J54),X54*Y54,IF(AND(AB54&lt;X54,DATE(2017,12,31)&gt;J54,AC54&gt;(X54*Y54)),(DATE(2017,12,31)-J54)/((100%/Y54)*365)*X54,IF(AND(AB54&lt;X54,DATE(2017,12,31)&gt;J54,AC54=0),(DATE(2017,12,31)-J54)/((100%/Y54)*365)*X54,IF(AND(AB54&lt;X54,DATE(2017,12,31)&gt;J54,AC54&lt;(X54*Y54)),AC54,0)))))</f>
        <v>5400</v>
      </c>
      <c r="AE54" s="453">
        <f>IF(OR(Table51013454[[#This Row],[تاريخ الشراء-الاستلام]]="",Table51013454[[#This Row],[الإجمالي]]="",Table51013454[[#This Row],[العمر الافتراضي]]=""),"",AB54+AD54)</f>
        <v>8551.232876712329</v>
      </c>
      <c r="AF54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الشراء-الاستلام]]&gt;DATE(2017,12,31),0,X54-AE54))</f>
        <v>27448.767123287671</v>
      </c>
    </row>
    <row r="55" spans="1:32" s="456" customFormat="1" ht="57.75" hidden="1" customHeight="1">
      <c r="A55" s="442">
        <f>IF(B55="","",SUBTOTAL(3,$B$6:B55))</f>
        <v>5</v>
      </c>
      <c r="B55" s="443" t="s">
        <v>1442</v>
      </c>
      <c r="C55" s="444" t="s">
        <v>118</v>
      </c>
      <c r="D55" s="443" t="s">
        <v>1367</v>
      </c>
      <c r="E55" s="443" t="s">
        <v>64</v>
      </c>
      <c r="F55" s="443" t="s">
        <v>1388</v>
      </c>
      <c r="G55" s="445" t="s">
        <v>1369</v>
      </c>
      <c r="H55" s="445"/>
      <c r="I55" s="443"/>
      <c r="J55" s="446">
        <v>42461</v>
      </c>
      <c r="K55" s="446" t="s">
        <v>1437</v>
      </c>
      <c r="L55" s="442">
        <v>15</v>
      </c>
      <c r="M55" s="443"/>
      <c r="N55" s="447">
        <v>850</v>
      </c>
      <c r="O55" s="448">
        <f t="shared" si="1"/>
        <v>12750</v>
      </c>
      <c r="P55" s="449"/>
      <c r="Q55" s="447"/>
      <c r="R55" s="447"/>
      <c r="S55" s="447"/>
      <c r="T55" s="447"/>
      <c r="U55" s="450">
        <f>Table51013454[[#This Row],[العدد]]*Table51013454[[#This Row],[السعر الافرادي]]</f>
        <v>0</v>
      </c>
      <c r="V55" s="451">
        <f>Table51013454[[#This Row],[الكمية]]-Table51013454[[#This Row],[العدد]]</f>
        <v>15</v>
      </c>
      <c r="W55" s="447">
        <f>Table51013454[[#This Row],[سعر/الحبة]]</f>
        <v>850</v>
      </c>
      <c r="X55" s="447">
        <f>Table51013454[[#This Row],[الإجمالي]]-Table51013454[[#This Row],[إجمالي المستبعد]]</f>
        <v>12750</v>
      </c>
      <c r="Y55" s="452">
        <v>0.15</v>
      </c>
      <c r="Z55" s="445"/>
      <c r="AA55" s="443" t="s">
        <v>1365</v>
      </c>
      <c r="AB55" s="453">
        <v>1435.6849315068491</v>
      </c>
      <c r="AC55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الشراء-الاستلام]]&lt;DATE(2017,1,1),O55-AB55,0))</f>
        <v>11314.315068493152</v>
      </c>
      <c r="AD55" s="454">
        <f>IF(OR(Table51013454[[#This Row],[تاريخ الشراء-الاستلام]]="",Table51013454[[#This Row],[الإجمالي]]="",Table51013454[[#This Row],[العمر الافتراضي]]=""),"",IF(AND(AB55&lt;X55,AC55&gt;(X55*Y55),DATE(2016,12,31)&gt;J55),X55*Y55,IF(AND(AB55&lt;X55,DATE(2017,12,31)&gt;J55,AC55&gt;(X55*Y55)),(DATE(2017,12,31)-J55)/((100%/Y55)*365)*X55,IF(AND(AB55&lt;X55,DATE(2017,12,31)&gt;J55,AC55=0),(DATE(2017,12,31)-J55)/((100%/Y55)*365)*X55,IF(AND(AB55&lt;X55,DATE(2017,12,31)&gt;J55,AC55&lt;(X55*Y55)),AC55,0)))))</f>
        <v>1912.5</v>
      </c>
      <c r="AE55" s="453">
        <f>IF(OR(Table51013454[[#This Row],[تاريخ الشراء-الاستلام]]="",Table51013454[[#This Row],[الإجمالي]]="",Table51013454[[#This Row],[العمر الافتراضي]]=""),"",AB55+AD55)</f>
        <v>3348.1849315068494</v>
      </c>
      <c r="AF55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الشراء-الاستلام]]&gt;DATE(2017,12,31),0,X55-AE55))</f>
        <v>9401.8150684931497</v>
      </c>
    </row>
    <row r="56" spans="1:32" s="456" customFormat="1" ht="57.75" hidden="1" customHeight="1">
      <c r="A56" s="442">
        <f>IF(B56="","",SUBTOTAL(3,$B$6:B56))</f>
        <v>5</v>
      </c>
      <c r="B56" s="443" t="s">
        <v>1443</v>
      </c>
      <c r="C56" s="444" t="s">
        <v>118</v>
      </c>
      <c r="D56" s="443" t="s">
        <v>1367</v>
      </c>
      <c r="E56" s="443" t="s">
        <v>64</v>
      </c>
      <c r="F56" s="443" t="s">
        <v>1388</v>
      </c>
      <c r="G56" s="445" t="s">
        <v>1369</v>
      </c>
      <c r="H56" s="445"/>
      <c r="I56" s="443"/>
      <c r="J56" s="446">
        <v>42461</v>
      </c>
      <c r="K56" s="446" t="s">
        <v>1437</v>
      </c>
      <c r="L56" s="442">
        <v>4</v>
      </c>
      <c r="M56" s="443"/>
      <c r="N56" s="447">
        <v>1225</v>
      </c>
      <c r="O56" s="448">
        <f t="shared" si="1"/>
        <v>4900</v>
      </c>
      <c r="P56" s="449"/>
      <c r="Q56" s="447"/>
      <c r="R56" s="447"/>
      <c r="S56" s="447"/>
      <c r="T56" s="447"/>
      <c r="U56" s="450">
        <f>Table51013454[[#This Row],[العدد]]*Table51013454[[#This Row],[السعر الافرادي]]</f>
        <v>0</v>
      </c>
      <c r="V56" s="451">
        <f>Table51013454[[#This Row],[الكمية]]-Table51013454[[#This Row],[العدد]]</f>
        <v>4</v>
      </c>
      <c r="W56" s="447">
        <f>Table51013454[[#This Row],[سعر/الحبة]]</f>
        <v>1225</v>
      </c>
      <c r="X56" s="447">
        <f>Table51013454[[#This Row],[الإجمالي]]-Table51013454[[#This Row],[إجمالي المستبعد]]</f>
        <v>4900</v>
      </c>
      <c r="Y56" s="452">
        <v>0.15</v>
      </c>
      <c r="Z56" s="445"/>
      <c r="AA56" s="443" t="s">
        <v>1365</v>
      </c>
      <c r="AB56" s="453">
        <v>551.7534246575342</v>
      </c>
      <c r="AC56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الشراء-الاستلام]]&lt;DATE(2017,1,1),O56-AB56,0))</f>
        <v>4348.2465753424658</v>
      </c>
      <c r="AD56" s="454">
        <f>IF(OR(Table51013454[[#This Row],[تاريخ الشراء-الاستلام]]="",Table51013454[[#This Row],[الإجمالي]]="",Table51013454[[#This Row],[العمر الافتراضي]]=""),"",IF(AND(AB56&lt;X56,AC56&gt;(X56*Y56),DATE(2016,12,31)&gt;J56),X56*Y56,IF(AND(AB56&lt;X56,DATE(2017,12,31)&gt;J56,AC56&gt;(X56*Y56)),(DATE(2017,12,31)-J56)/((100%/Y56)*365)*X56,IF(AND(AB56&lt;X56,DATE(2017,12,31)&gt;J56,AC56=0),(DATE(2017,12,31)-J56)/((100%/Y56)*365)*X56,IF(AND(AB56&lt;X56,DATE(2017,12,31)&gt;J56,AC56&lt;(X56*Y56)),AC56,0)))))</f>
        <v>735</v>
      </c>
      <c r="AE56" s="453">
        <f>IF(OR(Table51013454[[#This Row],[تاريخ الشراء-الاستلام]]="",Table51013454[[#This Row],[الإجمالي]]="",Table51013454[[#This Row],[العمر الافتراضي]]=""),"",AB56+AD56)</f>
        <v>1286.7534246575342</v>
      </c>
      <c r="AF56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الشراء-الاستلام]]&gt;DATE(2017,12,31),0,X56-AE56))</f>
        <v>3613.2465753424658</v>
      </c>
    </row>
    <row r="57" spans="1:32" s="456" customFormat="1" ht="57.75" hidden="1" customHeight="1">
      <c r="A57" s="442">
        <f>IF(B57="","",SUBTOTAL(3,$B$6:B57))</f>
        <v>5</v>
      </c>
      <c r="B57" s="443" t="s">
        <v>1444</v>
      </c>
      <c r="C57" s="444" t="s">
        <v>118</v>
      </c>
      <c r="D57" s="443" t="s">
        <v>1367</v>
      </c>
      <c r="E57" s="443" t="s">
        <v>64</v>
      </c>
      <c r="F57" s="443" t="s">
        <v>1388</v>
      </c>
      <c r="G57" s="445" t="s">
        <v>1369</v>
      </c>
      <c r="H57" s="445"/>
      <c r="I57" s="443"/>
      <c r="J57" s="446">
        <v>42461</v>
      </c>
      <c r="K57" s="446" t="s">
        <v>1437</v>
      </c>
      <c r="L57" s="442">
        <v>9</v>
      </c>
      <c r="M57" s="443"/>
      <c r="N57" s="447">
        <v>1800</v>
      </c>
      <c r="O57" s="448">
        <f t="shared" si="1"/>
        <v>16200</v>
      </c>
      <c r="P57" s="449"/>
      <c r="Q57" s="447"/>
      <c r="R57" s="447"/>
      <c r="S57" s="447"/>
      <c r="T57" s="447"/>
      <c r="U57" s="450">
        <f>Table51013454[[#This Row],[العدد]]*Table51013454[[#This Row],[السعر الافرادي]]</f>
        <v>0</v>
      </c>
      <c r="V57" s="451">
        <f>Table51013454[[#This Row],[الكمية]]-Table51013454[[#This Row],[العدد]]</f>
        <v>9</v>
      </c>
      <c r="W57" s="447">
        <f>Table51013454[[#This Row],[سعر/الحبة]]</f>
        <v>1800</v>
      </c>
      <c r="X57" s="447">
        <f>Table51013454[[#This Row],[الإجمالي]]-Table51013454[[#This Row],[إجمالي المستبعد]]</f>
        <v>16200</v>
      </c>
      <c r="Y57" s="452">
        <v>0.15</v>
      </c>
      <c r="Z57" s="445"/>
      <c r="AA57" s="443" t="s">
        <v>1365</v>
      </c>
      <c r="AB57" s="453">
        <v>1824.1643835616437</v>
      </c>
      <c r="AC57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الشراء-الاستلام]]&lt;DATE(2017,1,1),O57-AB57,0))</f>
        <v>14375.835616438357</v>
      </c>
      <c r="AD57" s="454">
        <f>IF(OR(Table51013454[[#This Row],[تاريخ الشراء-الاستلام]]="",Table51013454[[#This Row],[الإجمالي]]="",Table51013454[[#This Row],[العمر الافتراضي]]=""),"",IF(AND(AB57&lt;X57,AC57&gt;(X57*Y57),DATE(2016,12,31)&gt;J57),X57*Y57,IF(AND(AB57&lt;X57,DATE(2017,12,31)&gt;J57,AC57&gt;(X57*Y57)),(DATE(2017,12,31)-J57)/((100%/Y57)*365)*X57,IF(AND(AB57&lt;X57,DATE(2017,12,31)&gt;J57,AC57=0),(DATE(2017,12,31)-J57)/((100%/Y57)*365)*X57,IF(AND(AB57&lt;X57,DATE(2017,12,31)&gt;J57,AC57&lt;(X57*Y57)),AC57,0)))))</f>
        <v>2430</v>
      </c>
      <c r="AE57" s="453">
        <f>IF(OR(Table51013454[[#This Row],[تاريخ الشراء-الاستلام]]="",Table51013454[[#This Row],[الإجمالي]]="",Table51013454[[#This Row],[العمر الافتراضي]]=""),"",AB57+AD57)</f>
        <v>4254.1643835616433</v>
      </c>
      <c r="AF57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الشراء-الاستلام]]&gt;DATE(2017,12,31),0,X57-AE57))</f>
        <v>11945.835616438357</v>
      </c>
    </row>
    <row r="58" spans="1:32" s="456" customFormat="1" ht="57.75" hidden="1" customHeight="1">
      <c r="A58" s="442">
        <f>IF(B58="","",SUBTOTAL(3,$B$6:B58))</f>
        <v>5</v>
      </c>
      <c r="B58" s="443" t="s">
        <v>1445</v>
      </c>
      <c r="C58" s="444" t="s">
        <v>118</v>
      </c>
      <c r="D58" s="443" t="s">
        <v>1367</v>
      </c>
      <c r="E58" s="443" t="s">
        <v>64</v>
      </c>
      <c r="F58" s="443" t="s">
        <v>1388</v>
      </c>
      <c r="G58" s="445" t="s">
        <v>1369</v>
      </c>
      <c r="H58" s="445"/>
      <c r="I58" s="443"/>
      <c r="J58" s="446">
        <v>42461</v>
      </c>
      <c r="K58" s="446" t="s">
        <v>1437</v>
      </c>
      <c r="L58" s="442">
        <v>6</v>
      </c>
      <c r="M58" s="443"/>
      <c r="N58" s="447">
        <v>733</v>
      </c>
      <c r="O58" s="448">
        <f t="shared" si="1"/>
        <v>4398</v>
      </c>
      <c r="P58" s="449"/>
      <c r="Q58" s="447"/>
      <c r="R58" s="447"/>
      <c r="S58" s="447"/>
      <c r="T58" s="447"/>
      <c r="U58" s="450">
        <f>Table51013454[[#This Row],[العدد]]*Table51013454[[#This Row],[السعر الافرادي]]</f>
        <v>0</v>
      </c>
      <c r="V58" s="451">
        <f>Table51013454[[#This Row],[الكمية]]-Table51013454[[#This Row],[العدد]]</f>
        <v>6</v>
      </c>
      <c r="W58" s="447">
        <f>Table51013454[[#This Row],[سعر/الحبة]]</f>
        <v>733</v>
      </c>
      <c r="X58" s="447">
        <f>Table51013454[[#This Row],[الإجمالي]]-Table51013454[[#This Row],[إجمالي المستبعد]]</f>
        <v>4398</v>
      </c>
      <c r="Y58" s="452">
        <v>0.15</v>
      </c>
      <c r="Z58" s="445"/>
      <c r="AA58" s="443" t="s">
        <v>1365</v>
      </c>
      <c r="AB58" s="453">
        <v>495.22684931506842</v>
      </c>
      <c r="AC58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الشراء-الاستلام]]&lt;DATE(2017,1,1),O58-AB58,0))</f>
        <v>3902.7731506849314</v>
      </c>
      <c r="AD58" s="454">
        <f>IF(OR(Table51013454[[#This Row],[تاريخ الشراء-الاستلام]]="",Table51013454[[#This Row],[الإجمالي]]="",Table51013454[[#This Row],[العمر الافتراضي]]=""),"",IF(AND(AB58&lt;X58,AC58&gt;(X58*Y58),DATE(2016,12,31)&gt;J58),X58*Y58,IF(AND(AB58&lt;X58,DATE(2017,12,31)&gt;J58,AC58&gt;(X58*Y58)),(DATE(2017,12,31)-J58)/((100%/Y58)*365)*X58,IF(AND(AB58&lt;X58,DATE(2017,12,31)&gt;J58,AC58=0),(DATE(2017,12,31)-J58)/((100%/Y58)*365)*X58,IF(AND(AB58&lt;X58,DATE(2017,12,31)&gt;J58,AC58&lt;(X58*Y58)),AC58,0)))))</f>
        <v>659.69999999999993</v>
      </c>
      <c r="AE58" s="453">
        <f>IF(OR(Table51013454[[#This Row],[تاريخ الشراء-الاستلام]]="",Table51013454[[#This Row],[الإجمالي]]="",Table51013454[[#This Row],[العمر الافتراضي]]=""),"",AB58+AD58)</f>
        <v>1154.9268493150685</v>
      </c>
      <c r="AF58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الشراء-الاستلام]]&gt;DATE(2017,12,31),0,X58-AE58))</f>
        <v>3243.0731506849315</v>
      </c>
    </row>
    <row r="59" spans="1:32" s="456" customFormat="1" ht="57.75" hidden="1" customHeight="1">
      <c r="A59" s="442">
        <f>IF(B59="","",SUBTOTAL(3,$B$6:B59))</f>
        <v>5</v>
      </c>
      <c r="B59" s="443" t="s">
        <v>1446</v>
      </c>
      <c r="C59" s="444" t="s">
        <v>118</v>
      </c>
      <c r="D59" s="443" t="s">
        <v>1367</v>
      </c>
      <c r="E59" s="443" t="s">
        <v>64</v>
      </c>
      <c r="F59" s="443" t="s">
        <v>1388</v>
      </c>
      <c r="G59" s="445" t="s">
        <v>1369</v>
      </c>
      <c r="H59" s="445"/>
      <c r="I59" s="443"/>
      <c r="J59" s="446">
        <v>42461</v>
      </c>
      <c r="K59" s="446" t="s">
        <v>1437</v>
      </c>
      <c r="L59" s="442">
        <v>5</v>
      </c>
      <c r="M59" s="443"/>
      <c r="N59" s="447">
        <v>400</v>
      </c>
      <c r="O59" s="448">
        <f t="shared" si="1"/>
        <v>2000</v>
      </c>
      <c r="P59" s="449"/>
      <c r="Q59" s="447"/>
      <c r="R59" s="447"/>
      <c r="S59" s="447"/>
      <c r="T59" s="447"/>
      <c r="U59" s="450">
        <f>Table51013454[[#This Row],[العدد]]*Table51013454[[#This Row],[السعر الافرادي]]</f>
        <v>0</v>
      </c>
      <c r="V59" s="451">
        <f>Table51013454[[#This Row],[الكمية]]-Table51013454[[#This Row],[العدد]]</f>
        <v>5</v>
      </c>
      <c r="W59" s="447">
        <f>Table51013454[[#This Row],[سعر/الحبة]]</f>
        <v>400</v>
      </c>
      <c r="X59" s="447">
        <f>Table51013454[[#This Row],[الإجمالي]]-Table51013454[[#This Row],[إجمالي المستبعد]]</f>
        <v>2000</v>
      </c>
      <c r="Y59" s="452">
        <v>0.15</v>
      </c>
      <c r="Z59" s="445"/>
      <c r="AA59" s="443" t="s">
        <v>1365</v>
      </c>
      <c r="AB59" s="453">
        <v>225.20547945205476</v>
      </c>
      <c r="AC59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الشراء-الاستلام]]&lt;DATE(2017,1,1),O59-AB59,0))</f>
        <v>1774.7945205479452</v>
      </c>
      <c r="AD59" s="454">
        <f>IF(OR(Table51013454[[#This Row],[تاريخ الشراء-الاستلام]]="",Table51013454[[#This Row],[الإجمالي]]="",Table51013454[[#This Row],[العمر الافتراضي]]=""),"",IF(AND(AB59&lt;X59,AC59&gt;(X59*Y59),DATE(2016,12,31)&gt;J59),X59*Y59,IF(AND(AB59&lt;X59,DATE(2017,12,31)&gt;J59,AC59&gt;(X59*Y59)),(DATE(2017,12,31)-J59)/((100%/Y59)*365)*X59,IF(AND(AB59&lt;X59,DATE(2017,12,31)&gt;J59,AC59=0),(DATE(2017,12,31)-J59)/((100%/Y59)*365)*X59,IF(AND(AB59&lt;X59,DATE(2017,12,31)&gt;J59,AC59&lt;(X59*Y59)),AC59,0)))))</f>
        <v>300</v>
      </c>
      <c r="AE59" s="453">
        <f>IF(OR(Table51013454[[#This Row],[تاريخ الشراء-الاستلام]]="",Table51013454[[#This Row],[الإجمالي]]="",Table51013454[[#This Row],[العمر الافتراضي]]=""),"",AB59+AD59)</f>
        <v>525.20547945205476</v>
      </c>
      <c r="AF59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الشراء-الاستلام]]&gt;DATE(2017,12,31),0,X59-AE59))</f>
        <v>1474.7945205479452</v>
      </c>
    </row>
    <row r="60" spans="1:32" s="456" customFormat="1" ht="57.75" hidden="1" customHeight="1">
      <c r="A60" s="442">
        <f>IF(B60="","",SUBTOTAL(3,$B$6:B60))</f>
        <v>5</v>
      </c>
      <c r="B60" s="443" t="s">
        <v>1366</v>
      </c>
      <c r="C60" s="444" t="s">
        <v>1447</v>
      </c>
      <c r="D60" s="443" t="s">
        <v>1367</v>
      </c>
      <c r="E60" s="443" t="s">
        <v>967</v>
      </c>
      <c r="F60" s="443"/>
      <c r="G60" s="445" t="s">
        <v>1369</v>
      </c>
      <c r="H60" s="445"/>
      <c r="I60" s="443"/>
      <c r="J60" s="446">
        <v>42464</v>
      </c>
      <c r="K60" s="446" t="s">
        <v>1370</v>
      </c>
      <c r="L60" s="442">
        <v>50</v>
      </c>
      <c r="M60" s="443"/>
      <c r="N60" s="447">
        <v>700</v>
      </c>
      <c r="O60" s="448">
        <f t="shared" si="1"/>
        <v>35000</v>
      </c>
      <c r="P60" s="449"/>
      <c r="Q60" s="447"/>
      <c r="R60" s="447"/>
      <c r="S60" s="447"/>
      <c r="T60" s="447"/>
      <c r="U60" s="450">
        <f>Table51013454[[#This Row],[العدد]]*Table51013454[[#This Row],[السعر الافرادي]]</f>
        <v>0</v>
      </c>
      <c r="V60" s="451">
        <f>Table51013454[[#This Row],[الكمية]]-Table51013454[[#This Row],[العدد]]</f>
        <v>50</v>
      </c>
      <c r="W60" s="447">
        <f>Table51013454[[#This Row],[سعر/الحبة]]</f>
        <v>700</v>
      </c>
      <c r="X60" s="447">
        <f>Table51013454[[#This Row],[الإجمالي]]-Table51013454[[#This Row],[إجمالي المستبعد]]</f>
        <v>35000</v>
      </c>
      <c r="Y60" s="457">
        <v>0.1</v>
      </c>
      <c r="Z60" s="445"/>
      <c r="AA60" s="443" t="s">
        <v>1365</v>
      </c>
      <c r="AB60" s="453">
        <v>2598.6301369863017</v>
      </c>
      <c r="AC60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الشراء-الاستلام]]&lt;DATE(2017,1,1),O60-AB60,0))</f>
        <v>32401.369863013697</v>
      </c>
      <c r="AD60" s="454">
        <f>IF(OR(Table51013454[[#This Row],[تاريخ الشراء-الاستلام]]="",Table51013454[[#This Row],[الإجمالي]]="",Table51013454[[#This Row],[العمر الافتراضي]]=""),"",IF(AND(AB60&lt;X60,AC60&gt;(X60*Y60),DATE(2016,12,31)&gt;J60),X60*Y60,IF(AND(AB60&lt;X60,DATE(2017,12,31)&gt;J60,AC60&gt;(X60*Y60)),(DATE(2017,12,31)-J60)/((100%/Y60)*365)*X60,IF(AND(AB60&lt;X60,DATE(2017,12,31)&gt;J60,AC60=0),(DATE(2017,12,31)-J60)/((100%/Y60)*365)*X60,IF(AND(AB60&lt;X60,DATE(2017,12,31)&gt;J60,AC60&lt;(X60*Y60)),AC60,0)))))</f>
        <v>3500</v>
      </c>
      <c r="AE60" s="453">
        <f>IF(OR(Table51013454[[#This Row],[تاريخ الشراء-الاستلام]]="",Table51013454[[#This Row],[الإجمالي]]="",Table51013454[[#This Row],[العمر الافتراضي]]=""),"",AB60+AD60)</f>
        <v>6098.6301369863013</v>
      </c>
      <c r="AF60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الشراء-الاستلام]]&gt;DATE(2017,12,31),0,X60-AE60))</f>
        <v>28901.369863013701</v>
      </c>
    </row>
    <row r="61" spans="1:32" s="456" customFormat="1" ht="57.75" hidden="1" customHeight="1">
      <c r="A61" s="442">
        <f>IF(B61="","",SUBTOTAL(3,$B$6:B61))</f>
        <v>5</v>
      </c>
      <c r="B61" s="443" t="s">
        <v>1366</v>
      </c>
      <c r="C61" s="444" t="s">
        <v>118</v>
      </c>
      <c r="D61" s="443" t="s">
        <v>1367</v>
      </c>
      <c r="E61" s="443" t="s">
        <v>63</v>
      </c>
      <c r="F61" s="443"/>
      <c r="G61" s="445" t="s">
        <v>1369</v>
      </c>
      <c r="H61" s="445"/>
      <c r="I61" s="443"/>
      <c r="J61" s="446">
        <v>42522</v>
      </c>
      <c r="K61" s="446" t="s">
        <v>1370</v>
      </c>
      <c r="L61" s="442">
        <v>30</v>
      </c>
      <c r="M61" s="443"/>
      <c r="N61" s="447">
        <v>700</v>
      </c>
      <c r="O61" s="448">
        <f t="shared" si="1"/>
        <v>21000</v>
      </c>
      <c r="P61" s="449"/>
      <c r="Q61" s="447"/>
      <c r="R61" s="447"/>
      <c r="S61" s="447"/>
      <c r="T61" s="447"/>
      <c r="U61" s="450">
        <f>Table51013454[[#This Row],[العدد]]*Table51013454[[#This Row],[السعر الافرادي]]</f>
        <v>0</v>
      </c>
      <c r="V61" s="451">
        <f>Table51013454[[#This Row],[الكمية]]-Table51013454[[#This Row],[العدد]]</f>
        <v>30</v>
      </c>
      <c r="W61" s="447">
        <f>Table51013454[[#This Row],[سعر/الحبة]]</f>
        <v>700</v>
      </c>
      <c r="X61" s="447">
        <f>Table51013454[[#This Row],[الإجمالي]]-Table51013454[[#This Row],[إجمالي المستبعد]]</f>
        <v>21000</v>
      </c>
      <c r="Y61" s="452">
        <v>0.15</v>
      </c>
      <c r="Z61" s="445"/>
      <c r="AA61" s="443" t="s">
        <v>1365</v>
      </c>
      <c r="AB61" s="453">
        <v>1838.2191780821918</v>
      </c>
      <c r="AC61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الشراء-الاستلام]]&lt;DATE(2017,1,1),O61-AB61,0))</f>
        <v>19161.780821917808</v>
      </c>
      <c r="AD61" s="454">
        <f>IF(OR(Table51013454[[#This Row],[تاريخ الشراء-الاستلام]]="",Table51013454[[#This Row],[الإجمالي]]="",Table51013454[[#This Row],[العمر الافتراضي]]=""),"",IF(AND(AB61&lt;X61,AC61&gt;(X61*Y61),DATE(2016,12,31)&gt;J61),X61*Y61,IF(AND(AB61&lt;X61,DATE(2017,12,31)&gt;J61,AC61&gt;(X61*Y61)),(DATE(2017,12,31)-J61)/((100%/Y61)*365)*X61,IF(AND(AB61&lt;X61,DATE(2017,12,31)&gt;J61,AC61=0),(DATE(2017,12,31)-J61)/((100%/Y61)*365)*X61,IF(AND(AB61&lt;X61,DATE(2017,12,31)&gt;J61,AC61&lt;(X61*Y61)),AC61,0)))))</f>
        <v>3150</v>
      </c>
      <c r="AE61" s="453">
        <f>IF(OR(Table51013454[[#This Row],[تاريخ الشراء-الاستلام]]="",Table51013454[[#This Row],[الإجمالي]]="",Table51013454[[#This Row],[العمر الافتراضي]]=""),"",AB61+AD61)</f>
        <v>4988.2191780821922</v>
      </c>
      <c r="AF61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الشراء-الاستلام]]&gt;DATE(2017,12,31),0,X61-AE61))</f>
        <v>16011.780821917808</v>
      </c>
    </row>
    <row r="62" spans="1:32" s="456" customFormat="1" ht="57.75" hidden="1" customHeight="1">
      <c r="A62" s="442">
        <f>IF(B62="","",SUBTOTAL(3,$B$6:B62))</f>
        <v>5</v>
      </c>
      <c r="B62" s="443" t="s">
        <v>1448</v>
      </c>
      <c r="C62" s="444" t="s">
        <v>118</v>
      </c>
      <c r="D62" s="443" t="s">
        <v>1367</v>
      </c>
      <c r="E62" s="443" t="s">
        <v>996</v>
      </c>
      <c r="F62" s="443"/>
      <c r="G62" s="445" t="s">
        <v>1369</v>
      </c>
      <c r="H62" s="445"/>
      <c r="I62" s="443"/>
      <c r="J62" s="446">
        <v>42614</v>
      </c>
      <c r="K62" s="446" t="s">
        <v>1370</v>
      </c>
      <c r="L62" s="442">
        <v>100</v>
      </c>
      <c r="M62" s="443">
        <v>10223</v>
      </c>
      <c r="N62" s="447">
        <v>700</v>
      </c>
      <c r="O62" s="448">
        <f t="shared" si="1"/>
        <v>70000</v>
      </c>
      <c r="P62" s="449"/>
      <c r="Q62" s="447"/>
      <c r="R62" s="447"/>
      <c r="S62" s="447"/>
      <c r="T62" s="447"/>
      <c r="U62" s="450">
        <f>Table51013454[[#This Row],[العدد]]*Table51013454[[#This Row],[السعر الافرادي]]</f>
        <v>0</v>
      </c>
      <c r="V62" s="451">
        <f>Table51013454[[#This Row],[الكمية]]-Table51013454[[#This Row],[العدد]]</f>
        <v>100</v>
      </c>
      <c r="W62" s="447">
        <f>Table51013454[[#This Row],[سعر/الحبة]]</f>
        <v>700</v>
      </c>
      <c r="X62" s="447">
        <f>Table51013454[[#This Row],[الإجمالي]]-Table51013454[[#This Row],[إجمالي المستبعد]]</f>
        <v>70000</v>
      </c>
      <c r="Y62" s="452">
        <v>0.15</v>
      </c>
      <c r="Z62" s="445"/>
      <c r="AA62" s="443" t="s">
        <v>1365</v>
      </c>
      <c r="AB62" s="453">
        <v>3480.821917808219</v>
      </c>
      <c r="AC62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الشراء-الاستلام]]&lt;DATE(2017,1,1),O62-AB62,0))</f>
        <v>66519.178082191778</v>
      </c>
      <c r="AD62" s="454">
        <f>IF(OR(Table51013454[[#This Row],[تاريخ الشراء-الاستلام]]="",Table51013454[[#This Row],[الإجمالي]]="",Table51013454[[#This Row],[العمر الافتراضي]]=""),"",IF(AND(AB62&lt;X62,AC62&gt;(X62*Y62),DATE(2016,12,31)&gt;J62),X62*Y62,IF(AND(AB62&lt;X62,DATE(2017,12,31)&gt;J62,AC62&gt;(X62*Y62)),(DATE(2017,12,31)-J62)/((100%/Y62)*365)*X62,IF(AND(AB62&lt;X62,DATE(2017,12,31)&gt;J62,AC62=0),(DATE(2017,12,31)-J62)/((100%/Y62)*365)*X62,IF(AND(AB62&lt;X62,DATE(2017,12,31)&gt;J62,AC62&lt;(X62*Y62)),AC62,0)))))</f>
        <v>10500</v>
      </c>
      <c r="AE62" s="453">
        <f>IF(OR(Table51013454[[#This Row],[تاريخ الشراء-الاستلام]]="",Table51013454[[#This Row],[الإجمالي]]="",Table51013454[[#This Row],[العمر الافتراضي]]=""),"",AB62+AD62)</f>
        <v>13980.821917808218</v>
      </c>
      <c r="AF62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الشراء-الاستلام]]&gt;DATE(2017,12,31),0,X62-AE62))</f>
        <v>56019.178082191778</v>
      </c>
    </row>
    <row r="63" spans="1:32" s="456" customFormat="1" ht="57.75" hidden="1" customHeight="1">
      <c r="A63" s="442">
        <f>IF(B63="","",SUBTOTAL(3,$B$6:B63))</f>
        <v>5</v>
      </c>
      <c r="B63" s="443" t="s">
        <v>1448</v>
      </c>
      <c r="C63" s="444" t="s">
        <v>118</v>
      </c>
      <c r="D63" s="443" t="s">
        <v>1367</v>
      </c>
      <c r="E63" s="443" t="s">
        <v>967</v>
      </c>
      <c r="F63" s="443"/>
      <c r="G63" s="445" t="s">
        <v>1369</v>
      </c>
      <c r="H63" s="445"/>
      <c r="I63" s="443"/>
      <c r="J63" s="446">
        <v>42614</v>
      </c>
      <c r="K63" s="446" t="s">
        <v>1370</v>
      </c>
      <c r="L63" s="442">
        <v>50</v>
      </c>
      <c r="M63" s="443">
        <v>10157</v>
      </c>
      <c r="N63" s="447">
        <v>700</v>
      </c>
      <c r="O63" s="448">
        <f>N63*L63</f>
        <v>35000</v>
      </c>
      <c r="P63" s="449"/>
      <c r="Q63" s="447"/>
      <c r="R63" s="447"/>
      <c r="S63" s="447"/>
      <c r="T63" s="447"/>
      <c r="U63" s="450">
        <f>Table51013454[[#This Row],[العدد]]*Table51013454[[#This Row],[السعر الافرادي]]</f>
        <v>0</v>
      </c>
      <c r="V63" s="451">
        <f>Table51013454[[#This Row],[الكمية]]-Table51013454[[#This Row],[العدد]]</f>
        <v>50</v>
      </c>
      <c r="W63" s="447">
        <f>Table51013454[[#This Row],[سعر/الحبة]]</f>
        <v>700</v>
      </c>
      <c r="X63" s="447">
        <f>Table51013454[[#This Row],[الإجمالي]]-Table51013454[[#This Row],[إجمالي المستبعد]]</f>
        <v>35000</v>
      </c>
      <c r="Y63" s="452">
        <v>0.15</v>
      </c>
      <c r="Z63" s="445"/>
      <c r="AA63" s="443" t="s">
        <v>1365</v>
      </c>
      <c r="AB63" s="453">
        <v>1740.4109589041095</v>
      </c>
      <c r="AC63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الشراء-الاستلام]]&lt;DATE(2017,1,1),O63-AB63,0))</f>
        <v>33259.589041095889</v>
      </c>
      <c r="AD63" s="454">
        <f>IF(OR(Table51013454[[#This Row],[تاريخ الشراء-الاستلام]]="",Table51013454[[#This Row],[الإجمالي]]="",Table51013454[[#This Row],[العمر الافتراضي]]=""),"",IF(AND(AB63&lt;X63,AC63&gt;(X63*Y63),DATE(2016,12,31)&gt;J63),X63*Y63,IF(AND(AB63&lt;X63,DATE(2017,12,31)&gt;J63,AC63&gt;(X63*Y63)),(DATE(2017,12,31)-J63)/((100%/Y63)*365)*X63,IF(AND(AB63&lt;X63,DATE(2017,12,31)&gt;J63,AC63=0),(DATE(2017,12,31)-J63)/((100%/Y63)*365)*X63,IF(AND(AB63&lt;X63,DATE(2017,12,31)&gt;J63,AC63&lt;(X63*Y63)),AC63,0)))))</f>
        <v>5250</v>
      </c>
      <c r="AE63" s="453">
        <f>IF(OR(Table51013454[[#This Row],[تاريخ الشراء-الاستلام]]="",Table51013454[[#This Row],[الإجمالي]]="",Table51013454[[#This Row],[العمر الافتراضي]]=""),"",AB63+AD63)</f>
        <v>6990.4109589041091</v>
      </c>
      <c r="AF63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الشراء-الاستلام]]&gt;DATE(2017,12,31),0,X63-AE63))</f>
        <v>28009.589041095889</v>
      </c>
    </row>
    <row r="64" spans="1:32" s="456" customFormat="1" ht="57.75" hidden="1" customHeight="1">
      <c r="A64" s="442">
        <f>IF(B64="","",SUBTOTAL(3,$B$6:B64))</f>
        <v>5</v>
      </c>
      <c r="B64" s="443" t="s">
        <v>1449</v>
      </c>
      <c r="C64" s="444" t="s">
        <v>118</v>
      </c>
      <c r="D64" s="443" t="s">
        <v>1374</v>
      </c>
      <c r="E64" s="443" t="s">
        <v>64</v>
      </c>
      <c r="F64" s="443" t="s">
        <v>1421</v>
      </c>
      <c r="G64" s="445" t="s">
        <v>1369</v>
      </c>
      <c r="H64" s="445"/>
      <c r="I64" s="443"/>
      <c r="J64" s="446">
        <v>42432</v>
      </c>
      <c r="K64" s="446"/>
      <c r="L64" s="442">
        <v>1</v>
      </c>
      <c r="M64" s="443"/>
      <c r="N64" s="447">
        <v>1287</v>
      </c>
      <c r="O64" s="448">
        <f>N64*L64</f>
        <v>1287</v>
      </c>
      <c r="P64" s="449"/>
      <c r="Q64" s="447"/>
      <c r="R64" s="447"/>
      <c r="S64" s="447"/>
      <c r="T64" s="447"/>
      <c r="U64" s="450">
        <f>Table51013454[[#This Row],[العدد]]*Table51013454[[#This Row],[السعر الافرادي]]</f>
        <v>0</v>
      </c>
      <c r="V64" s="451">
        <f>Table51013454[[#This Row],[الكمية]]-Table51013454[[#This Row],[العدد]]</f>
        <v>1</v>
      </c>
      <c r="W64" s="447">
        <f>Table51013454[[#This Row],[سعر/الحبة]]</f>
        <v>1287</v>
      </c>
      <c r="X64" s="447">
        <f>Table51013454[[#This Row],[الإجمالي]]-Table51013454[[#This Row],[إجمالي المستبعد]]</f>
        <v>1287</v>
      </c>
      <c r="Y64" s="452">
        <v>0.15</v>
      </c>
      <c r="Z64" s="445"/>
      <c r="AA64" s="443" t="s">
        <v>1365</v>
      </c>
      <c r="AB64" s="453">
        <v>160.25794520547944</v>
      </c>
      <c r="AC64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الشراء-الاستلام]]&lt;DATE(2017,1,1),O64-AB64,0))</f>
        <v>1126.7420547945205</v>
      </c>
      <c r="AD64" s="454">
        <f>IF(OR(Table51013454[[#This Row],[تاريخ الشراء-الاستلام]]="",Table51013454[[#This Row],[الإجمالي]]="",Table51013454[[#This Row],[العمر الافتراضي]]=""),"",IF(AND(AB64&lt;X64,AC64&gt;(X64*Y64),DATE(2016,12,31)&gt;J64),X64*Y64,IF(AND(AB64&lt;X64,DATE(2017,12,31)&gt;J64,AC64&gt;(X64*Y64)),(DATE(2017,12,31)-J64)/((100%/Y64)*365)*X64,IF(AND(AB64&lt;X64,DATE(2017,12,31)&gt;J64,AC64=0),(DATE(2017,12,31)-J64)/((100%/Y64)*365)*X64,IF(AND(AB64&lt;X64,DATE(2017,12,31)&gt;J64,AC64&lt;(X64*Y64)),AC64,0)))))</f>
        <v>193.04999999999998</v>
      </c>
      <c r="AE64" s="453">
        <f>IF(OR(Table51013454[[#This Row],[تاريخ الشراء-الاستلام]]="",Table51013454[[#This Row],[الإجمالي]]="",Table51013454[[#This Row],[العمر الافتراضي]]=""),"",AB64+AD64)</f>
        <v>353.30794520547943</v>
      </c>
      <c r="AF64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الشراء-الاستلام]]&gt;DATE(2017,12,31),0,X64-AE64))</f>
        <v>933.69205479452057</v>
      </c>
    </row>
    <row r="65" spans="1:32" s="456" customFormat="1" ht="57.75" hidden="1" customHeight="1">
      <c r="A65" s="442">
        <f>IF(B65="","",SUBTOTAL(3,$B$6:B65))</f>
        <v>5</v>
      </c>
      <c r="B65" s="443" t="s">
        <v>1366</v>
      </c>
      <c r="C65" s="444" t="s">
        <v>118</v>
      </c>
      <c r="D65" s="443" t="s">
        <v>1367</v>
      </c>
      <c r="E65" s="443" t="s">
        <v>64</v>
      </c>
      <c r="F65" s="443" t="s">
        <v>1388</v>
      </c>
      <c r="G65" s="445" t="s">
        <v>1369</v>
      </c>
      <c r="H65" s="445"/>
      <c r="I65" s="443"/>
      <c r="J65" s="446">
        <v>42735</v>
      </c>
      <c r="K65" s="446" t="s">
        <v>1370</v>
      </c>
      <c r="L65" s="442">
        <v>5</v>
      </c>
      <c r="M65" s="443">
        <v>10297</v>
      </c>
      <c r="N65" s="447">
        <v>700</v>
      </c>
      <c r="O65" s="448">
        <f t="shared" ref="O65:O128" si="2">N65*L65</f>
        <v>3500</v>
      </c>
      <c r="P65" s="449"/>
      <c r="Q65" s="447"/>
      <c r="R65" s="447"/>
      <c r="S65" s="447"/>
      <c r="T65" s="447"/>
      <c r="U65" s="450">
        <f>Table51013454[[#This Row],[العدد]]*Table51013454[[#This Row],[السعر الافرادي]]</f>
        <v>0</v>
      </c>
      <c r="V65" s="451">
        <f>Table51013454[[#This Row],[الكمية]]-Table51013454[[#This Row],[العدد]]</f>
        <v>5</v>
      </c>
      <c r="W65" s="447">
        <f>Table51013454[[#This Row],[سعر/الحبة]]</f>
        <v>700</v>
      </c>
      <c r="X65" s="447">
        <f>Table51013454[[#This Row],[الإجمالي]]-Table51013454[[#This Row],[إجمالي المستبعد]]</f>
        <v>3500</v>
      </c>
      <c r="Y65" s="452">
        <v>0.15</v>
      </c>
      <c r="Z65" s="445"/>
      <c r="AA65" s="443" t="s">
        <v>1365</v>
      </c>
      <c r="AB65" s="453">
        <v>0</v>
      </c>
      <c r="AC65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الشراء-الاستلام]]&lt;DATE(2017,1,1),O65-AB65,0))</f>
        <v>3500</v>
      </c>
      <c r="AD65" s="454">
        <f>IF(OR(Table51013454[[#This Row],[تاريخ الشراء-الاستلام]]="",Table51013454[[#This Row],[الإجمالي]]="",Table51013454[[#This Row],[العمر الافتراضي]]=""),"",IF(AND(AB65&lt;X65,AC65&gt;(X65*Y65),DATE(2016,12,31)&gt;J65),X65*Y65,IF(AND(AB65&lt;X65,DATE(2017,12,31)&gt;J65,AC65&gt;(X65*Y65)),(DATE(2017,12,31)-J65)/((100%/Y65)*365)*X65,IF(AND(AB65&lt;X65,DATE(2017,12,31)&gt;J65,AC65=0),(DATE(2017,12,31)-J65)/((100%/Y65)*365)*X65,IF(AND(AB65&lt;X65,DATE(2017,12,31)&gt;J65,AC65&lt;(X65*Y65)),AC65,0)))))</f>
        <v>525</v>
      </c>
      <c r="AE65" s="453">
        <f>IF(OR(Table51013454[[#This Row],[تاريخ الشراء-الاستلام]]="",Table51013454[[#This Row],[الإجمالي]]="",Table51013454[[#This Row],[العمر الافتراضي]]=""),"",AB65+AD65)</f>
        <v>525</v>
      </c>
      <c r="AF65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الشراء-الاستلام]]&gt;DATE(2017,12,31),0,X65-AE65))</f>
        <v>2975</v>
      </c>
    </row>
    <row r="66" spans="1:32" s="456" customFormat="1" ht="57.75" customHeight="1">
      <c r="A66" s="442">
        <f>IF(B66="","",SUBTOTAL(3,$B$6:B66))</f>
        <v>6</v>
      </c>
      <c r="B66" s="443" t="s">
        <v>1450</v>
      </c>
      <c r="C66" s="444" t="s">
        <v>1413</v>
      </c>
      <c r="D66" s="443" t="s">
        <v>1383</v>
      </c>
      <c r="E66" s="443" t="s">
        <v>64</v>
      </c>
      <c r="F66" s="443" t="s">
        <v>1421</v>
      </c>
      <c r="G66" s="445" t="s">
        <v>1369</v>
      </c>
      <c r="H66" s="445"/>
      <c r="I66" s="460" t="s">
        <v>1451</v>
      </c>
      <c r="J66" s="446">
        <v>41562</v>
      </c>
      <c r="K66" s="446" t="s">
        <v>1452</v>
      </c>
      <c r="L66" s="442">
        <v>1</v>
      </c>
      <c r="M66" s="443"/>
      <c r="N66" s="447">
        <v>40500</v>
      </c>
      <c r="O66" s="448">
        <f t="shared" si="2"/>
        <v>40500</v>
      </c>
      <c r="P66" s="449"/>
      <c r="Q66" s="447"/>
      <c r="R66" s="447"/>
      <c r="S66" s="447"/>
      <c r="T66" s="447"/>
      <c r="U66" s="450">
        <f>Table51013454[[#This Row],[العدد]]*Table51013454[[#This Row],[السعر الافرادي]]</f>
        <v>0</v>
      </c>
      <c r="V66" s="451">
        <f>Table51013454[[#This Row],[الكمية]]-Table51013454[[#This Row],[العدد]]</f>
        <v>1</v>
      </c>
      <c r="W66" s="447">
        <f>Table51013454[[#This Row],[سعر/الحبة]]</f>
        <v>40500</v>
      </c>
      <c r="X66" s="447">
        <f>Table51013454[[#This Row],[الإجمالي]]-Table51013454[[#This Row],[إجمالي المستبعد]]</f>
        <v>40500</v>
      </c>
      <c r="Y66" s="457">
        <v>0.25</v>
      </c>
      <c r="Z66" s="445"/>
      <c r="AA66" s="443" t="s">
        <v>1365</v>
      </c>
      <c r="AB66" s="453">
        <v>32510.95890410959</v>
      </c>
      <c r="AC66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الشراء-الاستلام]]&lt;DATE(2017,1,1),O66-AB66,0))</f>
        <v>7989.0410958904104</v>
      </c>
      <c r="AD66" s="454">
        <f>IF(OR(Table51013454[[#This Row],[تاريخ الشراء-الاستلام]]="",Table51013454[[#This Row],[الإجمالي]]="",Table51013454[[#This Row],[العمر الافتراضي]]=""),"",IF(AND(AB66&lt;X66,AC66&gt;(X66*Y66),DATE(2016,12,31)&gt;J66),X66*Y66,IF(AND(AB66&lt;X66,DATE(2017,12,31)&gt;J66,AC66&gt;(X66*Y66)),(DATE(2017,12,31)-J66)/((100%/Y66)*365)*X66,IF(AND(AB66&lt;X66,DATE(2017,12,31)&gt;J66,AC66=0),(DATE(2017,12,31)-J66)/((100%/Y66)*365)*X66,IF(AND(AB66&lt;X66,DATE(2017,12,31)&gt;J66,AC66&lt;(X66*Y66)),AC66,0)))))</f>
        <v>7989.0410958904104</v>
      </c>
      <c r="AE66" s="453">
        <f>IF(OR(Table51013454[[#This Row],[تاريخ الشراء-الاستلام]]="",Table51013454[[#This Row],[الإجمالي]]="",Table51013454[[#This Row],[العمر الافتراضي]]=""),"",AB66+AD66)</f>
        <v>40500</v>
      </c>
      <c r="AF66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الشراء-الاستلام]]&gt;DATE(2017,12,31),0,X66-AE66))</f>
        <v>0</v>
      </c>
    </row>
    <row r="67" spans="1:32" s="456" customFormat="1" ht="57.75" customHeight="1">
      <c r="A67" s="442">
        <f>IF(B67="","",SUBTOTAL(3,$B$6:B67))</f>
        <v>7</v>
      </c>
      <c r="B67" s="443" t="s">
        <v>1453</v>
      </c>
      <c r="C67" s="444" t="s">
        <v>1413</v>
      </c>
      <c r="D67" s="443" t="s">
        <v>1387</v>
      </c>
      <c r="E67" s="443" t="s">
        <v>63</v>
      </c>
      <c r="F67" s="443"/>
      <c r="G67" s="445" t="s">
        <v>1369</v>
      </c>
      <c r="H67" s="445"/>
      <c r="I67" s="460" t="s">
        <v>1454</v>
      </c>
      <c r="J67" s="446">
        <v>39995</v>
      </c>
      <c r="K67" s="446"/>
      <c r="L67" s="442">
        <v>1</v>
      </c>
      <c r="M67" s="443"/>
      <c r="N67" s="447">
        <v>307357</v>
      </c>
      <c r="O67" s="448">
        <f t="shared" si="2"/>
        <v>307357</v>
      </c>
      <c r="P67" s="449"/>
      <c r="Q67" s="447"/>
      <c r="R67" s="447"/>
      <c r="S67" s="447"/>
      <c r="T67" s="447"/>
      <c r="U67" s="450">
        <f>Table51013454[[#This Row],[العدد]]*Table51013454[[#This Row],[السعر الافرادي]]</f>
        <v>0</v>
      </c>
      <c r="V67" s="451">
        <f>Table51013454[[#This Row],[الكمية]]-Table51013454[[#This Row],[العدد]]</f>
        <v>1</v>
      </c>
      <c r="W67" s="447">
        <f>Table51013454[[#This Row],[سعر/الحبة]]</f>
        <v>307357</v>
      </c>
      <c r="X67" s="447">
        <f>Table51013454[[#This Row],[الإجمالي]]-Table51013454[[#This Row],[إجمالي المستبعد]]</f>
        <v>307357</v>
      </c>
      <c r="Y67" s="457">
        <v>0.2</v>
      </c>
      <c r="Z67" s="445"/>
      <c r="AA67" s="443" t="s">
        <v>1365</v>
      </c>
      <c r="AB67" s="453">
        <v>307357</v>
      </c>
      <c r="AC67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الشراء-الاستلام]]&lt;DATE(2017,1,1),O67-AB67,0))</f>
        <v>0</v>
      </c>
      <c r="AD67" s="454">
        <f>IF(OR(Table51013454[[#This Row],[تاريخ الشراء-الاستلام]]="",Table51013454[[#This Row],[الإجمالي]]="",Table51013454[[#This Row],[العمر الافتراضي]]=""),"",IF(AND(AB67&lt;X67,AC67&gt;(X67*Y67),DATE(2016,12,31)&gt;J67),X67*Y67,IF(AND(AB67&lt;X67,DATE(2017,12,31)&gt;J67,AC67&gt;(X67*Y67)),(DATE(2017,12,31)-J67)/((100%/Y67)*365)*X67,IF(AND(AB67&lt;X67,DATE(2017,12,31)&gt;J67,AC67=0),(DATE(2017,12,31)-J67)/((100%/Y67)*365)*X67,IF(AND(AB67&lt;X67,DATE(2017,12,31)&gt;J67,AC67&lt;(X67*Y67)),AC67,0)))))</f>
        <v>0</v>
      </c>
      <c r="AE67" s="453">
        <f>IF(OR(Table51013454[[#This Row],[تاريخ الشراء-الاستلام]]="",Table51013454[[#This Row],[الإجمالي]]="",Table51013454[[#This Row],[العمر الافتراضي]]=""),"",AB67+AD67)</f>
        <v>307357</v>
      </c>
      <c r="AF67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الشراء-الاستلام]]&gt;DATE(2017,12,31),0,X67-AE67))</f>
        <v>0</v>
      </c>
    </row>
    <row r="68" spans="1:32" s="456" customFormat="1" ht="57.75" customHeight="1">
      <c r="A68" s="442">
        <f>IF(B68="","",SUBTOTAL(3,$B$6:B68))</f>
        <v>8</v>
      </c>
      <c r="B68" s="443" t="s">
        <v>1386</v>
      </c>
      <c r="C68" s="444" t="s">
        <v>1413</v>
      </c>
      <c r="D68" s="443" t="s">
        <v>1387</v>
      </c>
      <c r="E68" s="443" t="s">
        <v>1014</v>
      </c>
      <c r="F68" s="443"/>
      <c r="G68" s="445" t="s">
        <v>1369</v>
      </c>
      <c r="H68" s="445"/>
      <c r="I68" s="460" t="s">
        <v>1455</v>
      </c>
      <c r="J68" s="446">
        <v>40269</v>
      </c>
      <c r="K68" s="446"/>
      <c r="L68" s="442">
        <v>1</v>
      </c>
      <c r="M68" s="443"/>
      <c r="N68" s="447">
        <v>212550</v>
      </c>
      <c r="O68" s="448">
        <f t="shared" si="2"/>
        <v>212550</v>
      </c>
      <c r="P68" s="449"/>
      <c r="Q68" s="447"/>
      <c r="R68" s="447"/>
      <c r="S68" s="447"/>
      <c r="T68" s="447"/>
      <c r="U68" s="450">
        <f>Table51013454[[#This Row],[العدد]]*Table51013454[[#This Row],[السعر الافرادي]]</f>
        <v>0</v>
      </c>
      <c r="V68" s="451">
        <f>Table51013454[[#This Row],[الكمية]]-Table51013454[[#This Row],[العدد]]</f>
        <v>1</v>
      </c>
      <c r="W68" s="447">
        <f>Table51013454[[#This Row],[سعر/الحبة]]</f>
        <v>212550</v>
      </c>
      <c r="X68" s="447">
        <f>Table51013454[[#This Row],[الإجمالي]]-Table51013454[[#This Row],[إجمالي المستبعد]]</f>
        <v>212550</v>
      </c>
      <c r="Y68" s="457">
        <v>0.2</v>
      </c>
      <c r="Z68" s="445"/>
      <c r="AA68" s="443" t="s">
        <v>1365</v>
      </c>
      <c r="AB68" s="453">
        <v>212550</v>
      </c>
      <c r="AC68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الشراء-الاستلام]]&lt;DATE(2017,1,1),O68-AB68,0))</f>
        <v>0</v>
      </c>
      <c r="AD68" s="454">
        <f>IF(OR(Table51013454[[#This Row],[تاريخ الشراء-الاستلام]]="",Table51013454[[#This Row],[الإجمالي]]="",Table51013454[[#This Row],[العمر الافتراضي]]=""),"",IF(AND(AB68&lt;X68,AC68&gt;(X68*Y68),DATE(2016,12,31)&gt;J68),X68*Y68,IF(AND(AB68&lt;X68,DATE(2017,12,31)&gt;J68,AC68&gt;(X68*Y68)),(DATE(2017,12,31)-J68)/((100%/Y68)*365)*X68,IF(AND(AB68&lt;X68,DATE(2017,12,31)&gt;J68,AC68=0),(DATE(2017,12,31)-J68)/((100%/Y68)*365)*X68,IF(AND(AB68&lt;X68,DATE(2017,12,31)&gt;J68,AC68&lt;(X68*Y68)),AC68,0)))))</f>
        <v>0</v>
      </c>
      <c r="AE68" s="453">
        <f>IF(OR(Table51013454[[#This Row],[تاريخ الشراء-الاستلام]]="",Table51013454[[#This Row],[الإجمالي]]="",Table51013454[[#This Row],[العمر الافتراضي]]=""),"",AB68+AD68)</f>
        <v>212550</v>
      </c>
      <c r="AF68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الشراء-الاستلام]]&gt;DATE(2017,12,31),0,X68-AE68))</f>
        <v>0</v>
      </c>
    </row>
    <row r="69" spans="1:32" s="456" customFormat="1" ht="57.75" customHeight="1">
      <c r="A69" s="442">
        <f>IF(B69="","",SUBTOTAL(3,$B$6:B69))</f>
        <v>9</v>
      </c>
      <c r="B69" s="443" t="s">
        <v>1453</v>
      </c>
      <c r="C69" s="444" t="s">
        <v>1413</v>
      </c>
      <c r="D69" s="443" t="s">
        <v>1387</v>
      </c>
      <c r="E69" s="443" t="s">
        <v>1014</v>
      </c>
      <c r="F69" s="443"/>
      <c r="G69" s="445" t="s">
        <v>1369</v>
      </c>
      <c r="H69" s="445"/>
      <c r="I69" s="460" t="s">
        <v>1455</v>
      </c>
      <c r="J69" s="446">
        <v>40298</v>
      </c>
      <c r="K69" s="446"/>
      <c r="L69" s="442">
        <v>1</v>
      </c>
      <c r="M69" s="443"/>
      <c r="N69" s="447">
        <v>82000</v>
      </c>
      <c r="O69" s="448">
        <f t="shared" si="2"/>
        <v>82000</v>
      </c>
      <c r="P69" s="449"/>
      <c r="Q69" s="447"/>
      <c r="R69" s="447"/>
      <c r="S69" s="447"/>
      <c r="T69" s="447"/>
      <c r="U69" s="450">
        <f>Table51013454[[#This Row],[العدد]]*Table51013454[[#This Row],[السعر الافرادي]]</f>
        <v>0</v>
      </c>
      <c r="V69" s="451">
        <f>Table51013454[[#This Row],[الكمية]]-Table51013454[[#This Row],[العدد]]</f>
        <v>1</v>
      </c>
      <c r="W69" s="447">
        <f>Table51013454[[#This Row],[سعر/الحبة]]</f>
        <v>82000</v>
      </c>
      <c r="X69" s="447">
        <f>Table51013454[[#This Row],[الإجمالي]]-Table51013454[[#This Row],[إجمالي المستبعد]]</f>
        <v>82000</v>
      </c>
      <c r="Y69" s="457">
        <v>0.2</v>
      </c>
      <c r="Z69" s="445"/>
      <c r="AA69" s="443" t="s">
        <v>1365</v>
      </c>
      <c r="AB69" s="453">
        <v>82000</v>
      </c>
      <c r="AC69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الشراء-الاستلام]]&lt;DATE(2017,1,1),O69-AB69,0))</f>
        <v>0</v>
      </c>
      <c r="AD69" s="454">
        <f>IF(OR(Table51013454[[#This Row],[تاريخ الشراء-الاستلام]]="",Table51013454[[#This Row],[الإجمالي]]="",Table51013454[[#This Row],[العمر الافتراضي]]=""),"",IF(AND(AB69&lt;X69,AC69&gt;(X69*Y69),DATE(2016,12,31)&gt;J69),X69*Y69,IF(AND(AB69&lt;X69,DATE(2017,12,31)&gt;J69,AC69&gt;(X69*Y69)),(DATE(2017,12,31)-J69)/((100%/Y69)*365)*X69,IF(AND(AB69&lt;X69,DATE(2017,12,31)&gt;J69,AC69=0),(DATE(2017,12,31)-J69)/((100%/Y69)*365)*X69,IF(AND(AB69&lt;X69,DATE(2017,12,31)&gt;J69,AC69&lt;(X69*Y69)),AC69,0)))))</f>
        <v>0</v>
      </c>
      <c r="AE69" s="453">
        <f>IF(OR(Table51013454[[#This Row],[تاريخ الشراء-الاستلام]]="",Table51013454[[#This Row],[الإجمالي]]="",Table51013454[[#This Row],[العمر الافتراضي]]=""),"",AB69+AD69)</f>
        <v>82000</v>
      </c>
      <c r="AF69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الشراء-الاستلام]]&gt;DATE(2017,12,31),0,X69-AE69))</f>
        <v>0</v>
      </c>
    </row>
    <row r="70" spans="1:32" s="456" customFormat="1" ht="57.75" customHeight="1">
      <c r="A70" s="442">
        <f>IF(B70="","",SUBTOTAL(3,$B$6:B70))</f>
        <v>10</v>
      </c>
      <c r="B70" s="443" t="s">
        <v>1386</v>
      </c>
      <c r="C70" s="444" t="s">
        <v>1413</v>
      </c>
      <c r="D70" s="443" t="s">
        <v>1387</v>
      </c>
      <c r="E70" s="443" t="s">
        <v>63</v>
      </c>
      <c r="F70" s="443"/>
      <c r="G70" s="445" t="s">
        <v>1369</v>
      </c>
      <c r="H70" s="445"/>
      <c r="I70" s="460" t="s">
        <v>1456</v>
      </c>
      <c r="J70" s="446">
        <v>40269</v>
      </c>
      <c r="K70" s="446"/>
      <c r="L70" s="442">
        <v>1</v>
      </c>
      <c r="M70" s="443"/>
      <c r="N70" s="447">
        <v>212550</v>
      </c>
      <c r="O70" s="448">
        <f t="shared" si="2"/>
        <v>212550</v>
      </c>
      <c r="P70" s="449"/>
      <c r="Q70" s="447"/>
      <c r="R70" s="447"/>
      <c r="S70" s="447"/>
      <c r="T70" s="447"/>
      <c r="U70" s="450">
        <f>Table51013454[[#This Row],[العدد]]*Table51013454[[#This Row],[السعر الافرادي]]</f>
        <v>0</v>
      </c>
      <c r="V70" s="451">
        <f>Table51013454[[#This Row],[الكمية]]-Table51013454[[#This Row],[العدد]]</f>
        <v>1</v>
      </c>
      <c r="W70" s="447">
        <f>Table51013454[[#This Row],[سعر/الحبة]]</f>
        <v>212550</v>
      </c>
      <c r="X70" s="447">
        <f>Table51013454[[#This Row],[الإجمالي]]-Table51013454[[#This Row],[إجمالي المستبعد]]</f>
        <v>212550</v>
      </c>
      <c r="Y70" s="457">
        <v>0.2</v>
      </c>
      <c r="Z70" s="445"/>
      <c r="AA70" s="443" t="s">
        <v>1365</v>
      </c>
      <c r="AB70" s="453">
        <v>212550</v>
      </c>
      <c r="AC70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الشراء-الاستلام]]&lt;DATE(2017,1,1),O70-AB70,0))</f>
        <v>0</v>
      </c>
      <c r="AD70" s="454">
        <f>IF(OR(Table51013454[[#This Row],[تاريخ الشراء-الاستلام]]="",Table51013454[[#This Row],[الإجمالي]]="",Table51013454[[#This Row],[العمر الافتراضي]]=""),"",IF(AND(AB70&lt;X70,AC70&gt;(X70*Y70),DATE(2016,12,31)&gt;J70),X70*Y70,IF(AND(AB70&lt;X70,DATE(2017,12,31)&gt;J70,AC70&gt;(X70*Y70)),(DATE(2017,12,31)-J70)/((100%/Y70)*365)*X70,IF(AND(AB70&lt;X70,DATE(2017,12,31)&gt;J70,AC70=0),(DATE(2017,12,31)-J70)/((100%/Y70)*365)*X70,IF(AND(AB70&lt;X70,DATE(2017,12,31)&gt;J70,AC70&lt;(X70*Y70)),AC70,0)))))</f>
        <v>0</v>
      </c>
      <c r="AE70" s="453">
        <f>IF(OR(Table51013454[[#This Row],[تاريخ الشراء-الاستلام]]="",Table51013454[[#This Row],[الإجمالي]]="",Table51013454[[#This Row],[العمر الافتراضي]]=""),"",AB70+AD70)</f>
        <v>212550</v>
      </c>
      <c r="AF70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الشراء-الاستلام]]&gt;DATE(2017,12,31),0,X70-AE70))</f>
        <v>0</v>
      </c>
    </row>
    <row r="71" spans="1:32" s="456" customFormat="1" ht="57.75" customHeight="1">
      <c r="A71" s="442">
        <f>IF(B71="","",SUBTOTAL(3,$B$6:B71))</f>
        <v>11</v>
      </c>
      <c r="B71" s="443" t="s">
        <v>1453</v>
      </c>
      <c r="C71" s="444" t="s">
        <v>1413</v>
      </c>
      <c r="D71" s="443" t="s">
        <v>1387</v>
      </c>
      <c r="E71" s="443" t="s">
        <v>63</v>
      </c>
      <c r="F71" s="443"/>
      <c r="G71" s="445" t="s">
        <v>1369</v>
      </c>
      <c r="H71" s="445"/>
      <c r="I71" s="460" t="s">
        <v>1456</v>
      </c>
      <c r="J71" s="446">
        <v>40298</v>
      </c>
      <c r="K71" s="446"/>
      <c r="L71" s="442">
        <v>1</v>
      </c>
      <c r="M71" s="443"/>
      <c r="N71" s="447">
        <v>82000</v>
      </c>
      <c r="O71" s="448">
        <f t="shared" si="2"/>
        <v>82000</v>
      </c>
      <c r="P71" s="449"/>
      <c r="Q71" s="447"/>
      <c r="R71" s="447"/>
      <c r="S71" s="447"/>
      <c r="T71" s="447"/>
      <c r="U71" s="450">
        <f>Table51013454[[#This Row],[العدد]]*Table51013454[[#This Row],[السعر الافرادي]]</f>
        <v>0</v>
      </c>
      <c r="V71" s="451">
        <f>Table51013454[[#This Row],[الكمية]]-Table51013454[[#This Row],[العدد]]</f>
        <v>1</v>
      </c>
      <c r="W71" s="447">
        <f>Table51013454[[#This Row],[سعر/الحبة]]</f>
        <v>82000</v>
      </c>
      <c r="X71" s="447">
        <f>Table51013454[[#This Row],[الإجمالي]]-Table51013454[[#This Row],[إجمالي المستبعد]]</f>
        <v>82000</v>
      </c>
      <c r="Y71" s="457">
        <v>0.2</v>
      </c>
      <c r="Z71" s="445"/>
      <c r="AA71" s="443" t="s">
        <v>1365</v>
      </c>
      <c r="AB71" s="453">
        <v>82000</v>
      </c>
      <c r="AC71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الشراء-الاستلام]]&lt;DATE(2017,1,1),O71-AB71,0))</f>
        <v>0</v>
      </c>
      <c r="AD71" s="454">
        <f>IF(OR(Table51013454[[#This Row],[تاريخ الشراء-الاستلام]]="",Table51013454[[#This Row],[الإجمالي]]="",Table51013454[[#This Row],[العمر الافتراضي]]=""),"",IF(AND(AB71&lt;X71,AC71&gt;(X71*Y71),DATE(2016,12,31)&gt;J71),X71*Y71,IF(AND(AB71&lt;X71,DATE(2017,12,31)&gt;J71,AC71&gt;(X71*Y71)),(DATE(2017,12,31)-J71)/((100%/Y71)*365)*X71,IF(AND(AB71&lt;X71,DATE(2017,12,31)&gt;J71,AC71=0),(DATE(2017,12,31)-J71)/((100%/Y71)*365)*X71,IF(AND(AB71&lt;X71,DATE(2017,12,31)&gt;J71,AC71&lt;(X71*Y71)),AC71,0)))))</f>
        <v>0</v>
      </c>
      <c r="AE71" s="453">
        <f>IF(OR(Table51013454[[#This Row],[تاريخ الشراء-الاستلام]]="",Table51013454[[#This Row],[الإجمالي]]="",Table51013454[[#This Row],[العمر الافتراضي]]=""),"",AB71+AD71)</f>
        <v>82000</v>
      </c>
      <c r="AF71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الشراء-الاستلام]]&gt;DATE(2017,12,31),0,X71-AE71))</f>
        <v>0</v>
      </c>
    </row>
    <row r="72" spans="1:32" s="456" customFormat="1" ht="57.75" customHeight="1">
      <c r="A72" s="442">
        <f>IF(B72="","",SUBTOTAL(3,$B$6:B72))</f>
        <v>12</v>
      </c>
      <c r="B72" s="443" t="s">
        <v>1457</v>
      </c>
      <c r="C72" s="444" t="s">
        <v>1413</v>
      </c>
      <c r="D72" s="443" t="s">
        <v>1387</v>
      </c>
      <c r="E72" s="443" t="s">
        <v>64</v>
      </c>
      <c r="F72" s="460" t="s">
        <v>1458</v>
      </c>
      <c r="G72" s="445" t="s">
        <v>1369</v>
      </c>
      <c r="H72" s="445"/>
      <c r="I72" s="460" t="s">
        <v>1459</v>
      </c>
      <c r="J72" s="446">
        <v>40797</v>
      </c>
      <c r="K72" s="446"/>
      <c r="L72" s="442">
        <v>1</v>
      </c>
      <c r="M72" s="443"/>
      <c r="N72" s="447">
        <v>267763</v>
      </c>
      <c r="O72" s="448">
        <f t="shared" si="2"/>
        <v>267763</v>
      </c>
      <c r="P72" s="449"/>
      <c r="Q72" s="447"/>
      <c r="R72" s="447"/>
      <c r="S72" s="447"/>
      <c r="T72" s="447"/>
      <c r="U72" s="450">
        <f>Table51013454[[#This Row],[العدد]]*Table51013454[[#This Row],[السعر الافرادي]]</f>
        <v>0</v>
      </c>
      <c r="V72" s="451">
        <f>Table51013454[[#This Row],[الكمية]]-Table51013454[[#This Row],[العدد]]</f>
        <v>1</v>
      </c>
      <c r="W72" s="447">
        <f>Table51013454[[#This Row],[سعر/الحبة]]</f>
        <v>267763</v>
      </c>
      <c r="X72" s="447">
        <f>Table51013454[[#This Row],[الإجمالي]]-Table51013454[[#This Row],[إجمالي المستبعد]]</f>
        <v>267763</v>
      </c>
      <c r="Y72" s="457">
        <v>0.15</v>
      </c>
      <c r="Z72" s="445"/>
      <c r="AA72" s="443" t="s">
        <v>1365</v>
      </c>
      <c r="AB72" s="453">
        <v>213146.68397260271</v>
      </c>
      <c r="AC72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الشراء-الاستلام]]&lt;DATE(2017,1,1),O72-AB72,0))</f>
        <v>54616.31602739729</v>
      </c>
      <c r="AD72" s="454">
        <f>IF(OR(Table51013454[[#This Row],[تاريخ الشراء-الاستلام]]="",Table51013454[[#This Row],[الإجمالي]]="",Table51013454[[#This Row],[العمر الافتراضي]]=""),"",IF(AND(AB72&lt;X72,AC72&gt;(X72*Y72),DATE(2016,12,31)&gt;J72),X72*Y72,IF(AND(AB72&lt;X72,DATE(2017,12,31)&gt;J72,AC72&gt;(X72*Y72)),(DATE(2017,12,31)-J72)/((100%/Y72)*365)*X72,IF(AND(AB72&lt;X72,DATE(2017,12,31)&gt;J72,AC72=0),(DATE(2017,12,31)-J72)/((100%/Y72)*365)*X72,IF(AND(AB72&lt;X72,DATE(2017,12,31)&gt;J72,AC72&lt;(X72*Y72)),AC72,0)))))</f>
        <v>40164.449999999997</v>
      </c>
      <c r="AE72" s="453">
        <f>IF(OR(Table51013454[[#This Row],[تاريخ الشراء-الاستلام]]="",Table51013454[[#This Row],[الإجمالي]]="",Table51013454[[#This Row],[العمر الافتراضي]]=""),"",AB72+AD72)</f>
        <v>253311.13397260272</v>
      </c>
      <c r="AF72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الشراء-الاستلام]]&gt;DATE(2017,12,31),0,X72-AE72))</f>
        <v>14451.866027397278</v>
      </c>
    </row>
    <row r="73" spans="1:32" s="456" customFormat="1" ht="57.75" customHeight="1">
      <c r="A73" s="442">
        <f>IF(B73="","",SUBTOTAL(3,$B$6:B73))</f>
        <v>13</v>
      </c>
      <c r="B73" s="443" t="s">
        <v>1460</v>
      </c>
      <c r="C73" s="444" t="s">
        <v>1413</v>
      </c>
      <c r="D73" s="443" t="s">
        <v>1387</v>
      </c>
      <c r="E73" s="443" t="s">
        <v>64</v>
      </c>
      <c r="F73" s="460" t="s">
        <v>1458</v>
      </c>
      <c r="G73" s="445" t="s">
        <v>1369</v>
      </c>
      <c r="H73" s="445"/>
      <c r="I73" s="460" t="s">
        <v>1459</v>
      </c>
      <c r="J73" s="446">
        <v>41028</v>
      </c>
      <c r="K73" s="446"/>
      <c r="L73" s="442">
        <v>1</v>
      </c>
      <c r="M73" s="443"/>
      <c r="N73" s="447">
        <v>79269</v>
      </c>
      <c r="O73" s="448">
        <f t="shared" si="2"/>
        <v>79269</v>
      </c>
      <c r="P73" s="449"/>
      <c r="Q73" s="447"/>
      <c r="R73" s="447"/>
      <c r="S73" s="447"/>
      <c r="T73" s="447"/>
      <c r="U73" s="450">
        <f>Table51013454[[#This Row],[العدد]]*Table51013454[[#This Row],[السعر الافرادي]]</f>
        <v>0</v>
      </c>
      <c r="V73" s="451">
        <f>Table51013454[[#This Row],[الكمية]]-Table51013454[[#This Row],[العدد]]</f>
        <v>1</v>
      </c>
      <c r="W73" s="447">
        <f>Table51013454[[#This Row],[سعر/الحبة]]</f>
        <v>79269</v>
      </c>
      <c r="X73" s="447">
        <f>Table51013454[[#This Row],[الإجمالي]]-Table51013454[[#This Row],[إجمالي المستبعد]]</f>
        <v>79269</v>
      </c>
      <c r="Y73" s="457">
        <v>0.15</v>
      </c>
      <c r="Z73" s="445"/>
      <c r="AA73" s="443" t="s">
        <v>1365</v>
      </c>
      <c r="AB73" s="453">
        <v>55575.170136986293</v>
      </c>
      <c r="AC73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الشراء-الاستلام]]&lt;DATE(2017,1,1),O73-AB73,0))</f>
        <v>23693.829863013707</v>
      </c>
      <c r="AD73" s="454">
        <f>IF(OR(Table51013454[[#This Row],[تاريخ الشراء-الاستلام]]="",Table51013454[[#This Row],[الإجمالي]]="",Table51013454[[#This Row],[العمر الافتراضي]]=""),"",IF(AND(AB73&lt;X73,AC73&gt;(X73*Y73),DATE(2016,12,31)&gt;J73),X73*Y73,IF(AND(AB73&lt;X73,DATE(2017,12,31)&gt;J73,AC73&gt;(X73*Y73)),(DATE(2017,12,31)-J73)/((100%/Y73)*365)*X73,IF(AND(AB73&lt;X73,DATE(2017,12,31)&gt;J73,AC73=0),(DATE(2017,12,31)-J73)/((100%/Y73)*365)*X73,IF(AND(AB73&lt;X73,DATE(2017,12,31)&gt;J73,AC73&lt;(X73*Y73)),AC73,0)))))</f>
        <v>11890.35</v>
      </c>
      <c r="AE73" s="453">
        <f>IF(OR(Table51013454[[#This Row],[تاريخ الشراء-الاستلام]]="",Table51013454[[#This Row],[الإجمالي]]="",Table51013454[[#This Row],[العمر الافتراضي]]=""),"",AB73+AD73)</f>
        <v>67465.520136986292</v>
      </c>
      <c r="AF73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الشراء-الاستلام]]&gt;DATE(2017,12,31),0,X73-AE73))</f>
        <v>11803.479863013708</v>
      </c>
    </row>
    <row r="74" spans="1:32" s="456" customFormat="1" ht="57.75" customHeight="1">
      <c r="A74" s="442">
        <f>IF(B74="","",SUBTOTAL(3,$B$6:B74))</f>
        <v>14</v>
      </c>
      <c r="B74" s="443" t="s">
        <v>1461</v>
      </c>
      <c r="C74" s="444" t="s">
        <v>1413</v>
      </c>
      <c r="D74" s="443" t="s">
        <v>1387</v>
      </c>
      <c r="E74" s="443" t="s">
        <v>64</v>
      </c>
      <c r="F74" s="460" t="s">
        <v>1458</v>
      </c>
      <c r="G74" s="445" t="s">
        <v>1369</v>
      </c>
      <c r="H74" s="445"/>
      <c r="I74" s="460" t="s">
        <v>1459</v>
      </c>
      <c r="J74" s="446">
        <v>40806</v>
      </c>
      <c r="K74" s="446"/>
      <c r="L74" s="442">
        <v>1</v>
      </c>
      <c r="M74" s="443"/>
      <c r="N74" s="447">
        <v>1500</v>
      </c>
      <c r="O74" s="448">
        <f t="shared" si="2"/>
        <v>1500</v>
      </c>
      <c r="P74" s="449"/>
      <c r="Q74" s="447"/>
      <c r="R74" s="447"/>
      <c r="S74" s="447"/>
      <c r="T74" s="447"/>
      <c r="U74" s="450">
        <f>Table51013454[[#This Row],[العدد]]*Table51013454[[#This Row],[السعر الافرادي]]</f>
        <v>0</v>
      </c>
      <c r="V74" s="451">
        <f>Table51013454[[#This Row],[الكمية]]-Table51013454[[#This Row],[العدد]]</f>
        <v>1</v>
      </c>
      <c r="W74" s="447">
        <f>Table51013454[[#This Row],[سعر/الحبة]]</f>
        <v>1500</v>
      </c>
      <c r="X74" s="447">
        <f>Table51013454[[#This Row],[الإجمالي]]-Table51013454[[#This Row],[إجمالي المستبعد]]</f>
        <v>1500</v>
      </c>
      <c r="Y74" s="457">
        <v>0.15</v>
      </c>
      <c r="Z74" s="445"/>
      <c r="AA74" s="443" t="s">
        <v>1365</v>
      </c>
      <c r="AB74" s="453">
        <v>1188.4931506849314</v>
      </c>
      <c r="AC74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الشراء-الاستلام]]&lt;DATE(2017,1,1),O74-AB74,0))</f>
        <v>311.50684931506862</v>
      </c>
      <c r="AD74" s="454">
        <f>IF(OR(Table51013454[[#This Row],[تاريخ الشراء-الاستلام]]="",Table51013454[[#This Row],[الإجمالي]]="",Table51013454[[#This Row],[العمر الافتراضي]]=""),"",IF(AND(AB74&lt;X74,AC74&gt;(X74*Y74),DATE(2016,12,31)&gt;J74),X74*Y74,IF(AND(AB74&lt;X74,DATE(2017,12,31)&gt;J74,AC74&gt;(X74*Y74)),(DATE(2017,12,31)-J74)/((100%/Y74)*365)*X74,IF(AND(AB74&lt;X74,DATE(2017,12,31)&gt;J74,AC74=0),(DATE(2017,12,31)-J74)/((100%/Y74)*365)*X74,IF(AND(AB74&lt;X74,DATE(2017,12,31)&gt;J74,AC74&lt;(X74*Y74)),AC74,0)))))</f>
        <v>225</v>
      </c>
      <c r="AE74" s="453">
        <f>IF(OR(Table51013454[[#This Row],[تاريخ الشراء-الاستلام]]="",Table51013454[[#This Row],[الإجمالي]]="",Table51013454[[#This Row],[العمر الافتراضي]]=""),"",AB74+AD74)</f>
        <v>1413.4931506849314</v>
      </c>
      <c r="AF74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الشراء-الاستلام]]&gt;DATE(2017,12,31),0,X74-AE74))</f>
        <v>86.506849315068621</v>
      </c>
    </row>
    <row r="75" spans="1:32" s="456" customFormat="1" ht="57.75" customHeight="1">
      <c r="A75" s="442">
        <f>IF(B75="","",SUBTOTAL(3,$B$6:B75))</f>
        <v>15</v>
      </c>
      <c r="B75" s="443" t="s">
        <v>1460</v>
      </c>
      <c r="C75" s="444" t="s">
        <v>1413</v>
      </c>
      <c r="D75" s="443" t="s">
        <v>1387</v>
      </c>
      <c r="E75" s="443" t="s">
        <v>1462</v>
      </c>
      <c r="F75" s="443"/>
      <c r="G75" s="445" t="s">
        <v>1369</v>
      </c>
      <c r="H75" s="445"/>
      <c r="I75" s="460" t="s">
        <v>1463</v>
      </c>
      <c r="J75" s="446">
        <v>40756</v>
      </c>
      <c r="K75" s="446"/>
      <c r="L75" s="442">
        <v>1</v>
      </c>
      <c r="M75" s="443"/>
      <c r="N75" s="447">
        <v>305000</v>
      </c>
      <c r="O75" s="448">
        <f t="shared" si="2"/>
        <v>305000</v>
      </c>
      <c r="P75" s="449"/>
      <c r="Q75" s="447"/>
      <c r="R75" s="447"/>
      <c r="S75" s="447"/>
      <c r="T75" s="447"/>
      <c r="U75" s="450">
        <f>Table51013454[[#This Row],[العدد]]*Table51013454[[#This Row],[السعر الافرادي]]</f>
        <v>0</v>
      </c>
      <c r="V75" s="451">
        <f>Table51013454[[#This Row],[الكمية]]-Table51013454[[#This Row],[العدد]]</f>
        <v>1</v>
      </c>
      <c r="W75" s="447">
        <f>Table51013454[[#This Row],[سعر/الحبة]]</f>
        <v>305000</v>
      </c>
      <c r="X75" s="447">
        <f>Table51013454[[#This Row],[الإجمالي]]-Table51013454[[#This Row],[إجمالي المستبعد]]</f>
        <v>305000</v>
      </c>
      <c r="Y75" s="457">
        <v>0.15</v>
      </c>
      <c r="Z75" s="445"/>
      <c r="AA75" s="443" t="s">
        <v>1365</v>
      </c>
      <c r="AB75" s="453">
        <v>247927.39726027395</v>
      </c>
      <c r="AC75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الشراء-الاستلام]]&lt;DATE(2017,1,1),O75-AB75,0))</f>
        <v>57072.602739726048</v>
      </c>
      <c r="AD75" s="454">
        <f>IF(OR(Table51013454[[#This Row],[تاريخ الشراء-الاستلام]]="",Table51013454[[#This Row],[الإجمالي]]="",Table51013454[[#This Row],[العمر الافتراضي]]=""),"",IF(AND(AB75&lt;X75,AC75&gt;(X75*Y75),DATE(2016,12,31)&gt;J75),X75*Y75,IF(AND(AB75&lt;X75,DATE(2017,12,31)&gt;J75,AC75&gt;(X75*Y75)),(DATE(2017,12,31)-J75)/((100%/Y75)*365)*X75,IF(AND(AB75&lt;X75,DATE(2017,12,31)&gt;J75,AC75=0),(DATE(2017,12,31)-J75)/((100%/Y75)*365)*X75,IF(AND(AB75&lt;X75,DATE(2017,12,31)&gt;J75,AC75&lt;(X75*Y75)),AC75,0)))))</f>
        <v>45750</v>
      </c>
      <c r="AE75" s="453">
        <f>IF(OR(Table51013454[[#This Row],[تاريخ الشراء-الاستلام]]="",Table51013454[[#This Row],[الإجمالي]]="",Table51013454[[#This Row],[العمر الافتراضي]]=""),"",AB75+AD75)</f>
        <v>293677.39726027392</v>
      </c>
      <c r="AF75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الشراء-الاستلام]]&gt;DATE(2017,12,31),0,X75-AE75))</f>
        <v>11322.602739726077</v>
      </c>
    </row>
    <row r="76" spans="1:32" s="456" customFormat="1" ht="57.75" customHeight="1">
      <c r="A76" s="442">
        <f>IF(B76="","",SUBTOTAL(3,$B$6:B76))</f>
        <v>16</v>
      </c>
      <c r="B76" s="443" t="s">
        <v>1386</v>
      </c>
      <c r="C76" s="444" t="s">
        <v>1413</v>
      </c>
      <c r="D76" s="443" t="s">
        <v>1387</v>
      </c>
      <c r="E76" s="443" t="s">
        <v>64</v>
      </c>
      <c r="F76" s="443" t="s">
        <v>1388</v>
      </c>
      <c r="G76" s="445" t="s">
        <v>1369</v>
      </c>
      <c r="H76" s="445"/>
      <c r="I76" s="460" t="s">
        <v>1464</v>
      </c>
      <c r="J76" s="446">
        <v>40904</v>
      </c>
      <c r="K76" s="446"/>
      <c r="L76" s="442">
        <v>1</v>
      </c>
      <c r="M76" s="443"/>
      <c r="N76" s="447">
        <v>243070</v>
      </c>
      <c r="O76" s="448">
        <f t="shared" si="2"/>
        <v>243070</v>
      </c>
      <c r="P76" s="449"/>
      <c r="Q76" s="447"/>
      <c r="R76" s="447"/>
      <c r="S76" s="447"/>
      <c r="T76" s="447"/>
      <c r="U76" s="450">
        <f>Table51013454[[#This Row],[العدد]]*Table51013454[[#This Row],[السعر الافرادي]]</f>
        <v>0</v>
      </c>
      <c r="V76" s="451">
        <f>Table51013454[[#This Row],[الكمية]]-Table51013454[[#This Row],[العدد]]</f>
        <v>1</v>
      </c>
      <c r="W76" s="447">
        <f>Table51013454[[#This Row],[سعر/الحبة]]</f>
        <v>243070</v>
      </c>
      <c r="X76" s="447">
        <f>Table51013454[[#This Row],[الإجمالي]]-Table51013454[[#This Row],[إجمالي المستبعد]]</f>
        <v>243070</v>
      </c>
      <c r="Y76" s="457">
        <v>0.15</v>
      </c>
      <c r="Z76" s="445"/>
      <c r="AA76" s="443" t="s">
        <v>1365</v>
      </c>
      <c r="AB76" s="453">
        <v>182801.95890410958</v>
      </c>
      <c r="AC76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الشراء-الاستلام]]&lt;DATE(2017,1,1),O76-AB76,0))</f>
        <v>60268.041095890425</v>
      </c>
      <c r="AD76" s="454">
        <f>IF(OR(Table51013454[[#This Row],[تاريخ الشراء-الاستلام]]="",Table51013454[[#This Row],[الإجمالي]]="",Table51013454[[#This Row],[العمر الافتراضي]]=""),"",IF(AND(AB76&lt;X76,AC76&gt;(X76*Y76),DATE(2016,12,31)&gt;J76),X76*Y76,IF(AND(AB76&lt;X76,DATE(2017,12,31)&gt;J76,AC76&gt;(X76*Y76)),(DATE(2017,12,31)-J76)/((100%/Y76)*365)*X76,IF(AND(AB76&lt;X76,DATE(2017,12,31)&gt;J76,AC76=0),(DATE(2017,12,31)-J76)/((100%/Y76)*365)*X76,IF(AND(AB76&lt;X76,DATE(2017,12,31)&gt;J76,AC76&lt;(X76*Y76)),AC76,0)))))</f>
        <v>36460.5</v>
      </c>
      <c r="AE76" s="453">
        <f>IF(OR(Table51013454[[#This Row],[تاريخ الشراء-الاستلام]]="",Table51013454[[#This Row],[الإجمالي]]="",Table51013454[[#This Row],[العمر الافتراضي]]=""),"",AB76+AD76)</f>
        <v>219262.45890410958</v>
      </c>
      <c r="AF76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الشراء-الاستلام]]&gt;DATE(2017,12,31),0,X76-AE76))</f>
        <v>23807.541095890425</v>
      </c>
    </row>
    <row r="77" spans="1:32" s="456" customFormat="1" ht="57.75" customHeight="1">
      <c r="A77" s="442">
        <f>IF(B77="","",SUBTOTAL(3,$B$6:B77))</f>
        <v>17</v>
      </c>
      <c r="B77" s="443" t="s">
        <v>1465</v>
      </c>
      <c r="C77" s="444" t="s">
        <v>1413</v>
      </c>
      <c r="D77" s="443" t="s">
        <v>1387</v>
      </c>
      <c r="E77" s="443" t="s">
        <v>64</v>
      </c>
      <c r="F77" s="443" t="s">
        <v>1388</v>
      </c>
      <c r="G77" s="445" t="s">
        <v>1369</v>
      </c>
      <c r="H77" s="445"/>
      <c r="I77" s="460" t="s">
        <v>1464</v>
      </c>
      <c r="J77" s="446">
        <v>40904</v>
      </c>
      <c r="K77" s="446"/>
      <c r="L77" s="442">
        <v>1</v>
      </c>
      <c r="M77" s="443"/>
      <c r="N77" s="447">
        <v>93000</v>
      </c>
      <c r="O77" s="448">
        <f t="shared" si="2"/>
        <v>93000</v>
      </c>
      <c r="P77" s="449"/>
      <c r="Q77" s="447"/>
      <c r="R77" s="447"/>
      <c r="S77" s="447"/>
      <c r="T77" s="447"/>
      <c r="U77" s="450">
        <f>Table51013454[[#This Row],[العدد]]*Table51013454[[#This Row],[السعر الافرادي]]</f>
        <v>0</v>
      </c>
      <c r="V77" s="451">
        <f>Table51013454[[#This Row],[الكمية]]-Table51013454[[#This Row],[العدد]]</f>
        <v>1</v>
      </c>
      <c r="W77" s="447">
        <f>Table51013454[[#This Row],[سعر/الحبة]]</f>
        <v>93000</v>
      </c>
      <c r="X77" s="447">
        <f>Table51013454[[#This Row],[الإجمالي]]-Table51013454[[#This Row],[إجمالي المستبعد]]</f>
        <v>93000</v>
      </c>
      <c r="Y77" s="457">
        <v>0.15</v>
      </c>
      <c r="Z77" s="445"/>
      <c r="AA77" s="443" t="s">
        <v>1365</v>
      </c>
      <c r="AB77" s="453">
        <v>69941.095890410958</v>
      </c>
      <c r="AC77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الشراء-الاستلام]]&lt;DATE(2017,1,1),O77-AB77,0))</f>
        <v>23058.904109589042</v>
      </c>
      <c r="AD77" s="454">
        <f>IF(OR(Table51013454[[#This Row],[تاريخ الشراء-الاستلام]]="",Table51013454[[#This Row],[الإجمالي]]="",Table51013454[[#This Row],[العمر الافتراضي]]=""),"",IF(AND(AB77&lt;X77,AC77&gt;(X77*Y77),DATE(2016,12,31)&gt;J77),X77*Y77,IF(AND(AB77&lt;X77,DATE(2017,12,31)&gt;J77,AC77&gt;(X77*Y77)),(DATE(2017,12,31)-J77)/((100%/Y77)*365)*X77,IF(AND(AB77&lt;X77,DATE(2017,12,31)&gt;J77,AC77=0),(DATE(2017,12,31)-J77)/((100%/Y77)*365)*X77,IF(AND(AB77&lt;X77,DATE(2017,12,31)&gt;J77,AC77&lt;(X77*Y77)),AC77,0)))))</f>
        <v>13950</v>
      </c>
      <c r="AE77" s="453">
        <f>IF(OR(Table51013454[[#This Row],[تاريخ الشراء-الاستلام]]="",Table51013454[[#This Row],[الإجمالي]]="",Table51013454[[#This Row],[العمر الافتراضي]]=""),"",AB77+AD77)</f>
        <v>83891.095890410958</v>
      </c>
      <c r="AF77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الشراء-الاستلام]]&gt;DATE(2017,12,31),0,X77-AE77))</f>
        <v>9108.9041095890425</v>
      </c>
    </row>
    <row r="78" spans="1:32" s="456" customFormat="1" ht="57.75" customHeight="1">
      <c r="A78" s="442">
        <f>IF(B78="","",SUBTOTAL(3,$B$6:B78))</f>
        <v>18</v>
      </c>
      <c r="B78" s="443" t="s">
        <v>1386</v>
      </c>
      <c r="C78" s="444" t="s">
        <v>1413</v>
      </c>
      <c r="D78" s="443" t="s">
        <v>1387</v>
      </c>
      <c r="E78" s="443" t="s">
        <v>63</v>
      </c>
      <c r="F78" s="443"/>
      <c r="G78" s="445" t="s">
        <v>1369</v>
      </c>
      <c r="H78" s="445"/>
      <c r="I78" s="460" t="s">
        <v>1466</v>
      </c>
      <c r="J78" s="446">
        <v>41091</v>
      </c>
      <c r="K78" s="446"/>
      <c r="L78" s="442">
        <v>1</v>
      </c>
      <c r="M78" s="443"/>
      <c r="N78" s="447">
        <v>245826</v>
      </c>
      <c r="O78" s="448">
        <f t="shared" si="2"/>
        <v>245826</v>
      </c>
      <c r="P78" s="449"/>
      <c r="Q78" s="447"/>
      <c r="R78" s="447"/>
      <c r="S78" s="447"/>
      <c r="T78" s="447"/>
      <c r="U78" s="450">
        <f>Table51013454[[#This Row],[العدد]]*Table51013454[[#This Row],[السعر الافرادي]]</f>
        <v>0</v>
      </c>
      <c r="V78" s="451">
        <f>Table51013454[[#This Row],[الكمية]]-Table51013454[[#This Row],[العدد]]</f>
        <v>1</v>
      </c>
      <c r="W78" s="447">
        <f>Table51013454[[#This Row],[سعر/الحبة]]</f>
        <v>245826</v>
      </c>
      <c r="X78" s="447">
        <f>Table51013454[[#This Row],[الإجمالي]]-Table51013454[[#This Row],[إجمالي المستبعد]]</f>
        <v>245826</v>
      </c>
      <c r="Y78" s="457">
        <v>0.15</v>
      </c>
      <c r="Z78" s="445"/>
      <c r="AA78" s="443" t="s">
        <v>1365</v>
      </c>
      <c r="AB78" s="453">
        <v>165983.06219178083</v>
      </c>
      <c r="AC78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الشراء-الاستلام]]&lt;DATE(2017,1,1),O78-AB78,0))</f>
        <v>79842.937808219169</v>
      </c>
      <c r="AD78" s="454">
        <f>IF(OR(Table51013454[[#This Row],[تاريخ الشراء-الاستلام]]="",Table51013454[[#This Row],[الإجمالي]]="",Table51013454[[#This Row],[العمر الافتراضي]]=""),"",IF(AND(AB78&lt;X78,AC78&gt;(X78*Y78),DATE(2016,12,31)&gt;J78),X78*Y78,IF(AND(AB78&lt;X78,DATE(2017,12,31)&gt;J78,AC78&gt;(X78*Y78)),(DATE(2017,12,31)-J78)/((100%/Y78)*365)*X78,IF(AND(AB78&lt;X78,DATE(2017,12,31)&gt;J78,AC78=0),(DATE(2017,12,31)-J78)/((100%/Y78)*365)*X78,IF(AND(AB78&lt;X78,DATE(2017,12,31)&gt;J78,AC78&lt;(X78*Y78)),AC78,0)))))</f>
        <v>36873.9</v>
      </c>
      <c r="AE78" s="453">
        <f>IF(OR(Table51013454[[#This Row],[تاريخ الشراء-الاستلام]]="",Table51013454[[#This Row],[الإجمالي]]="",Table51013454[[#This Row],[العمر الافتراضي]]=""),"",AB78+AD78)</f>
        <v>202856.96219178083</v>
      </c>
      <c r="AF78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الشراء-الاستلام]]&gt;DATE(2017,12,31),0,X78-AE78))</f>
        <v>42969.037808219175</v>
      </c>
    </row>
    <row r="79" spans="1:32" s="456" customFormat="1" ht="57.75" customHeight="1">
      <c r="A79" s="442">
        <f>IF(B79="","",SUBTOTAL(3,$B$6:B79))</f>
        <v>19</v>
      </c>
      <c r="B79" s="443" t="s">
        <v>1465</v>
      </c>
      <c r="C79" s="444" t="s">
        <v>1413</v>
      </c>
      <c r="D79" s="443" t="s">
        <v>1387</v>
      </c>
      <c r="E79" s="443" t="s">
        <v>63</v>
      </c>
      <c r="F79" s="443"/>
      <c r="G79" s="445" t="s">
        <v>1369</v>
      </c>
      <c r="H79" s="445"/>
      <c r="I79" s="460" t="s">
        <v>1466</v>
      </c>
      <c r="J79" s="446">
        <v>41265</v>
      </c>
      <c r="K79" s="446"/>
      <c r="L79" s="442">
        <v>1</v>
      </c>
      <c r="M79" s="443"/>
      <c r="N79" s="447">
        <v>93000</v>
      </c>
      <c r="O79" s="448">
        <f t="shared" si="2"/>
        <v>93000</v>
      </c>
      <c r="P79" s="449"/>
      <c r="Q79" s="447"/>
      <c r="R79" s="447"/>
      <c r="S79" s="447"/>
      <c r="T79" s="447"/>
      <c r="U79" s="450">
        <f>Table51013454[[#This Row],[العدد]]*Table51013454[[#This Row],[السعر الافرادي]]</f>
        <v>0</v>
      </c>
      <c r="V79" s="451">
        <f>Table51013454[[#This Row],[الكمية]]-Table51013454[[#This Row],[العدد]]</f>
        <v>1</v>
      </c>
      <c r="W79" s="447">
        <f>Table51013454[[#This Row],[سعر/الحبة]]</f>
        <v>93000</v>
      </c>
      <c r="X79" s="447">
        <f>Table51013454[[#This Row],[الإجمالي]]-Table51013454[[#This Row],[إجمالي المستبعد]]</f>
        <v>93000</v>
      </c>
      <c r="Y79" s="457">
        <v>0.15</v>
      </c>
      <c r="Z79" s="445"/>
      <c r="AA79" s="443" t="s">
        <v>1365</v>
      </c>
      <c r="AB79" s="453">
        <v>56143.972602739726</v>
      </c>
      <c r="AC79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الشراء-الاستلام]]&lt;DATE(2017,1,1),O79-AB79,0))</f>
        <v>36856.027397260274</v>
      </c>
      <c r="AD79" s="454">
        <f>IF(OR(Table51013454[[#This Row],[تاريخ الشراء-الاستلام]]="",Table51013454[[#This Row],[الإجمالي]]="",Table51013454[[#This Row],[العمر الافتراضي]]=""),"",IF(AND(AB79&lt;X79,AC79&gt;(X79*Y79),DATE(2016,12,31)&gt;J79),X79*Y79,IF(AND(AB79&lt;X79,DATE(2017,12,31)&gt;J79,AC79&gt;(X79*Y79)),(DATE(2017,12,31)-J79)/((100%/Y79)*365)*X79,IF(AND(AB79&lt;X79,DATE(2017,12,31)&gt;J79,AC79=0),(DATE(2017,12,31)-J79)/((100%/Y79)*365)*X79,IF(AND(AB79&lt;X79,DATE(2017,12,31)&gt;J79,AC79&lt;(X79*Y79)),AC79,0)))))</f>
        <v>13950</v>
      </c>
      <c r="AE79" s="453">
        <f>IF(OR(Table51013454[[#This Row],[تاريخ الشراء-الاستلام]]="",Table51013454[[#This Row],[الإجمالي]]="",Table51013454[[#This Row],[العمر الافتراضي]]=""),"",AB79+AD79)</f>
        <v>70093.972602739726</v>
      </c>
      <c r="AF79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الشراء-الاستلام]]&gt;DATE(2017,12,31),0,X79-AE79))</f>
        <v>22906.027397260274</v>
      </c>
    </row>
    <row r="80" spans="1:32" s="456" customFormat="1" ht="57.75" customHeight="1">
      <c r="A80" s="442">
        <f>IF(B80="","",SUBTOTAL(3,$B$6:B80))</f>
        <v>20</v>
      </c>
      <c r="B80" s="443" t="s">
        <v>1386</v>
      </c>
      <c r="C80" s="444" t="s">
        <v>1413</v>
      </c>
      <c r="D80" s="443" t="s">
        <v>1387</v>
      </c>
      <c r="E80" s="443" t="s">
        <v>64</v>
      </c>
      <c r="F80" s="443" t="s">
        <v>1388</v>
      </c>
      <c r="G80" s="445" t="s">
        <v>1369</v>
      </c>
      <c r="H80" s="445"/>
      <c r="I80" s="460" t="s">
        <v>1467</v>
      </c>
      <c r="J80" s="446">
        <v>41091</v>
      </c>
      <c r="K80" s="446"/>
      <c r="L80" s="442">
        <v>1</v>
      </c>
      <c r="M80" s="443"/>
      <c r="N80" s="447">
        <v>245826</v>
      </c>
      <c r="O80" s="448">
        <f t="shared" si="2"/>
        <v>245826</v>
      </c>
      <c r="P80" s="449"/>
      <c r="Q80" s="447"/>
      <c r="R80" s="447"/>
      <c r="S80" s="447"/>
      <c r="T80" s="447"/>
      <c r="U80" s="450">
        <f>Table51013454[[#This Row],[العدد]]*Table51013454[[#This Row],[السعر الافرادي]]</f>
        <v>0</v>
      </c>
      <c r="V80" s="451">
        <f>Table51013454[[#This Row],[الكمية]]-Table51013454[[#This Row],[العدد]]</f>
        <v>1</v>
      </c>
      <c r="W80" s="447">
        <f>Table51013454[[#This Row],[سعر/الحبة]]</f>
        <v>245826</v>
      </c>
      <c r="X80" s="447">
        <f>Table51013454[[#This Row],[الإجمالي]]-Table51013454[[#This Row],[إجمالي المستبعد]]</f>
        <v>245826</v>
      </c>
      <c r="Y80" s="457">
        <v>0.15</v>
      </c>
      <c r="Z80" s="445"/>
      <c r="AA80" s="443" t="s">
        <v>1365</v>
      </c>
      <c r="AB80" s="453">
        <v>165983.06219178083</v>
      </c>
      <c r="AC80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الشراء-الاستلام]]&lt;DATE(2017,1,1),O80-AB80,0))</f>
        <v>79842.937808219169</v>
      </c>
      <c r="AD80" s="454">
        <f>IF(OR(Table51013454[[#This Row],[تاريخ الشراء-الاستلام]]="",Table51013454[[#This Row],[الإجمالي]]="",Table51013454[[#This Row],[العمر الافتراضي]]=""),"",IF(AND(AB80&lt;X80,AC80&gt;(X80*Y80),DATE(2016,12,31)&gt;J80),X80*Y80,IF(AND(AB80&lt;X80,DATE(2017,12,31)&gt;J80,AC80&gt;(X80*Y80)),(DATE(2017,12,31)-J80)/((100%/Y80)*365)*X80,IF(AND(AB80&lt;X80,DATE(2017,12,31)&gt;J80,AC80=0),(DATE(2017,12,31)-J80)/((100%/Y80)*365)*X80,IF(AND(AB80&lt;X80,DATE(2017,12,31)&gt;J80,AC80&lt;(X80*Y80)),AC80,0)))))</f>
        <v>36873.9</v>
      </c>
      <c r="AE80" s="453">
        <f>IF(OR(Table51013454[[#This Row],[تاريخ الشراء-الاستلام]]="",Table51013454[[#This Row],[الإجمالي]]="",Table51013454[[#This Row],[العمر الافتراضي]]=""),"",AB80+AD80)</f>
        <v>202856.96219178083</v>
      </c>
      <c r="AF80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الشراء-الاستلام]]&gt;DATE(2017,12,31),0,X80-AE80))</f>
        <v>42969.037808219175</v>
      </c>
    </row>
    <row r="81" spans="1:32" s="456" customFormat="1" ht="57.75" customHeight="1">
      <c r="A81" s="442">
        <f>IF(B81="","",SUBTOTAL(3,$B$6:B81))</f>
        <v>21</v>
      </c>
      <c r="B81" s="443" t="s">
        <v>1465</v>
      </c>
      <c r="C81" s="444" t="s">
        <v>1413</v>
      </c>
      <c r="D81" s="443" t="s">
        <v>1387</v>
      </c>
      <c r="E81" s="443" t="s">
        <v>64</v>
      </c>
      <c r="F81" s="443" t="s">
        <v>1388</v>
      </c>
      <c r="G81" s="445" t="s">
        <v>1369</v>
      </c>
      <c r="H81" s="445"/>
      <c r="I81" s="460" t="s">
        <v>1467</v>
      </c>
      <c r="J81" s="446">
        <v>41265</v>
      </c>
      <c r="K81" s="446"/>
      <c r="L81" s="442">
        <v>1</v>
      </c>
      <c r="M81" s="443"/>
      <c r="N81" s="447">
        <v>93000</v>
      </c>
      <c r="O81" s="448">
        <f t="shared" si="2"/>
        <v>93000</v>
      </c>
      <c r="P81" s="449"/>
      <c r="Q81" s="447"/>
      <c r="R81" s="447"/>
      <c r="S81" s="447"/>
      <c r="T81" s="447"/>
      <c r="U81" s="450">
        <f>Table51013454[[#This Row],[العدد]]*Table51013454[[#This Row],[السعر الافرادي]]</f>
        <v>0</v>
      </c>
      <c r="V81" s="451">
        <f>Table51013454[[#This Row],[الكمية]]-Table51013454[[#This Row],[العدد]]</f>
        <v>1</v>
      </c>
      <c r="W81" s="447">
        <f>Table51013454[[#This Row],[سعر/الحبة]]</f>
        <v>93000</v>
      </c>
      <c r="X81" s="447">
        <f>Table51013454[[#This Row],[الإجمالي]]-Table51013454[[#This Row],[إجمالي المستبعد]]</f>
        <v>93000</v>
      </c>
      <c r="Y81" s="457">
        <v>0.15</v>
      </c>
      <c r="Z81" s="445"/>
      <c r="AA81" s="443" t="s">
        <v>1365</v>
      </c>
      <c r="AB81" s="453">
        <v>56143.972602739726</v>
      </c>
      <c r="AC81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الشراء-الاستلام]]&lt;DATE(2017,1,1),O81-AB81,0))</f>
        <v>36856.027397260274</v>
      </c>
      <c r="AD81" s="454">
        <f>IF(OR(Table51013454[[#This Row],[تاريخ الشراء-الاستلام]]="",Table51013454[[#This Row],[الإجمالي]]="",Table51013454[[#This Row],[العمر الافتراضي]]=""),"",IF(AND(AB81&lt;X81,AC81&gt;(X81*Y81),DATE(2016,12,31)&gt;J81),X81*Y81,IF(AND(AB81&lt;X81,DATE(2017,12,31)&gt;J81,AC81&gt;(X81*Y81)),(DATE(2017,12,31)-J81)/((100%/Y81)*365)*X81,IF(AND(AB81&lt;X81,DATE(2017,12,31)&gt;J81,AC81=0),(DATE(2017,12,31)-J81)/((100%/Y81)*365)*X81,IF(AND(AB81&lt;X81,DATE(2017,12,31)&gt;J81,AC81&lt;(X81*Y81)),AC81,0)))))</f>
        <v>13950</v>
      </c>
      <c r="AE81" s="453">
        <f>IF(OR(Table51013454[[#This Row],[تاريخ الشراء-الاستلام]]="",Table51013454[[#This Row],[الإجمالي]]="",Table51013454[[#This Row],[العمر الافتراضي]]=""),"",AB81+AD81)</f>
        <v>70093.972602739726</v>
      </c>
      <c r="AF81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الشراء-الاستلام]]&gt;DATE(2017,12,31),0,X81-AE81))</f>
        <v>22906.027397260274</v>
      </c>
    </row>
    <row r="82" spans="1:32" s="456" customFormat="1" ht="57.75" customHeight="1">
      <c r="A82" s="442">
        <f>IF(B82="","",SUBTOTAL(3,$B$6:B82))</f>
        <v>22</v>
      </c>
      <c r="B82" s="443" t="s">
        <v>1386</v>
      </c>
      <c r="C82" s="444" t="s">
        <v>1413</v>
      </c>
      <c r="D82" s="443" t="s">
        <v>1387</v>
      </c>
      <c r="E82" s="443" t="s">
        <v>64</v>
      </c>
      <c r="F82" s="443" t="s">
        <v>1388</v>
      </c>
      <c r="G82" s="445" t="s">
        <v>1369</v>
      </c>
      <c r="H82" s="445"/>
      <c r="I82" s="460" t="s">
        <v>1468</v>
      </c>
      <c r="J82" s="446">
        <v>41091</v>
      </c>
      <c r="K82" s="446"/>
      <c r="L82" s="442">
        <v>1</v>
      </c>
      <c r="M82" s="443"/>
      <c r="N82" s="447">
        <v>245826</v>
      </c>
      <c r="O82" s="448">
        <f t="shared" si="2"/>
        <v>245826</v>
      </c>
      <c r="P82" s="449"/>
      <c r="Q82" s="447"/>
      <c r="R82" s="447"/>
      <c r="S82" s="447"/>
      <c r="T82" s="447"/>
      <c r="U82" s="450">
        <f>Table51013454[[#This Row],[العدد]]*Table51013454[[#This Row],[السعر الافرادي]]</f>
        <v>0</v>
      </c>
      <c r="V82" s="451">
        <f>Table51013454[[#This Row],[الكمية]]-Table51013454[[#This Row],[العدد]]</f>
        <v>1</v>
      </c>
      <c r="W82" s="447">
        <f>Table51013454[[#This Row],[سعر/الحبة]]</f>
        <v>245826</v>
      </c>
      <c r="X82" s="447">
        <f>Table51013454[[#This Row],[الإجمالي]]-Table51013454[[#This Row],[إجمالي المستبعد]]</f>
        <v>245826</v>
      </c>
      <c r="Y82" s="457">
        <v>0.15</v>
      </c>
      <c r="Z82" s="445"/>
      <c r="AA82" s="443" t="s">
        <v>1365</v>
      </c>
      <c r="AB82" s="453">
        <v>165983.06219178083</v>
      </c>
      <c r="AC82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الشراء-الاستلام]]&lt;DATE(2017,1,1),O82-AB82,0))</f>
        <v>79842.937808219169</v>
      </c>
      <c r="AD82" s="454">
        <f>IF(OR(Table51013454[[#This Row],[تاريخ الشراء-الاستلام]]="",Table51013454[[#This Row],[الإجمالي]]="",Table51013454[[#This Row],[العمر الافتراضي]]=""),"",IF(AND(AB82&lt;X82,AC82&gt;(X82*Y82),DATE(2016,12,31)&gt;J82),X82*Y82,IF(AND(AB82&lt;X82,DATE(2017,12,31)&gt;J82,AC82&gt;(X82*Y82)),(DATE(2017,12,31)-J82)/((100%/Y82)*365)*X82,IF(AND(AB82&lt;X82,DATE(2017,12,31)&gt;J82,AC82=0),(DATE(2017,12,31)-J82)/((100%/Y82)*365)*X82,IF(AND(AB82&lt;X82,DATE(2017,12,31)&gt;J82,AC82&lt;(X82*Y82)),AC82,0)))))</f>
        <v>36873.9</v>
      </c>
      <c r="AE82" s="453">
        <f>IF(OR(Table51013454[[#This Row],[تاريخ الشراء-الاستلام]]="",Table51013454[[#This Row],[الإجمالي]]="",Table51013454[[#This Row],[العمر الافتراضي]]=""),"",AB82+AD82)</f>
        <v>202856.96219178083</v>
      </c>
      <c r="AF82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الشراء-الاستلام]]&gt;DATE(2017,12,31),0,X82-AE82))</f>
        <v>42969.037808219175</v>
      </c>
    </row>
    <row r="83" spans="1:32" s="456" customFormat="1" ht="57.75" customHeight="1">
      <c r="A83" s="442">
        <f>IF(B83="","",SUBTOTAL(3,$B$6:B83))</f>
        <v>23</v>
      </c>
      <c r="B83" s="443" t="s">
        <v>1465</v>
      </c>
      <c r="C83" s="444" t="s">
        <v>1413</v>
      </c>
      <c r="D83" s="443" t="s">
        <v>1387</v>
      </c>
      <c r="E83" s="443" t="s">
        <v>64</v>
      </c>
      <c r="F83" s="443" t="s">
        <v>1388</v>
      </c>
      <c r="G83" s="445" t="s">
        <v>1369</v>
      </c>
      <c r="H83" s="445"/>
      <c r="I83" s="460" t="s">
        <v>1468</v>
      </c>
      <c r="J83" s="446">
        <v>41265</v>
      </c>
      <c r="K83" s="446"/>
      <c r="L83" s="442">
        <v>1</v>
      </c>
      <c r="M83" s="443"/>
      <c r="N83" s="447">
        <v>93000</v>
      </c>
      <c r="O83" s="448">
        <f t="shared" si="2"/>
        <v>93000</v>
      </c>
      <c r="P83" s="449"/>
      <c r="Q83" s="447"/>
      <c r="R83" s="447"/>
      <c r="S83" s="447"/>
      <c r="T83" s="447"/>
      <c r="U83" s="450">
        <f>Table51013454[[#This Row],[العدد]]*Table51013454[[#This Row],[السعر الافرادي]]</f>
        <v>0</v>
      </c>
      <c r="V83" s="451">
        <f>Table51013454[[#This Row],[الكمية]]-Table51013454[[#This Row],[العدد]]</f>
        <v>1</v>
      </c>
      <c r="W83" s="447">
        <f>Table51013454[[#This Row],[سعر/الحبة]]</f>
        <v>93000</v>
      </c>
      <c r="X83" s="447">
        <f>Table51013454[[#This Row],[الإجمالي]]-Table51013454[[#This Row],[إجمالي المستبعد]]</f>
        <v>93000</v>
      </c>
      <c r="Y83" s="457">
        <v>0.15</v>
      </c>
      <c r="Z83" s="445"/>
      <c r="AA83" s="443" t="s">
        <v>1365</v>
      </c>
      <c r="AB83" s="453">
        <v>56143.972602739726</v>
      </c>
      <c r="AC83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الشراء-الاستلام]]&lt;DATE(2017,1,1),O83-AB83,0))</f>
        <v>36856.027397260274</v>
      </c>
      <c r="AD83" s="454">
        <f>IF(OR(Table51013454[[#This Row],[تاريخ الشراء-الاستلام]]="",Table51013454[[#This Row],[الإجمالي]]="",Table51013454[[#This Row],[العمر الافتراضي]]=""),"",IF(AND(AB83&lt;X83,AC83&gt;(X83*Y83),DATE(2016,12,31)&gt;J83),X83*Y83,IF(AND(AB83&lt;X83,DATE(2017,12,31)&gt;J83,AC83&gt;(X83*Y83)),(DATE(2017,12,31)-J83)/((100%/Y83)*365)*X83,IF(AND(AB83&lt;X83,DATE(2017,12,31)&gt;J83,AC83=0),(DATE(2017,12,31)-J83)/((100%/Y83)*365)*X83,IF(AND(AB83&lt;X83,DATE(2017,12,31)&gt;J83,AC83&lt;(X83*Y83)),AC83,0)))))</f>
        <v>13950</v>
      </c>
      <c r="AE83" s="453">
        <f>IF(OR(Table51013454[[#This Row],[تاريخ الشراء-الاستلام]]="",Table51013454[[#This Row],[الإجمالي]]="",Table51013454[[#This Row],[العمر الافتراضي]]=""),"",AB83+AD83)</f>
        <v>70093.972602739726</v>
      </c>
      <c r="AF83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الشراء-الاستلام]]&gt;DATE(2017,12,31),0,X83-AE83))</f>
        <v>22906.027397260274</v>
      </c>
    </row>
    <row r="84" spans="1:32" s="456" customFormat="1" ht="57.75" customHeight="1">
      <c r="A84" s="442">
        <f>IF(B84="","",SUBTOTAL(3,$B$6:B84))</f>
        <v>24</v>
      </c>
      <c r="B84" s="443" t="s">
        <v>1386</v>
      </c>
      <c r="C84" s="444" t="s">
        <v>1413</v>
      </c>
      <c r="D84" s="443" t="s">
        <v>1387</v>
      </c>
      <c r="E84" s="443" t="s">
        <v>1134</v>
      </c>
      <c r="F84" s="443"/>
      <c r="G84" s="445" t="s">
        <v>1369</v>
      </c>
      <c r="H84" s="445"/>
      <c r="I84" s="460" t="s">
        <v>1469</v>
      </c>
      <c r="J84" s="446">
        <v>41091</v>
      </c>
      <c r="K84" s="446"/>
      <c r="L84" s="442">
        <v>1</v>
      </c>
      <c r="M84" s="443"/>
      <c r="N84" s="447">
        <v>245825</v>
      </c>
      <c r="O84" s="448">
        <f t="shared" si="2"/>
        <v>245825</v>
      </c>
      <c r="P84" s="449"/>
      <c r="Q84" s="447"/>
      <c r="R84" s="447"/>
      <c r="S84" s="447"/>
      <c r="T84" s="447"/>
      <c r="U84" s="450">
        <f>Table51013454[[#This Row],[العدد]]*Table51013454[[#This Row],[السعر الافرادي]]</f>
        <v>0</v>
      </c>
      <c r="V84" s="451">
        <f>Table51013454[[#This Row],[الكمية]]-Table51013454[[#This Row],[العدد]]</f>
        <v>1</v>
      </c>
      <c r="W84" s="447">
        <f>Table51013454[[#This Row],[سعر/الحبة]]</f>
        <v>245825</v>
      </c>
      <c r="X84" s="447">
        <f>Table51013454[[#This Row],[الإجمالي]]-Table51013454[[#This Row],[إجمالي المستبعد]]</f>
        <v>245825</v>
      </c>
      <c r="Y84" s="457">
        <v>0.15</v>
      </c>
      <c r="Z84" s="445"/>
      <c r="AA84" s="443" t="s">
        <v>1365</v>
      </c>
      <c r="AB84" s="453">
        <v>165982.38698630134</v>
      </c>
      <c r="AC84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الشراء-الاستلام]]&lt;DATE(2017,1,1),O84-AB84,0))</f>
        <v>79842.613013698661</v>
      </c>
      <c r="AD84" s="454">
        <f>IF(OR(Table51013454[[#This Row],[تاريخ الشراء-الاستلام]]="",Table51013454[[#This Row],[الإجمالي]]="",Table51013454[[#This Row],[العمر الافتراضي]]=""),"",IF(AND(AB84&lt;X84,AC84&gt;(X84*Y84),DATE(2016,12,31)&gt;J84),X84*Y84,IF(AND(AB84&lt;X84,DATE(2017,12,31)&gt;J84,AC84&gt;(X84*Y84)),(DATE(2017,12,31)-J84)/((100%/Y84)*365)*X84,IF(AND(AB84&lt;X84,DATE(2017,12,31)&gt;J84,AC84=0),(DATE(2017,12,31)-J84)/((100%/Y84)*365)*X84,IF(AND(AB84&lt;X84,DATE(2017,12,31)&gt;J84,AC84&lt;(X84*Y84)),AC84,0)))))</f>
        <v>36873.75</v>
      </c>
      <c r="AE84" s="453">
        <f>IF(OR(Table51013454[[#This Row],[تاريخ الشراء-الاستلام]]="",Table51013454[[#This Row],[الإجمالي]]="",Table51013454[[#This Row],[العمر الافتراضي]]=""),"",AB84+AD84)</f>
        <v>202856.13698630134</v>
      </c>
      <c r="AF84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الشراء-الاستلام]]&gt;DATE(2017,12,31),0,X84-AE84))</f>
        <v>42968.863013698661</v>
      </c>
    </row>
    <row r="85" spans="1:32" s="456" customFormat="1" ht="57.75" customHeight="1">
      <c r="A85" s="442">
        <f>IF(B85="","",SUBTOTAL(3,$B$6:B85))</f>
        <v>25</v>
      </c>
      <c r="B85" s="443" t="s">
        <v>1465</v>
      </c>
      <c r="C85" s="444" t="s">
        <v>1413</v>
      </c>
      <c r="D85" s="443" t="s">
        <v>1387</v>
      </c>
      <c r="E85" s="443" t="s">
        <v>1134</v>
      </c>
      <c r="F85" s="443"/>
      <c r="G85" s="445" t="s">
        <v>1369</v>
      </c>
      <c r="H85" s="445"/>
      <c r="I85" s="460" t="s">
        <v>1469</v>
      </c>
      <c r="J85" s="446">
        <v>41265</v>
      </c>
      <c r="K85" s="446"/>
      <c r="L85" s="442">
        <v>1</v>
      </c>
      <c r="M85" s="443"/>
      <c r="N85" s="447">
        <v>93000</v>
      </c>
      <c r="O85" s="448">
        <f t="shared" si="2"/>
        <v>93000</v>
      </c>
      <c r="P85" s="449"/>
      <c r="Q85" s="447"/>
      <c r="R85" s="447"/>
      <c r="S85" s="447"/>
      <c r="T85" s="447"/>
      <c r="U85" s="450">
        <f>Table51013454[[#This Row],[العدد]]*Table51013454[[#This Row],[السعر الافرادي]]</f>
        <v>0</v>
      </c>
      <c r="V85" s="451">
        <f>Table51013454[[#This Row],[الكمية]]-Table51013454[[#This Row],[العدد]]</f>
        <v>1</v>
      </c>
      <c r="W85" s="447">
        <f>Table51013454[[#This Row],[سعر/الحبة]]</f>
        <v>93000</v>
      </c>
      <c r="X85" s="447">
        <f>Table51013454[[#This Row],[الإجمالي]]-Table51013454[[#This Row],[إجمالي المستبعد]]</f>
        <v>93000</v>
      </c>
      <c r="Y85" s="457">
        <v>0.15</v>
      </c>
      <c r="Z85" s="445"/>
      <c r="AA85" s="443" t="s">
        <v>1365</v>
      </c>
      <c r="AB85" s="453">
        <v>56143.972602739726</v>
      </c>
      <c r="AC85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الشراء-الاستلام]]&lt;DATE(2017,1,1),O85-AB85,0))</f>
        <v>36856.027397260274</v>
      </c>
      <c r="AD85" s="454">
        <f>IF(OR(Table51013454[[#This Row],[تاريخ الشراء-الاستلام]]="",Table51013454[[#This Row],[الإجمالي]]="",Table51013454[[#This Row],[العمر الافتراضي]]=""),"",IF(AND(AB85&lt;X85,AC85&gt;(X85*Y85),DATE(2016,12,31)&gt;J85),X85*Y85,IF(AND(AB85&lt;X85,DATE(2017,12,31)&gt;J85,AC85&gt;(X85*Y85)),(DATE(2017,12,31)-J85)/((100%/Y85)*365)*X85,IF(AND(AB85&lt;X85,DATE(2017,12,31)&gt;J85,AC85=0),(DATE(2017,12,31)-J85)/((100%/Y85)*365)*X85,IF(AND(AB85&lt;X85,DATE(2017,12,31)&gt;J85,AC85&lt;(X85*Y85)),AC85,0)))))</f>
        <v>13950</v>
      </c>
      <c r="AE85" s="453">
        <f>IF(OR(Table51013454[[#This Row],[تاريخ الشراء-الاستلام]]="",Table51013454[[#This Row],[الإجمالي]]="",Table51013454[[#This Row],[العمر الافتراضي]]=""),"",AB85+AD85)</f>
        <v>70093.972602739726</v>
      </c>
      <c r="AF85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الشراء-الاستلام]]&gt;DATE(2017,12,31),0,X85-AE85))</f>
        <v>22906.027397260274</v>
      </c>
    </row>
    <row r="86" spans="1:32" s="456" customFormat="1" ht="57.75" customHeight="1">
      <c r="A86" s="442">
        <f>IF(B86="","",SUBTOTAL(3,$B$6:B86))</f>
        <v>26</v>
      </c>
      <c r="B86" s="443" t="s">
        <v>1386</v>
      </c>
      <c r="C86" s="444" t="s">
        <v>1413</v>
      </c>
      <c r="D86" s="443" t="s">
        <v>1387</v>
      </c>
      <c r="E86" s="443" t="s">
        <v>1368</v>
      </c>
      <c r="F86" s="443"/>
      <c r="G86" s="445" t="s">
        <v>1369</v>
      </c>
      <c r="H86" s="445"/>
      <c r="I86" s="460" t="s">
        <v>1470</v>
      </c>
      <c r="J86" s="446">
        <v>41091</v>
      </c>
      <c r="K86" s="446"/>
      <c r="L86" s="442">
        <v>1</v>
      </c>
      <c r="M86" s="443"/>
      <c r="N86" s="447">
        <v>245825</v>
      </c>
      <c r="O86" s="448">
        <f t="shared" si="2"/>
        <v>245825</v>
      </c>
      <c r="P86" s="449"/>
      <c r="Q86" s="447"/>
      <c r="R86" s="447"/>
      <c r="S86" s="447"/>
      <c r="T86" s="447"/>
      <c r="U86" s="450">
        <f>Table51013454[[#This Row],[العدد]]*Table51013454[[#This Row],[السعر الافرادي]]</f>
        <v>0</v>
      </c>
      <c r="V86" s="451">
        <f>Table51013454[[#This Row],[الكمية]]-Table51013454[[#This Row],[العدد]]</f>
        <v>1</v>
      </c>
      <c r="W86" s="447">
        <f>Table51013454[[#This Row],[سعر/الحبة]]</f>
        <v>245825</v>
      </c>
      <c r="X86" s="447">
        <f>Table51013454[[#This Row],[الإجمالي]]-Table51013454[[#This Row],[إجمالي المستبعد]]</f>
        <v>245825</v>
      </c>
      <c r="Y86" s="457">
        <v>0.15</v>
      </c>
      <c r="Z86" s="445"/>
      <c r="AA86" s="443" t="s">
        <v>1365</v>
      </c>
      <c r="AB86" s="453">
        <v>165982.38698630134</v>
      </c>
      <c r="AC86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الشراء-الاستلام]]&lt;DATE(2017,1,1),O86-AB86,0))</f>
        <v>79842.613013698661</v>
      </c>
      <c r="AD86" s="454">
        <f>IF(OR(Table51013454[[#This Row],[تاريخ الشراء-الاستلام]]="",Table51013454[[#This Row],[الإجمالي]]="",Table51013454[[#This Row],[العمر الافتراضي]]=""),"",IF(AND(AB86&lt;X86,AC86&gt;(X86*Y86),DATE(2016,12,31)&gt;J86),X86*Y86,IF(AND(AB86&lt;X86,DATE(2017,12,31)&gt;J86,AC86&gt;(X86*Y86)),(DATE(2017,12,31)-J86)/((100%/Y86)*365)*X86,IF(AND(AB86&lt;X86,DATE(2017,12,31)&gt;J86,AC86=0),(DATE(2017,12,31)-J86)/((100%/Y86)*365)*X86,IF(AND(AB86&lt;X86,DATE(2017,12,31)&gt;J86,AC86&lt;(X86*Y86)),AC86,0)))))</f>
        <v>36873.75</v>
      </c>
      <c r="AE86" s="453">
        <f>IF(OR(Table51013454[[#This Row],[تاريخ الشراء-الاستلام]]="",Table51013454[[#This Row],[الإجمالي]]="",Table51013454[[#This Row],[العمر الافتراضي]]=""),"",AB86+AD86)</f>
        <v>202856.13698630134</v>
      </c>
      <c r="AF86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الشراء-الاستلام]]&gt;DATE(2017,12,31),0,X86-AE86))</f>
        <v>42968.863013698661</v>
      </c>
    </row>
    <row r="87" spans="1:32" s="456" customFormat="1" ht="57.75" customHeight="1">
      <c r="A87" s="442">
        <f>IF(B87="","",SUBTOTAL(3,$B$6:B87))</f>
        <v>27</v>
      </c>
      <c r="B87" s="443" t="s">
        <v>1465</v>
      </c>
      <c r="C87" s="444" t="s">
        <v>1413</v>
      </c>
      <c r="D87" s="443" t="s">
        <v>1387</v>
      </c>
      <c r="E87" s="443" t="s">
        <v>1368</v>
      </c>
      <c r="F87" s="443"/>
      <c r="G87" s="445" t="s">
        <v>1369</v>
      </c>
      <c r="H87" s="445"/>
      <c r="I87" s="460" t="s">
        <v>1470</v>
      </c>
      <c r="J87" s="446">
        <v>41265</v>
      </c>
      <c r="K87" s="446"/>
      <c r="L87" s="442">
        <v>1</v>
      </c>
      <c r="M87" s="443"/>
      <c r="N87" s="447">
        <v>93000</v>
      </c>
      <c r="O87" s="448">
        <f t="shared" si="2"/>
        <v>93000</v>
      </c>
      <c r="P87" s="449"/>
      <c r="Q87" s="447"/>
      <c r="R87" s="447"/>
      <c r="S87" s="447"/>
      <c r="T87" s="447"/>
      <c r="U87" s="450">
        <f>Table51013454[[#This Row],[العدد]]*Table51013454[[#This Row],[السعر الافرادي]]</f>
        <v>0</v>
      </c>
      <c r="V87" s="451">
        <f>Table51013454[[#This Row],[الكمية]]-Table51013454[[#This Row],[العدد]]</f>
        <v>1</v>
      </c>
      <c r="W87" s="447">
        <f>Table51013454[[#This Row],[سعر/الحبة]]</f>
        <v>93000</v>
      </c>
      <c r="X87" s="447">
        <f>Table51013454[[#This Row],[الإجمالي]]-Table51013454[[#This Row],[إجمالي المستبعد]]</f>
        <v>93000</v>
      </c>
      <c r="Y87" s="457">
        <v>0.15</v>
      </c>
      <c r="Z87" s="445"/>
      <c r="AA87" s="443" t="s">
        <v>1365</v>
      </c>
      <c r="AB87" s="453">
        <v>56143.972602739726</v>
      </c>
      <c r="AC87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الشراء-الاستلام]]&lt;DATE(2017,1,1),O87-AB87,0))</f>
        <v>36856.027397260274</v>
      </c>
      <c r="AD87" s="454">
        <f>IF(OR(Table51013454[[#This Row],[تاريخ الشراء-الاستلام]]="",Table51013454[[#This Row],[الإجمالي]]="",Table51013454[[#This Row],[العمر الافتراضي]]=""),"",IF(AND(AB87&lt;X87,AC87&gt;(X87*Y87),DATE(2016,12,31)&gt;J87),X87*Y87,IF(AND(AB87&lt;X87,DATE(2017,12,31)&gt;J87,AC87&gt;(X87*Y87)),(DATE(2017,12,31)-J87)/((100%/Y87)*365)*X87,IF(AND(AB87&lt;X87,DATE(2017,12,31)&gt;J87,AC87=0),(DATE(2017,12,31)-J87)/((100%/Y87)*365)*X87,IF(AND(AB87&lt;X87,DATE(2017,12,31)&gt;J87,AC87&lt;(X87*Y87)),AC87,0)))))</f>
        <v>13950</v>
      </c>
      <c r="AE87" s="453">
        <f>IF(OR(Table51013454[[#This Row],[تاريخ الشراء-الاستلام]]="",Table51013454[[#This Row],[الإجمالي]]="",Table51013454[[#This Row],[العمر الافتراضي]]=""),"",AB87+AD87)</f>
        <v>70093.972602739726</v>
      </c>
      <c r="AF87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الشراء-الاستلام]]&gt;DATE(2017,12,31),0,X87-AE87))</f>
        <v>22906.027397260274</v>
      </c>
    </row>
    <row r="88" spans="1:32" s="456" customFormat="1" ht="57.75" customHeight="1">
      <c r="A88" s="442">
        <f>IF(B88="","",SUBTOTAL(3,$B$6:B88))</f>
        <v>28</v>
      </c>
      <c r="B88" s="443" t="s">
        <v>1386</v>
      </c>
      <c r="C88" s="444" t="s">
        <v>1413</v>
      </c>
      <c r="D88" s="443" t="s">
        <v>1387</v>
      </c>
      <c r="E88" s="443" t="s">
        <v>64</v>
      </c>
      <c r="F88" s="460" t="s">
        <v>1458</v>
      </c>
      <c r="G88" s="445" t="s">
        <v>1369</v>
      </c>
      <c r="H88" s="445"/>
      <c r="I88" s="460" t="s">
        <v>1471</v>
      </c>
      <c r="J88" s="446">
        <v>41091</v>
      </c>
      <c r="K88" s="446"/>
      <c r="L88" s="442">
        <v>1</v>
      </c>
      <c r="M88" s="443"/>
      <c r="N88" s="447">
        <v>245825</v>
      </c>
      <c r="O88" s="448">
        <f t="shared" si="2"/>
        <v>245825</v>
      </c>
      <c r="P88" s="449"/>
      <c r="Q88" s="447"/>
      <c r="R88" s="447"/>
      <c r="S88" s="447"/>
      <c r="T88" s="447"/>
      <c r="U88" s="450">
        <f>Table51013454[[#This Row],[العدد]]*Table51013454[[#This Row],[السعر الافرادي]]</f>
        <v>0</v>
      </c>
      <c r="V88" s="451">
        <f>Table51013454[[#This Row],[الكمية]]-Table51013454[[#This Row],[العدد]]</f>
        <v>1</v>
      </c>
      <c r="W88" s="447">
        <f>Table51013454[[#This Row],[سعر/الحبة]]</f>
        <v>245825</v>
      </c>
      <c r="X88" s="447">
        <f>Table51013454[[#This Row],[الإجمالي]]-Table51013454[[#This Row],[إجمالي المستبعد]]</f>
        <v>245825</v>
      </c>
      <c r="Y88" s="457">
        <v>0.15</v>
      </c>
      <c r="Z88" s="445"/>
      <c r="AA88" s="443" t="s">
        <v>1365</v>
      </c>
      <c r="AB88" s="453">
        <v>165982.38698630134</v>
      </c>
      <c r="AC88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الشراء-الاستلام]]&lt;DATE(2017,1,1),O88-AB88,0))</f>
        <v>79842.613013698661</v>
      </c>
      <c r="AD88" s="454">
        <f>IF(OR(Table51013454[[#This Row],[تاريخ الشراء-الاستلام]]="",Table51013454[[#This Row],[الإجمالي]]="",Table51013454[[#This Row],[العمر الافتراضي]]=""),"",IF(AND(AB88&lt;X88,AC88&gt;(X88*Y88),DATE(2016,12,31)&gt;J88),X88*Y88,IF(AND(AB88&lt;X88,DATE(2017,12,31)&gt;J88,AC88&gt;(X88*Y88)),(DATE(2017,12,31)-J88)/((100%/Y88)*365)*X88,IF(AND(AB88&lt;X88,DATE(2017,12,31)&gt;J88,AC88=0),(DATE(2017,12,31)-J88)/((100%/Y88)*365)*X88,IF(AND(AB88&lt;X88,DATE(2017,12,31)&gt;J88,AC88&lt;(X88*Y88)),AC88,0)))))</f>
        <v>36873.75</v>
      </c>
      <c r="AE88" s="453">
        <f>IF(OR(Table51013454[[#This Row],[تاريخ الشراء-الاستلام]]="",Table51013454[[#This Row],[الإجمالي]]="",Table51013454[[#This Row],[العمر الافتراضي]]=""),"",AB88+AD88)</f>
        <v>202856.13698630134</v>
      </c>
      <c r="AF88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الشراء-الاستلام]]&gt;DATE(2017,12,31),0,X88-AE88))</f>
        <v>42968.863013698661</v>
      </c>
    </row>
    <row r="89" spans="1:32" s="456" customFormat="1" ht="57.75" customHeight="1">
      <c r="A89" s="442">
        <f>IF(B89="","",SUBTOTAL(3,$B$6:B89))</f>
        <v>29</v>
      </c>
      <c r="B89" s="443" t="s">
        <v>1465</v>
      </c>
      <c r="C89" s="444" t="s">
        <v>1413</v>
      </c>
      <c r="D89" s="443" t="s">
        <v>1387</v>
      </c>
      <c r="E89" s="443" t="s">
        <v>64</v>
      </c>
      <c r="F89" s="460" t="s">
        <v>1458</v>
      </c>
      <c r="G89" s="445" t="s">
        <v>1369</v>
      </c>
      <c r="H89" s="445"/>
      <c r="I89" s="460" t="s">
        <v>1471</v>
      </c>
      <c r="J89" s="446">
        <v>41265</v>
      </c>
      <c r="K89" s="446"/>
      <c r="L89" s="442">
        <v>1</v>
      </c>
      <c r="M89" s="443"/>
      <c r="N89" s="447">
        <v>93000</v>
      </c>
      <c r="O89" s="448">
        <f t="shared" si="2"/>
        <v>93000</v>
      </c>
      <c r="P89" s="449"/>
      <c r="Q89" s="447"/>
      <c r="R89" s="447"/>
      <c r="S89" s="447"/>
      <c r="T89" s="447"/>
      <c r="U89" s="450">
        <f>Table51013454[[#This Row],[العدد]]*Table51013454[[#This Row],[السعر الافرادي]]</f>
        <v>0</v>
      </c>
      <c r="V89" s="451">
        <f>Table51013454[[#This Row],[الكمية]]-Table51013454[[#This Row],[العدد]]</f>
        <v>1</v>
      </c>
      <c r="W89" s="447">
        <f>Table51013454[[#This Row],[سعر/الحبة]]</f>
        <v>93000</v>
      </c>
      <c r="X89" s="447">
        <f>Table51013454[[#This Row],[الإجمالي]]-Table51013454[[#This Row],[إجمالي المستبعد]]</f>
        <v>93000</v>
      </c>
      <c r="Y89" s="457">
        <v>0.15</v>
      </c>
      <c r="Z89" s="445"/>
      <c r="AA89" s="443" t="s">
        <v>1365</v>
      </c>
      <c r="AB89" s="453">
        <v>56143.972602739726</v>
      </c>
      <c r="AC89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الشراء-الاستلام]]&lt;DATE(2017,1,1),O89-AB89,0))</f>
        <v>36856.027397260274</v>
      </c>
      <c r="AD89" s="454">
        <f>IF(OR(Table51013454[[#This Row],[تاريخ الشراء-الاستلام]]="",Table51013454[[#This Row],[الإجمالي]]="",Table51013454[[#This Row],[العمر الافتراضي]]=""),"",IF(AND(AB89&lt;X89,AC89&gt;(X89*Y89),DATE(2016,12,31)&gt;J89),X89*Y89,IF(AND(AB89&lt;X89,DATE(2017,12,31)&gt;J89,AC89&gt;(X89*Y89)),(DATE(2017,12,31)-J89)/((100%/Y89)*365)*X89,IF(AND(AB89&lt;X89,DATE(2017,12,31)&gt;J89,AC89=0),(DATE(2017,12,31)-J89)/((100%/Y89)*365)*X89,IF(AND(AB89&lt;X89,DATE(2017,12,31)&gt;J89,AC89&lt;(X89*Y89)),AC89,0)))))</f>
        <v>13950</v>
      </c>
      <c r="AE89" s="453">
        <f>IF(OR(Table51013454[[#This Row],[تاريخ الشراء-الاستلام]]="",Table51013454[[#This Row],[الإجمالي]]="",Table51013454[[#This Row],[العمر الافتراضي]]=""),"",AB89+AD89)</f>
        <v>70093.972602739726</v>
      </c>
      <c r="AF89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الشراء-الاستلام]]&gt;DATE(2017,12,31),0,X89-AE89))</f>
        <v>22906.027397260274</v>
      </c>
    </row>
    <row r="90" spans="1:32" s="456" customFormat="1" ht="57.75" customHeight="1">
      <c r="A90" s="442">
        <f>IF(B90="","",SUBTOTAL(3,$B$6:B90))</f>
        <v>30</v>
      </c>
      <c r="B90" s="443" t="s">
        <v>1386</v>
      </c>
      <c r="C90" s="444" t="s">
        <v>1413</v>
      </c>
      <c r="D90" s="443" t="s">
        <v>1387</v>
      </c>
      <c r="E90" s="443" t="s">
        <v>64</v>
      </c>
      <c r="F90" s="443" t="s">
        <v>1388</v>
      </c>
      <c r="G90" s="445" t="s">
        <v>1369</v>
      </c>
      <c r="H90" s="445"/>
      <c r="I90" s="460" t="s">
        <v>1472</v>
      </c>
      <c r="J90" s="446">
        <v>41091</v>
      </c>
      <c r="K90" s="446"/>
      <c r="L90" s="442">
        <v>1</v>
      </c>
      <c r="M90" s="443"/>
      <c r="N90" s="447">
        <v>245825</v>
      </c>
      <c r="O90" s="448">
        <f t="shared" si="2"/>
        <v>245825</v>
      </c>
      <c r="P90" s="449"/>
      <c r="Q90" s="447"/>
      <c r="R90" s="447"/>
      <c r="S90" s="447"/>
      <c r="T90" s="447"/>
      <c r="U90" s="450">
        <f>Table51013454[[#This Row],[العدد]]*Table51013454[[#This Row],[السعر الافرادي]]</f>
        <v>0</v>
      </c>
      <c r="V90" s="451">
        <f>Table51013454[[#This Row],[الكمية]]-Table51013454[[#This Row],[العدد]]</f>
        <v>1</v>
      </c>
      <c r="W90" s="447">
        <f>Table51013454[[#This Row],[سعر/الحبة]]</f>
        <v>245825</v>
      </c>
      <c r="X90" s="447">
        <f>Table51013454[[#This Row],[الإجمالي]]-Table51013454[[#This Row],[إجمالي المستبعد]]</f>
        <v>245825</v>
      </c>
      <c r="Y90" s="457">
        <v>0.15</v>
      </c>
      <c r="Z90" s="445"/>
      <c r="AA90" s="443" t="s">
        <v>1365</v>
      </c>
      <c r="AB90" s="453">
        <v>165982.38698630134</v>
      </c>
      <c r="AC90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الشراء-الاستلام]]&lt;DATE(2017,1,1),O90-AB90,0))</f>
        <v>79842.613013698661</v>
      </c>
      <c r="AD90" s="454">
        <f>IF(OR(Table51013454[[#This Row],[تاريخ الشراء-الاستلام]]="",Table51013454[[#This Row],[الإجمالي]]="",Table51013454[[#This Row],[العمر الافتراضي]]=""),"",IF(AND(AB90&lt;X90,AC90&gt;(X90*Y90),DATE(2016,12,31)&gt;J90),X90*Y90,IF(AND(AB90&lt;X90,DATE(2017,12,31)&gt;J90,AC90&gt;(X90*Y90)),(DATE(2017,12,31)-J90)/((100%/Y90)*365)*X90,IF(AND(AB90&lt;X90,DATE(2017,12,31)&gt;J90,AC90=0),(DATE(2017,12,31)-J90)/((100%/Y90)*365)*X90,IF(AND(AB90&lt;X90,DATE(2017,12,31)&gt;J90,AC90&lt;(X90*Y90)),AC90,0)))))</f>
        <v>36873.75</v>
      </c>
      <c r="AE90" s="453">
        <f>IF(OR(Table51013454[[#This Row],[تاريخ الشراء-الاستلام]]="",Table51013454[[#This Row],[الإجمالي]]="",Table51013454[[#This Row],[العمر الافتراضي]]=""),"",AB90+AD90)</f>
        <v>202856.13698630134</v>
      </c>
      <c r="AF90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الشراء-الاستلام]]&gt;DATE(2017,12,31),0,X90-AE90))</f>
        <v>42968.863013698661</v>
      </c>
    </row>
    <row r="91" spans="1:32" s="456" customFormat="1" ht="57.75" customHeight="1">
      <c r="A91" s="442">
        <f>IF(B91="","",SUBTOTAL(3,$B$6:B91))</f>
        <v>31</v>
      </c>
      <c r="B91" s="443" t="s">
        <v>1465</v>
      </c>
      <c r="C91" s="444" t="s">
        <v>1413</v>
      </c>
      <c r="D91" s="443" t="s">
        <v>1387</v>
      </c>
      <c r="E91" s="443" t="s">
        <v>64</v>
      </c>
      <c r="F91" s="443" t="s">
        <v>1388</v>
      </c>
      <c r="G91" s="445" t="s">
        <v>1369</v>
      </c>
      <c r="H91" s="445"/>
      <c r="I91" s="460" t="s">
        <v>1472</v>
      </c>
      <c r="J91" s="446">
        <v>41265</v>
      </c>
      <c r="K91" s="446"/>
      <c r="L91" s="442">
        <v>1</v>
      </c>
      <c r="M91" s="443"/>
      <c r="N91" s="447">
        <v>93000</v>
      </c>
      <c r="O91" s="448">
        <f t="shared" si="2"/>
        <v>93000</v>
      </c>
      <c r="P91" s="449"/>
      <c r="Q91" s="447"/>
      <c r="R91" s="447"/>
      <c r="S91" s="447"/>
      <c r="T91" s="447"/>
      <c r="U91" s="450">
        <f>Table51013454[[#This Row],[العدد]]*Table51013454[[#This Row],[السعر الافرادي]]</f>
        <v>0</v>
      </c>
      <c r="V91" s="451">
        <f>Table51013454[[#This Row],[الكمية]]-Table51013454[[#This Row],[العدد]]</f>
        <v>1</v>
      </c>
      <c r="W91" s="447">
        <f>Table51013454[[#This Row],[سعر/الحبة]]</f>
        <v>93000</v>
      </c>
      <c r="X91" s="447">
        <f>Table51013454[[#This Row],[الإجمالي]]-Table51013454[[#This Row],[إجمالي المستبعد]]</f>
        <v>93000</v>
      </c>
      <c r="Y91" s="457">
        <v>0.15</v>
      </c>
      <c r="Z91" s="445"/>
      <c r="AA91" s="443" t="s">
        <v>1365</v>
      </c>
      <c r="AB91" s="453">
        <v>56143.972602739726</v>
      </c>
      <c r="AC91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الشراء-الاستلام]]&lt;DATE(2017,1,1),O91-AB91,0))</f>
        <v>36856.027397260274</v>
      </c>
      <c r="AD91" s="454">
        <f>IF(OR(Table51013454[[#This Row],[تاريخ الشراء-الاستلام]]="",Table51013454[[#This Row],[الإجمالي]]="",Table51013454[[#This Row],[العمر الافتراضي]]=""),"",IF(AND(AB91&lt;X91,AC91&gt;(X91*Y91),DATE(2016,12,31)&gt;J91),X91*Y91,IF(AND(AB91&lt;X91,DATE(2017,12,31)&gt;J91,AC91&gt;(X91*Y91)),(DATE(2017,12,31)-J91)/((100%/Y91)*365)*X91,IF(AND(AB91&lt;X91,DATE(2017,12,31)&gt;J91,AC91=0),(DATE(2017,12,31)-J91)/((100%/Y91)*365)*X91,IF(AND(AB91&lt;X91,DATE(2017,12,31)&gt;J91,AC91&lt;(X91*Y91)),AC91,0)))))</f>
        <v>13950</v>
      </c>
      <c r="AE91" s="453">
        <f>IF(OR(Table51013454[[#This Row],[تاريخ الشراء-الاستلام]]="",Table51013454[[#This Row],[الإجمالي]]="",Table51013454[[#This Row],[العمر الافتراضي]]=""),"",AB91+AD91)</f>
        <v>70093.972602739726</v>
      </c>
      <c r="AF91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الشراء-الاستلام]]&gt;DATE(2017,12,31),0,X91-AE91))</f>
        <v>22906.027397260274</v>
      </c>
    </row>
    <row r="92" spans="1:32" s="456" customFormat="1" ht="57.75" customHeight="1">
      <c r="A92" s="442">
        <f>IF(B92="","",SUBTOTAL(3,$B$6:B92))</f>
        <v>32</v>
      </c>
      <c r="B92" s="443" t="s">
        <v>1386</v>
      </c>
      <c r="C92" s="444" t="s">
        <v>1413</v>
      </c>
      <c r="D92" s="443" t="s">
        <v>1387</v>
      </c>
      <c r="E92" s="443" t="s">
        <v>64</v>
      </c>
      <c r="F92" s="460" t="s">
        <v>1458</v>
      </c>
      <c r="G92" s="445" t="s">
        <v>1369</v>
      </c>
      <c r="H92" s="445"/>
      <c r="I92" s="460" t="s">
        <v>1473</v>
      </c>
      <c r="J92" s="446">
        <v>41260</v>
      </c>
      <c r="K92" s="446"/>
      <c r="L92" s="442">
        <v>1</v>
      </c>
      <c r="M92" s="443"/>
      <c r="N92" s="447">
        <v>319410</v>
      </c>
      <c r="O92" s="448">
        <f t="shared" si="2"/>
        <v>319410</v>
      </c>
      <c r="P92" s="449"/>
      <c r="Q92" s="447"/>
      <c r="R92" s="447"/>
      <c r="S92" s="447"/>
      <c r="T92" s="447"/>
      <c r="U92" s="450">
        <f>Table51013454[[#This Row],[العدد]]*Table51013454[[#This Row],[السعر الافرادي]]</f>
        <v>0</v>
      </c>
      <c r="V92" s="451">
        <f>Table51013454[[#This Row],[الكمية]]-Table51013454[[#This Row],[العدد]]</f>
        <v>1</v>
      </c>
      <c r="W92" s="447">
        <f>Table51013454[[#This Row],[سعر/الحبة]]</f>
        <v>319410</v>
      </c>
      <c r="X92" s="447">
        <f>Table51013454[[#This Row],[الإجمالي]]-Table51013454[[#This Row],[إجمالي المستبعد]]</f>
        <v>319410</v>
      </c>
      <c r="Y92" s="457">
        <v>0.15</v>
      </c>
      <c r="Z92" s="445"/>
      <c r="AA92" s="443" t="s">
        <v>1365</v>
      </c>
      <c r="AB92" s="453">
        <v>193483.701369863</v>
      </c>
      <c r="AC92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الشراء-الاستلام]]&lt;DATE(2017,1,1),O92-AB92,0))</f>
        <v>125926.298630137</v>
      </c>
      <c r="AD92" s="454">
        <f>IF(OR(Table51013454[[#This Row],[تاريخ الشراء-الاستلام]]="",Table51013454[[#This Row],[الإجمالي]]="",Table51013454[[#This Row],[العمر الافتراضي]]=""),"",IF(AND(AB92&lt;X92,AC92&gt;(X92*Y92),DATE(2016,12,31)&gt;J92),X92*Y92,IF(AND(AB92&lt;X92,DATE(2017,12,31)&gt;J92,AC92&gt;(X92*Y92)),(DATE(2017,12,31)-J92)/((100%/Y92)*365)*X92,IF(AND(AB92&lt;X92,DATE(2017,12,31)&gt;J92,AC92=0),(DATE(2017,12,31)-J92)/((100%/Y92)*365)*X92,IF(AND(AB92&lt;X92,DATE(2017,12,31)&gt;J92,AC92&lt;(X92*Y92)),AC92,0)))))</f>
        <v>47911.5</v>
      </c>
      <c r="AE92" s="453">
        <f>IF(OR(Table51013454[[#This Row],[تاريخ الشراء-الاستلام]]="",Table51013454[[#This Row],[الإجمالي]]="",Table51013454[[#This Row],[العمر الافتراضي]]=""),"",AB92+AD92)</f>
        <v>241395.201369863</v>
      </c>
      <c r="AF92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الشراء-الاستلام]]&gt;DATE(2017,12,31),0,X92-AE92))</f>
        <v>78014.798630136997</v>
      </c>
    </row>
    <row r="93" spans="1:32" s="456" customFormat="1" ht="57.75" customHeight="1">
      <c r="A93" s="442">
        <f>IF(B93="","",SUBTOTAL(3,$B$6:B93))</f>
        <v>33</v>
      </c>
      <c r="B93" s="443" t="s">
        <v>1465</v>
      </c>
      <c r="C93" s="444" t="s">
        <v>1413</v>
      </c>
      <c r="D93" s="443" t="s">
        <v>1387</v>
      </c>
      <c r="E93" s="443" t="s">
        <v>64</v>
      </c>
      <c r="F93" s="460" t="s">
        <v>1458</v>
      </c>
      <c r="G93" s="445" t="s">
        <v>1369</v>
      </c>
      <c r="H93" s="445"/>
      <c r="I93" s="460" t="s">
        <v>1473</v>
      </c>
      <c r="J93" s="446">
        <v>41265</v>
      </c>
      <c r="K93" s="446"/>
      <c r="L93" s="442">
        <v>1</v>
      </c>
      <c r="M93" s="443"/>
      <c r="N93" s="447">
        <v>93000</v>
      </c>
      <c r="O93" s="448">
        <f t="shared" si="2"/>
        <v>93000</v>
      </c>
      <c r="P93" s="449"/>
      <c r="Q93" s="447"/>
      <c r="R93" s="447"/>
      <c r="S93" s="447"/>
      <c r="T93" s="447"/>
      <c r="U93" s="450">
        <f>Table51013454[[#This Row],[العدد]]*Table51013454[[#This Row],[السعر الافرادي]]</f>
        <v>0</v>
      </c>
      <c r="V93" s="451">
        <f>Table51013454[[#This Row],[الكمية]]-Table51013454[[#This Row],[العدد]]</f>
        <v>1</v>
      </c>
      <c r="W93" s="447">
        <f>Table51013454[[#This Row],[سعر/الحبة]]</f>
        <v>93000</v>
      </c>
      <c r="X93" s="447">
        <f>Table51013454[[#This Row],[الإجمالي]]-Table51013454[[#This Row],[إجمالي المستبعد]]</f>
        <v>93000</v>
      </c>
      <c r="Y93" s="457">
        <v>0.15</v>
      </c>
      <c r="Z93" s="445"/>
      <c r="AA93" s="443" t="s">
        <v>1365</v>
      </c>
      <c r="AB93" s="453">
        <v>56143.972602739726</v>
      </c>
      <c r="AC93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الشراء-الاستلام]]&lt;DATE(2017,1,1),O93-AB93,0))</f>
        <v>36856.027397260274</v>
      </c>
      <c r="AD93" s="454">
        <f>IF(OR(Table51013454[[#This Row],[تاريخ الشراء-الاستلام]]="",Table51013454[[#This Row],[الإجمالي]]="",Table51013454[[#This Row],[العمر الافتراضي]]=""),"",IF(AND(AB93&lt;X93,AC93&gt;(X93*Y93),DATE(2016,12,31)&gt;J93),X93*Y93,IF(AND(AB93&lt;X93,DATE(2017,12,31)&gt;J93,AC93&gt;(X93*Y93)),(DATE(2017,12,31)-J93)/((100%/Y93)*365)*X93,IF(AND(AB93&lt;X93,DATE(2017,12,31)&gt;J93,AC93=0),(DATE(2017,12,31)-J93)/((100%/Y93)*365)*X93,IF(AND(AB93&lt;X93,DATE(2017,12,31)&gt;J93,AC93&lt;(X93*Y93)),AC93,0)))))</f>
        <v>13950</v>
      </c>
      <c r="AE93" s="453">
        <f>IF(OR(Table51013454[[#This Row],[تاريخ الشراء-الاستلام]]="",Table51013454[[#This Row],[الإجمالي]]="",Table51013454[[#This Row],[العمر الافتراضي]]=""),"",AB93+AD93)</f>
        <v>70093.972602739726</v>
      </c>
      <c r="AF93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الشراء-الاستلام]]&gt;DATE(2017,12,31),0,X93-AE93))</f>
        <v>22906.027397260274</v>
      </c>
    </row>
    <row r="94" spans="1:32" s="456" customFormat="1" ht="57.75" customHeight="1">
      <c r="A94" s="442">
        <f>IF(B94="","",SUBTOTAL(3,$B$6:B94))</f>
        <v>34</v>
      </c>
      <c r="B94" s="443" t="s">
        <v>1474</v>
      </c>
      <c r="C94" s="444" t="s">
        <v>1413</v>
      </c>
      <c r="D94" s="443" t="s">
        <v>1387</v>
      </c>
      <c r="E94" s="443" t="s">
        <v>64</v>
      </c>
      <c r="F94" s="443"/>
      <c r="G94" s="445" t="s">
        <v>1369</v>
      </c>
      <c r="H94" s="445"/>
      <c r="I94" s="460" t="s">
        <v>1475</v>
      </c>
      <c r="J94" s="446">
        <v>42370</v>
      </c>
      <c r="K94" s="446"/>
      <c r="L94" s="442">
        <v>1</v>
      </c>
      <c r="M94" s="443"/>
      <c r="N94" s="447">
        <v>189471</v>
      </c>
      <c r="O94" s="448">
        <f t="shared" si="2"/>
        <v>189471</v>
      </c>
      <c r="P94" s="449"/>
      <c r="Q94" s="447"/>
      <c r="R94" s="447"/>
      <c r="S94" s="447"/>
      <c r="T94" s="447"/>
      <c r="U94" s="450">
        <f>Table51013454[[#This Row],[العدد]]*Table51013454[[#This Row],[السعر الافرادي]]</f>
        <v>0</v>
      </c>
      <c r="V94" s="451">
        <f>Table51013454[[#This Row],[الكمية]]-Table51013454[[#This Row],[العدد]]</f>
        <v>1</v>
      </c>
      <c r="W94" s="447">
        <f>Table51013454[[#This Row],[سعر/الحبة]]</f>
        <v>189471</v>
      </c>
      <c r="X94" s="447">
        <f>Table51013454[[#This Row],[الإجمالي]]-Table51013454[[#This Row],[إجمالي المستبعد]]</f>
        <v>189471</v>
      </c>
      <c r="Y94" s="457">
        <v>0.15</v>
      </c>
      <c r="Z94" s="445"/>
      <c r="AA94" s="443" t="s">
        <v>1365</v>
      </c>
      <c r="AB94" s="453">
        <v>28420.649999999998</v>
      </c>
      <c r="AC94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الشراء-الاستلام]]&lt;DATE(2017,1,1),O94-AB94,0))</f>
        <v>161050.35</v>
      </c>
      <c r="AD94" s="454">
        <f>IF(OR(Table51013454[[#This Row],[تاريخ الشراء-الاستلام]]="",Table51013454[[#This Row],[الإجمالي]]="",Table51013454[[#This Row],[العمر الافتراضي]]=""),"",IF(AND(AB94&lt;X94,AC94&gt;(X94*Y94),DATE(2016,12,31)&gt;J94),X94*Y94,IF(AND(AB94&lt;X94,DATE(2017,12,31)&gt;J94,AC94&gt;(X94*Y94)),(DATE(2017,12,31)-J94)/((100%/Y94)*365)*X94,IF(AND(AB94&lt;X94,DATE(2017,12,31)&gt;J94,AC94=0),(DATE(2017,12,31)-J94)/((100%/Y94)*365)*X94,IF(AND(AB94&lt;X94,DATE(2017,12,31)&gt;J94,AC94&lt;(X94*Y94)),AC94,0)))))</f>
        <v>28420.649999999998</v>
      </c>
      <c r="AE94" s="453">
        <f>IF(OR(Table51013454[[#This Row],[تاريخ الشراء-الاستلام]]="",Table51013454[[#This Row],[الإجمالي]]="",Table51013454[[#This Row],[العمر الافتراضي]]=""),"",AB94+AD94)</f>
        <v>56841.299999999996</v>
      </c>
      <c r="AF94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الشراء-الاستلام]]&gt;DATE(2017,12,31),0,X94-AE94))</f>
        <v>132629.70000000001</v>
      </c>
    </row>
    <row r="95" spans="1:32" s="456" customFormat="1" ht="57.75" customHeight="1">
      <c r="A95" s="442">
        <f>IF(B95="","",SUBTOTAL(3,$B$6:B95))</f>
        <v>35</v>
      </c>
      <c r="B95" s="443" t="s">
        <v>1474</v>
      </c>
      <c r="C95" s="444" t="s">
        <v>1413</v>
      </c>
      <c r="D95" s="443" t="s">
        <v>1387</v>
      </c>
      <c r="E95" s="443" t="s">
        <v>64</v>
      </c>
      <c r="F95" s="443"/>
      <c r="G95" s="445" t="s">
        <v>1369</v>
      </c>
      <c r="H95" s="445"/>
      <c r="I95" s="460" t="s">
        <v>1476</v>
      </c>
      <c r="J95" s="446">
        <v>42370</v>
      </c>
      <c r="K95" s="446"/>
      <c r="L95" s="442">
        <v>1</v>
      </c>
      <c r="M95" s="443"/>
      <c r="N95" s="447">
        <v>189470</v>
      </c>
      <c r="O95" s="448">
        <f t="shared" si="2"/>
        <v>189470</v>
      </c>
      <c r="P95" s="449"/>
      <c r="Q95" s="447"/>
      <c r="R95" s="447"/>
      <c r="S95" s="447"/>
      <c r="T95" s="447"/>
      <c r="U95" s="450">
        <f>Table51013454[[#This Row],[العدد]]*Table51013454[[#This Row],[السعر الافرادي]]</f>
        <v>0</v>
      </c>
      <c r="V95" s="451">
        <f>Table51013454[[#This Row],[الكمية]]-Table51013454[[#This Row],[العدد]]</f>
        <v>1</v>
      </c>
      <c r="W95" s="447">
        <f>Table51013454[[#This Row],[سعر/الحبة]]</f>
        <v>189470</v>
      </c>
      <c r="X95" s="447">
        <f>Table51013454[[#This Row],[الإجمالي]]-Table51013454[[#This Row],[إجمالي المستبعد]]</f>
        <v>189470</v>
      </c>
      <c r="Y95" s="457">
        <v>0.15</v>
      </c>
      <c r="Z95" s="445"/>
      <c r="AA95" s="443" t="s">
        <v>1365</v>
      </c>
      <c r="AB95" s="453">
        <v>28420.5</v>
      </c>
      <c r="AC95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الشراء-الاستلام]]&lt;DATE(2017,1,1),O95-AB95,0))</f>
        <v>161049.5</v>
      </c>
      <c r="AD95" s="454">
        <f>IF(OR(Table51013454[[#This Row],[تاريخ الشراء-الاستلام]]="",Table51013454[[#This Row],[الإجمالي]]="",Table51013454[[#This Row],[العمر الافتراضي]]=""),"",IF(AND(AB95&lt;X95,AC95&gt;(X95*Y95),DATE(2016,12,31)&gt;J95),X95*Y95,IF(AND(AB95&lt;X95,DATE(2017,12,31)&gt;J95,AC95&gt;(X95*Y95)),(DATE(2017,12,31)-J95)/((100%/Y95)*365)*X95,IF(AND(AB95&lt;X95,DATE(2017,12,31)&gt;J95,AC95=0),(DATE(2017,12,31)-J95)/((100%/Y95)*365)*X95,IF(AND(AB95&lt;X95,DATE(2017,12,31)&gt;J95,AC95&lt;(X95*Y95)),AC95,0)))))</f>
        <v>28420.5</v>
      </c>
      <c r="AE95" s="453">
        <f>IF(OR(Table51013454[[#This Row],[تاريخ الشراء-الاستلام]]="",Table51013454[[#This Row],[الإجمالي]]="",Table51013454[[#This Row],[العمر الافتراضي]]=""),"",AB95+AD95)</f>
        <v>56841</v>
      </c>
      <c r="AF95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الشراء-الاستلام]]&gt;DATE(2017,12,31),0,X95-AE95))</f>
        <v>132629</v>
      </c>
    </row>
    <row r="96" spans="1:32" s="456" customFormat="1" ht="57.75" customHeight="1">
      <c r="A96" s="442">
        <f>IF(B96="","",SUBTOTAL(3,$B$6:B96))</f>
        <v>36</v>
      </c>
      <c r="B96" s="443" t="s">
        <v>90</v>
      </c>
      <c r="C96" s="444" t="s">
        <v>1413</v>
      </c>
      <c r="D96" s="443" t="s">
        <v>1387</v>
      </c>
      <c r="E96" s="443" t="s">
        <v>63</v>
      </c>
      <c r="F96" s="443"/>
      <c r="G96" s="445" t="s">
        <v>1369</v>
      </c>
      <c r="H96" s="445" t="s">
        <v>1477</v>
      </c>
      <c r="I96" s="460" t="s">
        <v>1478</v>
      </c>
      <c r="J96" s="446">
        <v>39814</v>
      </c>
      <c r="K96" s="446"/>
      <c r="L96" s="442">
        <v>1</v>
      </c>
      <c r="M96" s="443"/>
      <c r="N96" s="447">
        <v>90000</v>
      </c>
      <c r="O96" s="448">
        <f t="shared" si="2"/>
        <v>90000</v>
      </c>
      <c r="P96" s="449"/>
      <c r="Q96" s="447"/>
      <c r="R96" s="447"/>
      <c r="S96" s="447"/>
      <c r="T96" s="447"/>
      <c r="U96" s="450">
        <f>Table51013454[[#This Row],[العدد]]*Table51013454[[#This Row],[السعر الافرادي]]</f>
        <v>0</v>
      </c>
      <c r="V96" s="451">
        <f>Table51013454[[#This Row],[الكمية]]-Table51013454[[#This Row],[العدد]]</f>
        <v>1</v>
      </c>
      <c r="W96" s="447">
        <f>Table51013454[[#This Row],[سعر/الحبة]]</f>
        <v>90000</v>
      </c>
      <c r="X96" s="447">
        <f>Table51013454[[#This Row],[الإجمالي]]-Table51013454[[#This Row],[إجمالي المستبعد]]</f>
        <v>90000</v>
      </c>
      <c r="Y96" s="457">
        <v>0.15</v>
      </c>
      <c r="Z96" s="445"/>
      <c r="AA96" s="443" t="s">
        <v>1365</v>
      </c>
      <c r="AB96" s="453">
        <v>90000</v>
      </c>
      <c r="AC96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الشراء-الاستلام]]&lt;DATE(2017,1,1),O96-AB96,0))</f>
        <v>0</v>
      </c>
      <c r="AD96" s="454">
        <f>IF(OR(Table51013454[[#This Row],[تاريخ الشراء-الاستلام]]="",Table51013454[[#This Row],[الإجمالي]]="",Table51013454[[#This Row],[العمر الافتراضي]]=""),"",IF(AND(AB96&lt;X96,AC96&gt;(X96*Y96),DATE(2016,12,31)&gt;J96),X96*Y96,IF(AND(AB96&lt;X96,DATE(2017,12,31)&gt;J96,AC96&gt;(X96*Y96)),(DATE(2017,12,31)-J96)/((100%/Y96)*365)*X96,IF(AND(AB96&lt;X96,DATE(2017,12,31)&gt;J96,AC96=0),(DATE(2017,12,31)-J96)/((100%/Y96)*365)*X96,IF(AND(AB96&lt;X96,DATE(2017,12,31)&gt;J96,AC96&lt;(X96*Y96)),AC96,0)))))</f>
        <v>0</v>
      </c>
      <c r="AE96" s="453">
        <f>IF(OR(Table51013454[[#This Row],[تاريخ الشراء-الاستلام]]="",Table51013454[[#This Row],[الإجمالي]]="",Table51013454[[#This Row],[العمر الافتراضي]]=""),"",AB96+AD96)</f>
        <v>90000</v>
      </c>
      <c r="AF96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الشراء-الاستلام]]&gt;DATE(2017,12,31),0,X96-AE96))</f>
        <v>0</v>
      </c>
    </row>
    <row r="97" spans="1:32" s="456" customFormat="1" ht="57.75" hidden="1" customHeight="1">
      <c r="A97" s="442">
        <f>IF(B97="","",SUBTOTAL(3,$B$6:B97))</f>
        <v>36</v>
      </c>
      <c r="B97" s="443" t="s">
        <v>1479</v>
      </c>
      <c r="C97" s="444" t="s">
        <v>118</v>
      </c>
      <c r="D97" s="443" t="s">
        <v>1383</v>
      </c>
      <c r="E97" s="443" t="s">
        <v>64</v>
      </c>
      <c r="F97" s="443" t="s">
        <v>990</v>
      </c>
      <c r="G97" s="445" t="s">
        <v>1377</v>
      </c>
      <c r="H97" s="445" t="s">
        <v>1480</v>
      </c>
      <c r="I97" s="458" t="s">
        <v>1481</v>
      </c>
      <c r="J97" s="446">
        <v>42309</v>
      </c>
      <c r="K97" s="446"/>
      <c r="L97" s="442">
        <v>1</v>
      </c>
      <c r="M97" s="443"/>
      <c r="N97" s="447">
        <v>160000</v>
      </c>
      <c r="O97" s="448">
        <f t="shared" si="2"/>
        <v>160000</v>
      </c>
      <c r="P97" s="449"/>
      <c r="Q97" s="447"/>
      <c r="R97" s="447"/>
      <c r="S97" s="447"/>
      <c r="T97" s="447"/>
      <c r="U97" s="450">
        <f>Table51013454[[#This Row],[العدد]]*Table51013454[[#This Row],[السعر الافرادي]]</f>
        <v>0</v>
      </c>
      <c r="V97" s="451">
        <f>Table51013454[[#This Row],[الكمية]]-Table51013454[[#This Row],[العدد]]</f>
        <v>1</v>
      </c>
      <c r="W97" s="447">
        <f>Table51013454[[#This Row],[سعر/الحبة]]</f>
        <v>160000</v>
      </c>
      <c r="X97" s="447">
        <f>Table51013454[[#This Row],[الإجمالي]]-Table51013454[[#This Row],[إجمالي المستبعد]]</f>
        <v>160000</v>
      </c>
      <c r="Y97" s="452">
        <v>0.25</v>
      </c>
      <c r="Z97" s="445"/>
      <c r="AA97" s="443" t="s">
        <v>1365</v>
      </c>
      <c r="AB97" s="453">
        <v>45260</v>
      </c>
      <c r="AC97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الشراء-الاستلام]]&lt;DATE(2017,1,1),O97-AB97,0))</f>
        <v>114740</v>
      </c>
      <c r="AD97" s="454">
        <f>IF(OR(Table51013454[[#This Row],[تاريخ الشراء-الاستلام]]="",Table51013454[[#This Row],[الإجمالي]]="",Table51013454[[#This Row],[العمر الافتراضي]]=""),"",IF(AND(AB97&lt;X97,AC97&gt;(X97*Y97),DATE(2016,12,31)&gt;J97),X97*Y97,IF(AND(AB97&lt;X97,DATE(2017,12,31)&gt;J97,AC97&gt;(X97*Y97)),(DATE(2017,12,31)-J97)/((100%/Y97)*365)*X97,IF(AND(AB97&lt;X97,DATE(2017,12,31)&gt;J97,AC97=0),(DATE(2017,12,31)-J97)/((100%/Y97)*365)*X97,IF(AND(AB97&lt;X97,DATE(2017,12,31)&gt;J97,AC97&lt;(X97*Y97)),AC97,0)))))</f>
        <v>40000</v>
      </c>
      <c r="AE97" s="453">
        <f>IF(OR(Table51013454[[#This Row],[تاريخ الشراء-الاستلام]]="",Table51013454[[#This Row],[الإجمالي]]="",Table51013454[[#This Row],[العمر الافتراضي]]=""),"",AB97+AD97)</f>
        <v>85260</v>
      </c>
      <c r="AF97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الشراء-الاستلام]]&gt;DATE(2017,12,31),0,X97-AE97))</f>
        <v>74740</v>
      </c>
    </row>
    <row r="98" spans="1:32" s="456" customFormat="1" ht="57.75" customHeight="1">
      <c r="A98" s="442">
        <f>IF(B98="","",SUBTOTAL(3,$B$6:B98))</f>
        <v>37</v>
      </c>
      <c r="B98" s="443" t="s">
        <v>1482</v>
      </c>
      <c r="C98" s="444" t="s">
        <v>1413</v>
      </c>
      <c r="D98" s="443" t="s">
        <v>1383</v>
      </c>
      <c r="E98" s="443" t="s">
        <v>64</v>
      </c>
      <c r="F98" s="443" t="s">
        <v>990</v>
      </c>
      <c r="G98" s="445" t="s">
        <v>1363</v>
      </c>
      <c r="H98" s="445"/>
      <c r="I98" s="460" t="s">
        <v>1483</v>
      </c>
      <c r="J98" s="446">
        <v>40544</v>
      </c>
      <c r="K98" s="446"/>
      <c r="L98" s="442">
        <v>1</v>
      </c>
      <c r="M98" s="443"/>
      <c r="N98" s="447">
        <f>20500+10000</f>
        <v>30500</v>
      </c>
      <c r="O98" s="448">
        <f t="shared" si="2"/>
        <v>30500</v>
      </c>
      <c r="P98" s="449"/>
      <c r="Q98" s="447"/>
      <c r="R98" s="447"/>
      <c r="S98" s="447"/>
      <c r="T98" s="447"/>
      <c r="U98" s="450">
        <f>Table51013454[[#This Row],[العدد]]*Table51013454[[#This Row],[السعر الافرادي]]</f>
        <v>0</v>
      </c>
      <c r="V98" s="451">
        <f>Table51013454[[#This Row],[الكمية]]-Table51013454[[#This Row],[العدد]]</f>
        <v>1</v>
      </c>
      <c r="W98" s="447">
        <f>Table51013454[[#This Row],[سعر/الحبة]]</f>
        <v>30500</v>
      </c>
      <c r="X98" s="447">
        <f>Table51013454[[#This Row],[الإجمالي]]-Table51013454[[#This Row],[إجمالي المستبعد]]</f>
        <v>30500</v>
      </c>
      <c r="Y98" s="457">
        <v>0.25</v>
      </c>
      <c r="Z98" s="445"/>
      <c r="AA98" s="443" t="s">
        <v>1365</v>
      </c>
      <c r="AB98" s="453">
        <v>30500</v>
      </c>
      <c r="AC98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الشراء-الاستلام]]&lt;DATE(2017,1,1),O98-AB98,0))</f>
        <v>0</v>
      </c>
      <c r="AD98" s="454">
        <f>IF(OR(Table51013454[[#This Row],[تاريخ الشراء-الاستلام]]="",Table51013454[[#This Row],[الإجمالي]]="",Table51013454[[#This Row],[العمر الافتراضي]]=""),"",IF(AND(AB98&lt;X98,AC98&gt;(X98*Y98),DATE(2016,12,31)&gt;J98),X98*Y98,IF(AND(AB98&lt;X98,DATE(2017,12,31)&gt;J98,AC98&gt;(X98*Y98)),(DATE(2017,12,31)-J98)/((100%/Y98)*365)*X98,IF(AND(AB98&lt;X98,DATE(2017,12,31)&gt;J98,AC98=0),(DATE(2017,12,31)-J98)/((100%/Y98)*365)*X98,IF(AND(AB98&lt;X98,DATE(2017,12,31)&gt;J98,AC98&lt;(X98*Y98)),AC98,0)))))</f>
        <v>0</v>
      </c>
      <c r="AE98" s="453">
        <f>IF(OR(Table51013454[[#This Row],[تاريخ الشراء-الاستلام]]="",Table51013454[[#This Row],[الإجمالي]]="",Table51013454[[#This Row],[العمر الافتراضي]]=""),"",AB98+AD98)</f>
        <v>30500</v>
      </c>
      <c r="AF98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الشراء-الاستلام]]&gt;DATE(2017,12,31),0,X98-AE98))</f>
        <v>0</v>
      </c>
    </row>
    <row r="99" spans="1:32" s="456" customFormat="1" ht="57.75" hidden="1" customHeight="1">
      <c r="A99" s="442">
        <f>IF(B99="","",SUBTOTAL(3,$B$6:B99))</f>
        <v>37</v>
      </c>
      <c r="B99" s="443" t="s">
        <v>90</v>
      </c>
      <c r="C99" s="444" t="s">
        <v>118</v>
      </c>
      <c r="D99" s="443" t="s">
        <v>1387</v>
      </c>
      <c r="E99" s="443" t="s">
        <v>64</v>
      </c>
      <c r="F99" s="443" t="s">
        <v>1421</v>
      </c>
      <c r="G99" s="445" t="s">
        <v>1369</v>
      </c>
      <c r="H99" s="445"/>
      <c r="I99" s="458" t="s">
        <v>1484</v>
      </c>
      <c r="J99" s="446">
        <v>42159.78</v>
      </c>
      <c r="K99" s="446"/>
      <c r="L99" s="442">
        <v>1</v>
      </c>
      <c r="M99" s="443"/>
      <c r="N99" s="447">
        <v>285000</v>
      </c>
      <c r="O99" s="448">
        <f t="shared" si="2"/>
        <v>285000</v>
      </c>
      <c r="P99" s="449"/>
      <c r="Q99" s="447"/>
      <c r="R99" s="447"/>
      <c r="S99" s="447"/>
      <c r="T99" s="447"/>
      <c r="U99" s="450">
        <f>Table51013454[[#This Row],[العدد]]*Table51013454[[#This Row],[السعر الافرادي]]</f>
        <v>0</v>
      </c>
      <c r="V99" s="451">
        <f>Table51013454[[#This Row],[الكمية]]-Table51013454[[#This Row],[العدد]]</f>
        <v>1</v>
      </c>
      <c r="W99" s="447">
        <f>Table51013454[[#This Row],[سعر/الحبة]]</f>
        <v>285000</v>
      </c>
      <c r="X99" s="447">
        <f>Table51013454[[#This Row],[الإجمالي]]-Table51013454[[#This Row],[إجمالي المستبعد]]</f>
        <v>285000</v>
      </c>
      <c r="Y99" s="457">
        <v>0.25</v>
      </c>
      <c r="Z99" s="445"/>
      <c r="AA99" s="443" t="s">
        <v>1365</v>
      </c>
      <c r="AB99" s="453">
        <v>95754.53424657548</v>
      </c>
      <c r="AC99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الشراء-الاستلام]]&lt;DATE(2017,1,1),O99-AB99,0))</f>
        <v>189245.46575342451</v>
      </c>
      <c r="AD99" s="454">
        <f>IF(OR(Table51013454[[#This Row],[تاريخ الشراء-الاستلام]]="",Table51013454[[#This Row],[الإجمالي]]="",Table51013454[[#This Row],[العمر الافتراضي]]=""),"",IF(AND(AB99&lt;X99,AC99&gt;(X99*Y99),DATE(2016,12,31)&gt;J99),X99*Y99,IF(AND(AB99&lt;X99,DATE(2017,12,31)&gt;J99,AC99&gt;(X99*Y99)),(DATE(2017,12,31)-J99)/((100%/Y99)*365)*X99,IF(AND(AB99&lt;X99,DATE(2017,12,31)&gt;J99,AC99=0),(DATE(2017,12,31)-J99)/((100%/Y99)*365)*X99,IF(AND(AB99&lt;X99,DATE(2017,12,31)&gt;J99,AC99&lt;(X99*Y99)),AC99,0)))))</f>
        <v>71250</v>
      </c>
      <c r="AE99" s="453">
        <f>IF(OR(Table51013454[[#This Row],[تاريخ الشراء-الاستلام]]="",Table51013454[[#This Row],[الإجمالي]]="",Table51013454[[#This Row],[العمر الافتراضي]]=""),"",AB99+AD99)</f>
        <v>167004.53424657549</v>
      </c>
      <c r="AF99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الشراء-الاستلام]]&gt;DATE(2017,12,31),0,X99-AE99))</f>
        <v>117995.46575342451</v>
      </c>
    </row>
    <row r="100" spans="1:32" s="456" customFormat="1" ht="57.75" hidden="1" customHeight="1">
      <c r="A100" s="442">
        <f>IF(B100="","",SUBTOTAL(3,$B$6:B100))</f>
        <v>37</v>
      </c>
      <c r="B100" s="443" t="s">
        <v>90</v>
      </c>
      <c r="C100" s="444" t="s">
        <v>118</v>
      </c>
      <c r="D100" s="443" t="s">
        <v>1387</v>
      </c>
      <c r="E100" s="443" t="s">
        <v>64</v>
      </c>
      <c r="F100" s="443" t="s">
        <v>1421</v>
      </c>
      <c r="G100" s="445" t="s">
        <v>1369</v>
      </c>
      <c r="H100" s="445"/>
      <c r="I100" s="458" t="s">
        <v>1485</v>
      </c>
      <c r="J100" s="446">
        <v>42159</v>
      </c>
      <c r="K100" s="446"/>
      <c r="L100" s="442">
        <v>1</v>
      </c>
      <c r="M100" s="443"/>
      <c r="N100" s="447">
        <v>285000</v>
      </c>
      <c r="O100" s="448">
        <f t="shared" si="2"/>
        <v>285000</v>
      </c>
      <c r="P100" s="449"/>
      <c r="Q100" s="447"/>
      <c r="R100" s="447"/>
      <c r="S100" s="447"/>
      <c r="T100" s="447"/>
      <c r="U100" s="450">
        <f>Table51013454[[#This Row],[العدد]]*Table51013454[[#This Row],[السعر الافرادي]]</f>
        <v>0</v>
      </c>
      <c r="V100" s="451">
        <f>Table51013454[[#This Row],[الكمية]]-Table51013454[[#This Row],[العدد]]</f>
        <v>1</v>
      </c>
      <c r="W100" s="447">
        <f>Table51013454[[#This Row],[سعر/الحبة]]</f>
        <v>285000</v>
      </c>
      <c r="X100" s="447">
        <f>Table51013454[[#This Row],[الإجمالي]]-Table51013454[[#This Row],[إجمالي المستبعد]]</f>
        <v>285000</v>
      </c>
      <c r="Y100" s="457">
        <v>0.25</v>
      </c>
      <c r="Z100" s="445"/>
      <c r="AA100" s="443" t="s">
        <v>1365</v>
      </c>
      <c r="AB100" s="453">
        <v>95845.890410958906</v>
      </c>
      <c r="AC100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الشراء-الاستلام]]&lt;DATE(2017,1,1),O100-AB100,0))</f>
        <v>189154.10958904109</v>
      </c>
      <c r="AD100" s="454">
        <f>IF(OR(Table51013454[[#This Row],[تاريخ الشراء-الاستلام]]="",Table51013454[[#This Row],[الإجمالي]]="",Table51013454[[#This Row],[العمر الافتراضي]]=""),"",IF(AND(AB100&lt;X100,AC100&gt;(X100*Y100),DATE(2016,12,31)&gt;J100),X100*Y100,IF(AND(AB100&lt;X100,DATE(2017,12,31)&gt;J100,AC100&gt;(X100*Y100)),(DATE(2017,12,31)-J100)/((100%/Y100)*365)*X100,IF(AND(AB100&lt;X100,DATE(2017,12,31)&gt;J100,AC100=0),(DATE(2017,12,31)-J100)/((100%/Y100)*365)*X100,IF(AND(AB100&lt;X100,DATE(2017,12,31)&gt;J100,AC100&lt;(X100*Y100)),AC100,0)))))</f>
        <v>71250</v>
      </c>
      <c r="AE100" s="453">
        <f>IF(OR(Table51013454[[#This Row],[تاريخ الشراء-الاستلام]]="",Table51013454[[#This Row],[الإجمالي]]="",Table51013454[[#This Row],[العمر الافتراضي]]=""),"",AB100+AD100)</f>
        <v>167095.89041095891</v>
      </c>
      <c r="AF100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الشراء-الاستلام]]&gt;DATE(2017,12,31),0,X100-AE100))</f>
        <v>117904.10958904109</v>
      </c>
    </row>
    <row r="101" spans="1:32" s="456" customFormat="1" ht="57.75" hidden="1" customHeight="1">
      <c r="A101" s="442">
        <f>IF(B101="","",SUBTOTAL(3,$B$6:B101))</f>
        <v>37</v>
      </c>
      <c r="B101" s="443" t="s">
        <v>90</v>
      </c>
      <c r="C101" s="444" t="s">
        <v>118</v>
      </c>
      <c r="D101" s="443" t="s">
        <v>1387</v>
      </c>
      <c r="E101" s="443" t="s">
        <v>64</v>
      </c>
      <c r="F101" s="443" t="s">
        <v>1421</v>
      </c>
      <c r="G101" s="445" t="s">
        <v>1369</v>
      </c>
      <c r="H101" s="445"/>
      <c r="I101" s="458" t="s">
        <v>1486</v>
      </c>
      <c r="J101" s="446">
        <v>42158</v>
      </c>
      <c r="K101" s="446"/>
      <c r="L101" s="442">
        <v>1</v>
      </c>
      <c r="M101" s="443"/>
      <c r="N101" s="447">
        <v>285000</v>
      </c>
      <c r="O101" s="448">
        <f t="shared" si="2"/>
        <v>285000</v>
      </c>
      <c r="P101" s="449"/>
      <c r="Q101" s="447"/>
      <c r="R101" s="447"/>
      <c r="S101" s="447"/>
      <c r="T101" s="447"/>
      <c r="U101" s="450">
        <f>Table51013454[[#This Row],[العدد]]*Table51013454[[#This Row],[السعر الافرادي]]</f>
        <v>0</v>
      </c>
      <c r="V101" s="451">
        <f>Table51013454[[#This Row],[الكمية]]-Table51013454[[#This Row],[العدد]]</f>
        <v>1</v>
      </c>
      <c r="W101" s="447">
        <f>Table51013454[[#This Row],[سعر/الحبة]]</f>
        <v>285000</v>
      </c>
      <c r="X101" s="447">
        <f>Table51013454[[#This Row],[الإجمالي]]-Table51013454[[#This Row],[إجمالي المستبعد]]</f>
        <v>285000</v>
      </c>
      <c r="Y101" s="457">
        <v>0.25</v>
      </c>
      <c r="Z101" s="445"/>
      <c r="AA101" s="443" t="s">
        <v>1365</v>
      </c>
      <c r="AB101" s="453">
        <v>95963.013698630137</v>
      </c>
      <c r="AC101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الشراء-الاستلام]]&lt;DATE(2017,1,1),O101-AB101,0))</f>
        <v>189036.98630136985</v>
      </c>
      <c r="AD101" s="454">
        <f>IF(OR(Table51013454[[#This Row],[تاريخ الشراء-الاستلام]]="",Table51013454[[#This Row],[الإجمالي]]="",Table51013454[[#This Row],[العمر الافتراضي]]=""),"",IF(AND(AB101&lt;X101,AC101&gt;(X101*Y101),DATE(2016,12,31)&gt;J101),X101*Y101,IF(AND(AB101&lt;X101,DATE(2017,12,31)&gt;J101,AC101&gt;(X101*Y101)),(DATE(2017,12,31)-J101)/((100%/Y101)*365)*X101,IF(AND(AB101&lt;X101,DATE(2017,12,31)&gt;J101,AC101=0),(DATE(2017,12,31)-J101)/((100%/Y101)*365)*X101,IF(AND(AB101&lt;X101,DATE(2017,12,31)&gt;J101,AC101&lt;(X101*Y101)),AC101,0)))))</f>
        <v>71250</v>
      </c>
      <c r="AE101" s="453">
        <f>IF(OR(Table51013454[[#This Row],[تاريخ الشراء-الاستلام]]="",Table51013454[[#This Row],[الإجمالي]]="",Table51013454[[#This Row],[العمر الافتراضي]]=""),"",AB101+AD101)</f>
        <v>167213.01369863015</v>
      </c>
      <c r="AF101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الشراء-الاستلام]]&gt;DATE(2017,12,31),0,X101-AE101))</f>
        <v>117786.98630136985</v>
      </c>
    </row>
    <row r="102" spans="1:32" s="456" customFormat="1" ht="57.75" hidden="1" customHeight="1">
      <c r="A102" s="442">
        <f>IF(B102="","",SUBTOTAL(3,$B$6:B102))</f>
        <v>37</v>
      </c>
      <c r="B102" s="443" t="s">
        <v>90</v>
      </c>
      <c r="C102" s="444" t="s">
        <v>118</v>
      </c>
      <c r="D102" s="443" t="s">
        <v>1387</v>
      </c>
      <c r="E102" s="443" t="s">
        <v>1134</v>
      </c>
      <c r="F102" s="443"/>
      <c r="G102" s="445" t="s">
        <v>1369</v>
      </c>
      <c r="H102" s="445"/>
      <c r="I102" s="458" t="s">
        <v>1487</v>
      </c>
      <c r="J102" s="446">
        <v>42157</v>
      </c>
      <c r="K102" s="446"/>
      <c r="L102" s="442">
        <v>1</v>
      </c>
      <c r="M102" s="443"/>
      <c r="N102" s="447">
        <v>285000</v>
      </c>
      <c r="O102" s="448">
        <f t="shared" si="2"/>
        <v>285000</v>
      </c>
      <c r="P102" s="449"/>
      <c r="Q102" s="447"/>
      <c r="R102" s="447"/>
      <c r="S102" s="447"/>
      <c r="T102" s="447"/>
      <c r="U102" s="450">
        <f>Table51013454[[#This Row],[العدد]]*Table51013454[[#This Row],[السعر الافرادي]]</f>
        <v>0</v>
      </c>
      <c r="V102" s="451">
        <f>Table51013454[[#This Row],[الكمية]]-Table51013454[[#This Row],[العدد]]</f>
        <v>1</v>
      </c>
      <c r="W102" s="447">
        <f>Table51013454[[#This Row],[سعر/الحبة]]</f>
        <v>285000</v>
      </c>
      <c r="X102" s="447">
        <f>Table51013454[[#This Row],[الإجمالي]]-Table51013454[[#This Row],[إجمالي المستبعد]]</f>
        <v>285000</v>
      </c>
      <c r="Y102" s="457">
        <v>0.25</v>
      </c>
      <c r="Z102" s="445"/>
      <c r="AA102" s="443" t="s">
        <v>1365</v>
      </c>
      <c r="AB102" s="453">
        <v>96080.136986301368</v>
      </c>
      <c r="AC102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الشراء-الاستلام]]&lt;DATE(2017,1,1),O102-AB102,0))</f>
        <v>188919.86301369863</v>
      </c>
      <c r="AD102" s="454">
        <f>IF(OR(Table51013454[[#This Row],[تاريخ الشراء-الاستلام]]="",Table51013454[[#This Row],[الإجمالي]]="",Table51013454[[#This Row],[العمر الافتراضي]]=""),"",IF(AND(AB102&lt;X102,AC102&gt;(X102*Y102),DATE(2016,12,31)&gt;J102),X102*Y102,IF(AND(AB102&lt;X102,DATE(2017,12,31)&gt;J102,AC102&gt;(X102*Y102)),(DATE(2017,12,31)-J102)/((100%/Y102)*365)*X102,IF(AND(AB102&lt;X102,DATE(2017,12,31)&gt;J102,AC102=0),(DATE(2017,12,31)-J102)/((100%/Y102)*365)*X102,IF(AND(AB102&lt;X102,DATE(2017,12,31)&gt;J102,AC102&lt;(X102*Y102)),AC102,0)))))</f>
        <v>71250</v>
      </c>
      <c r="AE102" s="453">
        <f>IF(OR(Table51013454[[#This Row],[تاريخ الشراء-الاستلام]]="",Table51013454[[#This Row],[الإجمالي]]="",Table51013454[[#This Row],[العمر الافتراضي]]=""),"",AB102+AD102)</f>
        <v>167330.13698630137</v>
      </c>
      <c r="AF102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الشراء-الاستلام]]&gt;DATE(2017,12,31),0,X102-AE102))</f>
        <v>117669.86301369863</v>
      </c>
    </row>
    <row r="103" spans="1:32" s="456" customFormat="1" ht="57.75" customHeight="1">
      <c r="A103" s="442">
        <f>IF(B103="","",SUBTOTAL(3,$B$6:B103))</f>
        <v>38</v>
      </c>
      <c r="B103" s="443" t="s">
        <v>1488</v>
      </c>
      <c r="C103" s="444" t="s">
        <v>1489</v>
      </c>
      <c r="D103" s="443" t="s">
        <v>1383</v>
      </c>
      <c r="E103" s="443" t="s">
        <v>64</v>
      </c>
      <c r="F103" s="443" t="s">
        <v>1421</v>
      </c>
      <c r="G103" s="445" t="s">
        <v>1369</v>
      </c>
      <c r="H103" s="445"/>
      <c r="I103" s="458" t="s">
        <v>1490</v>
      </c>
      <c r="J103" s="446">
        <v>40544</v>
      </c>
      <c r="K103" s="446"/>
      <c r="L103" s="442">
        <v>1</v>
      </c>
      <c r="M103" s="443"/>
      <c r="N103" s="447">
        <f>50000+10500</f>
        <v>60500</v>
      </c>
      <c r="O103" s="448">
        <f t="shared" si="2"/>
        <v>60500</v>
      </c>
      <c r="P103" s="449"/>
      <c r="Q103" s="447"/>
      <c r="R103" s="447"/>
      <c r="S103" s="447"/>
      <c r="T103" s="447"/>
      <c r="U103" s="450">
        <f>Table51013454[[#This Row],[العدد]]*Table51013454[[#This Row],[السعر الافرادي]]</f>
        <v>0</v>
      </c>
      <c r="V103" s="451">
        <f>Table51013454[[#This Row],[الكمية]]-Table51013454[[#This Row],[العدد]]</f>
        <v>1</v>
      </c>
      <c r="W103" s="447">
        <f>Table51013454[[#This Row],[سعر/الحبة]]</f>
        <v>60500</v>
      </c>
      <c r="X103" s="447">
        <f>Table51013454[[#This Row],[الإجمالي]]-Table51013454[[#This Row],[إجمالي المستبعد]]</f>
        <v>60500</v>
      </c>
      <c r="Y103" s="452">
        <v>0.25</v>
      </c>
      <c r="Z103" s="445"/>
      <c r="AA103" s="443" t="s">
        <v>1365</v>
      </c>
      <c r="AB103" s="453">
        <v>60500</v>
      </c>
      <c r="AC103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الشراء-الاستلام]]&lt;DATE(2017,1,1),O103-AB103,0))</f>
        <v>0</v>
      </c>
      <c r="AD103" s="454">
        <f>IF(OR(Table51013454[[#This Row],[تاريخ الشراء-الاستلام]]="",Table51013454[[#This Row],[الإجمالي]]="",Table51013454[[#This Row],[العمر الافتراضي]]=""),"",IF(AND(AB103&lt;X103,AC103&gt;(X103*Y103),DATE(2016,12,31)&gt;J103),X103*Y103,IF(AND(AB103&lt;X103,DATE(2017,12,31)&gt;J103,AC103&gt;(X103*Y103)),(DATE(2017,12,31)-J103)/((100%/Y103)*365)*X103,IF(AND(AB103&lt;X103,DATE(2017,12,31)&gt;J103,AC103=0),(DATE(2017,12,31)-J103)/((100%/Y103)*365)*X103,IF(AND(AB103&lt;X103,DATE(2017,12,31)&gt;J103,AC103&lt;(X103*Y103)),AC103,0)))))</f>
        <v>0</v>
      </c>
      <c r="AE103" s="453">
        <f>IF(OR(Table51013454[[#This Row],[تاريخ الشراء-الاستلام]]="",Table51013454[[#This Row],[الإجمالي]]="",Table51013454[[#This Row],[العمر الافتراضي]]=""),"",AB103+AD103)</f>
        <v>60500</v>
      </c>
      <c r="AF103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الشراء-الاستلام]]&gt;DATE(2017,12,31),0,X103-AE103))</f>
        <v>0</v>
      </c>
    </row>
    <row r="104" spans="1:32" s="456" customFormat="1" ht="57.75" customHeight="1">
      <c r="A104" s="442">
        <f>IF(B104="","",SUBTOTAL(3,$B$6:B104))</f>
        <v>39</v>
      </c>
      <c r="B104" s="443" t="s">
        <v>1491</v>
      </c>
      <c r="C104" s="444" t="s">
        <v>1413</v>
      </c>
      <c r="D104" s="443" t="s">
        <v>1383</v>
      </c>
      <c r="E104" s="443" t="s">
        <v>64</v>
      </c>
      <c r="F104" s="443" t="s">
        <v>1421</v>
      </c>
      <c r="G104" s="445" t="s">
        <v>1369</v>
      </c>
      <c r="H104" s="445"/>
      <c r="I104" s="460" t="s">
        <v>1492</v>
      </c>
      <c r="J104" s="446">
        <v>42156</v>
      </c>
      <c r="K104" s="446"/>
      <c r="L104" s="442">
        <v>1</v>
      </c>
      <c r="M104" s="443"/>
      <c r="N104" s="447">
        <v>50000</v>
      </c>
      <c r="O104" s="448">
        <f t="shared" si="2"/>
        <v>50000</v>
      </c>
      <c r="P104" s="449"/>
      <c r="Q104" s="447"/>
      <c r="R104" s="447"/>
      <c r="S104" s="447"/>
      <c r="T104" s="447"/>
      <c r="U104" s="450">
        <f>Table51013454[[#This Row],[العدد]]*Table51013454[[#This Row],[السعر الافرادي]]</f>
        <v>0</v>
      </c>
      <c r="V104" s="451">
        <f>Table51013454[[#This Row],[الكمية]]-Table51013454[[#This Row],[العدد]]</f>
        <v>1</v>
      </c>
      <c r="W104" s="447">
        <f>Table51013454[[#This Row],[سعر/الحبة]]</f>
        <v>50000</v>
      </c>
      <c r="X104" s="447">
        <f>Table51013454[[#This Row],[الإجمالي]]-Table51013454[[#This Row],[إجمالي المستبعد]]</f>
        <v>50000</v>
      </c>
      <c r="Y104" s="457">
        <v>0.15</v>
      </c>
      <c r="Z104" s="445"/>
      <c r="AA104" s="443" t="s">
        <v>1365</v>
      </c>
      <c r="AB104" s="453">
        <v>11876.712328767124</v>
      </c>
      <c r="AC104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الشراء-الاستلام]]&lt;DATE(2017,1,1),O104-AB104,0))</f>
        <v>38123.287671232873</v>
      </c>
      <c r="AD104" s="454">
        <f>IF(OR(Table51013454[[#This Row],[تاريخ الشراء-الاستلام]]="",Table51013454[[#This Row],[الإجمالي]]="",Table51013454[[#This Row],[العمر الافتراضي]]=""),"",IF(AND(AB104&lt;X104,AC104&gt;(X104*Y104),DATE(2016,12,31)&gt;J104),X104*Y104,IF(AND(AB104&lt;X104,DATE(2017,12,31)&gt;J104,AC104&gt;(X104*Y104)),(DATE(2017,12,31)-J104)/((100%/Y104)*365)*X104,IF(AND(AB104&lt;X104,DATE(2017,12,31)&gt;J104,AC104=0),(DATE(2017,12,31)-J104)/((100%/Y104)*365)*X104,IF(AND(AB104&lt;X104,DATE(2017,12,31)&gt;J104,AC104&lt;(X104*Y104)),AC104,0)))))</f>
        <v>7500</v>
      </c>
      <c r="AE104" s="453">
        <f>IF(OR(Table51013454[[#This Row],[تاريخ الشراء-الاستلام]]="",Table51013454[[#This Row],[الإجمالي]]="",Table51013454[[#This Row],[العمر الافتراضي]]=""),"",AB104+AD104)</f>
        <v>19376.712328767124</v>
      </c>
      <c r="AF104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الشراء-الاستلام]]&gt;DATE(2017,12,31),0,X104-AE104))</f>
        <v>30623.287671232876</v>
      </c>
    </row>
    <row r="105" spans="1:32" s="456" customFormat="1" ht="57.75" hidden="1" customHeight="1">
      <c r="A105" s="442">
        <f>IF(B105="","",SUBTOTAL(3,$B$6:B105))</f>
        <v>39</v>
      </c>
      <c r="B105" s="443" t="s">
        <v>1493</v>
      </c>
      <c r="C105" s="444" t="s">
        <v>118</v>
      </c>
      <c r="D105" s="443" t="s">
        <v>1387</v>
      </c>
      <c r="E105" s="443" t="s">
        <v>64</v>
      </c>
      <c r="F105" s="443" t="s">
        <v>1388</v>
      </c>
      <c r="G105" s="445" t="s">
        <v>1369</v>
      </c>
      <c r="H105" s="445"/>
      <c r="I105" s="458" t="s">
        <v>1425</v>
      </c>
      <c r="J105" s="446">
        <v>42429</v>
      </c>
      <c r="K105" s="446"/>
      <c r="L105" s="442">
        <v>1</v>
      </c>
      <c r="M105" s="443"/>
      <c r="N105" s="447">
        <v>10350</v>
      </c>
      <c r="O105" s="448">
        <f t="shared" si="2"/>
        <v>10350</v>
      </c>
      <c r="P105" s="449"/>
      <c r="Q105" s="447"/>
      <c r="R105" s="447"/>
      <c r="S105" s="447"/>
      <c r="T105" s="447"/>
      <c r="U105" s="450">
        <f>Table51013454[[#This Row],[العدد]]*Table51013454[[#This Row],[السعر الافرادي]]</f>
        <v>0</v>
      </c>
      <c r="V105" s="451">
        <f>Table51013454[[#This Row],[الكمية]]-Table51013454[[#This Row],[العدد]]</f>
        <v>1</v>
      </c>
      <c r="W105" s="447">
        <f>Table51013454[[#This Row],[سعر/الحبة]]</f>
        <v>10350</v>
      </c>
      <c r="X105" s="447">
        <f>Table51013454[[#This Row],[الإجمالي]]-Table51013454[[#This Row],[إجمالي المستبعد]]</f>
        <v>10350</v>
      </c>
      <c r="Y105" s="457">
        <v>0.25</v>
      </c>
      <c r="Z105" s="445"/>
      <c r="AA105" s="443" t="s">
        <v>1365</v>
      </c>
      <c r="AB105" s="453">
        <v>2169.2465753424658</v>
      </c>
      <c r="AC105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الشراء-الاستلام]]&lt;DATE(2017,1,1),O105-AB105,0))</f>
        <v>8180.7534246575342</v>
      </c>
      <c r="AD105" s="454">
        <f>IF(OR(Table51013454[[#This Row],[تاريخ الشراء-الاستلام]]="",Table51013454[[#This Row],[الإجمالي]]="",Table51013454[[#This Row],[العمر الافتراضي]]=""),"",IF(AND(AB105&lt;X105,AC105&gt;(X105*Y105),DATE(2016,12,31)&gt;J105),X105*Y105,IF(AND(AB105&lt;X105,DATE(2017,12,31)&gt;J105,AC105&gt;(X105*Y105)),(DATE(2017,12,31)-J105)/((100%/Y105)*365)*X105,IF(AND(AB105&lt;X105,DATE(2017,12,31)&gt;J105,AC105=0),(DATE(2017,12,31)-J105)/((100%/Y105)*365)*X105,IF(AND(AB105&lt;X105,DATE(2017,12,31)&gt;J105,AC105&lt;(X105*Y105)),AC105,0)))))</f>
        <v>2587.5</v>
      </c>
      <c r="AE105" s="453">
        <f>IF(OR(Table51013454[[#This Row],[تاريخ الشراء-الاستلام]]="",Table51013454[[#This Row],[الإجمالي]]="",Table51013454[[#This Row],[العمر الافتراضي]]=""),"",AB105+AD105)</f>
        <v>4756.7465753424658</v>
      </c>
      <c r="AF105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الشراء-الاستلام]]&gt;DATE(2017,12,31),0,X105-AE105))</f>
        <v>5593.2534246575342</v>
      </c>
    </row>
    <row r="106" spans="1:32" s="456" customFormat="1" ht="57.75" hidden="1" customHeight="1">
      <c r="A106" s="442">
        <f>IF(B106="","",SUBTOTAL(3,$B$6:B106))</f>
        <v>39</v>
      </c>
      <c r="B106" s="443" t="s">
        <v>1494</v>
      </c>
      <c r="C106" s="444" t="s">
        <v>118</v>
      </c>
      <c r="D106" s="443" t="s">
        <v>1387</v>
      </c>
      <c r="E106" s="443" t="s">
        <v>64</v>
      </c>
      <c r="F106" s="443" t="s">
        <v>1421</v>
      </c>
      <c r="G106" s="445" t="s">
        <v>1369</v>
      </c>
      <c r="H106" s="445"/>
      <c r="I106" s="442">
        <v>3473</v>
      </c>
      <c r="J106" s="446">
        <v>42705</v>
      </c>
      <c r="K106" s="446"/>
      <c r="L106" s="442">
        <v>1</v>
      </c>
      <c r="M106" s="443"/>
      <c r="N106" s="447">
        <v>6578</v>
      </c>
      <c r="O106" s="448">
        <f t="shared" si="2"/>
        <v>6578</v>
      </c>
      <c r="P106" s="449"/>
      <c r="Q106" s="447"/>
      <c r="R106" s="447"/>
      <c r="S106" s="447"/>
      <c r="T106" s="447"/>
      <c r="U106" s="450">
        <f>Table51013454[[#This Row],[العدد]]*Table51013454[[#This Row],[السعر الافرادي]]</f>
        <v>0</v>
      </c>
      <c r="V106" s="451">
        <f>Table51013454[[#This Row],[الكمية]]-Table51013454[[#This Row],[العدد]]</f>
        <v>1</v>
      </c>
      <c r="W106" s="447">
        <f>Table51013454[[#This Row],[سعر/الحبة]]</f>
        <v>6578</v>
      </c>
      <c r="X106" s="447">
        <f>Table51013454[[#This Row],[الإجمالي]]-Table51013454[[#This Row],[إجمالي المستبعد]]</f>
        <v>6578</v>
      </c>
      <c r="Y106" s="457">
        <v>0.25</v>
      </c>
      <c r="Z106" s="445"/>
      <c r="AA106" s="443" t="s">
        <v>1365</v>
      </c>
      <c r="AB106" s="453">
        <v>135.16438356164383</v>
      </c>
      <c r="AC106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الشراء-الاستلام]]&lt;DATE(2017,1,1),O106-AB106,0))</f>
        <v>6442.8356164383558</v>
      </c>
      <c r="AD106" s="454">
        <f>IF(OR(Table51013454[[#This Row],[تاريخ الشراء-الاستلام]]="",Table51013454[[#This Row],[الإجمالي]]="",Table51013454[[#This Row],[العمر الافتراضي]]=""),"",IF(AND(AB106&lt;X106,AC106&gt;(X106*Y106),DATE(2016,12,31)&gt;J106),X106*Y106,IF(AND(AB106&lt;X106,DATE(2017,12,31)&gt;J106,AC106&gt;(X106*Y106)),(DATE(2017,12,31)-J106)/((100%/Y106)*365)*X106,IF(AND(AB106&lt;X106,DATE(2017,12,31)&gt;J106,AC106=0),(DATE(2017,12,31)-J106)/((100%/Y106)*365)*X106,IF(AND(AB106&lt;X106,DATE(2017,12,31)&gt;J106,AC106&lt;(X106*Y106)),AC106,0)))))</f>
        <v>1644.5</v>
      </c>
      <c r="AE106" s="453">
        <f>IF(OR(Table51013454[[#This Row],[تاريخ الشراء-الاستلام]]="",Table51013454[[#This Row],[الإجمالي]]="",Table51013454[[#This Row],[العمر الافتراضي]]=""),"",AB106+AD106)</f>
        <v>1779.6643835616437</v>
      </c>
      <c r="AF106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الشراء-الاستلام]]&gt;DATE(2017,12,31),0,X106-AE106))</f>
        <v>4798.3356164383567</v>
      </c>
    </row>
    <row r="107" spans="1:32" s="456" customFormat="1" ht="57.75" hidden="1" customHeight="1">
      <c r="A107" s="442">
        <f>IF(B107="","",SUBTOTAL(3,$B$6:B107))</f>
        <v>39</v>
      </c>
      <c r="B107" s="443" t="s">
        <v>1494</v>
      </c>
      <c r="C107" s="444" t="s">
        <v>118</v>
      </c>
      <c r="D107" s="443" t="s">
        <v>1387</v>
      </c>
      <c r="E107" s="443" t="s">
        <v>64</v>
      </c>
      <c r="F107" s="443" t="s">
        <v>1421</v>
      </c>
      <c r="G107" s="445" t="s">
        <v>1369</v>
      </c>
      <c r="H107" s="445"/>
      <c r="I107" s="458" t="s">
        <v>1495</v>
      </c>
      <c r="J107" s="446">
        <v>42648</v>
      </c>
      <c r="K107" s="446" t="s">
        <v>1370</v>
      </c>
      <c r="L107" s="442">
        <v>2</v>
      </c>
      <c r="M107" s="443">
        <v>10286</v>
      </c>
      <c r="N107" s="447">
        <v>7000</v>
      </c>
      <c r="O107" s="448">
        <f t="shared" si="2"/>
        <v>14000</v>
      </c>
      <c r="P107" s="449"/>
      <c r="Q107" s="447"/>
      <c r="R107" s="447"/>
      <c r="S107" s="447"/>
      <c r="T107" s="447"/>
      <c r="U107" s="450">
        <f>Table51013454[[#This Row],[العدد]]*Table51013454[[#This Row],[السعر الافرادي]]</f>
        <v>0</v>
      </c>
      <c r="V107" s="451">
        <f>Table51013454[[#This Row],[الكمية]]-Table51013454[[#This Row],[العدد]]</f>
        <v>2</v>
      </c>
      <c r="W107" s="447">
        <f>Table51013454[[#This Row],[سعر/الحبة]]</f>
        <v>7000</v>
      </c>
      <c r="X107" s="447">
        <f>Table51013454[[#This Row],[الإجمالي]]-Table51013454[[#This Row],[إجمالي المستبعد]]</f>
        <v>14000</v>
      </c>
      <c r="Y107" s="457">
        <v>0.25</v>
      </c>
      <c r="Z107" s="445"/>
      <c r="AA107" s="443" t="s">
        <v>1365</v>
      </c>
      <c r="AB107" s="453">
        <v>834.24657534246569</v>
      </c>
      <c r="AC107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الشراء-الاستلام]]&lt;DATE(2017,1,1),O107-AB107,0))</f>
        <v>13165.753424657534</v>
      </c>
      <c r="AD107" s="454">
        <f>IF(OR(Table51013454[[#This Row],[تاريخ الشراء-الاستلام]]="",Table51013454[[#This Row],[الإجمالي]]="",Table51013454[[#This Row],[العمر الافتراضي]]=""),"",IF(AND(AB107&lt;X107,AC107&gt;(X107*Y107),DATE(2016,12,31)&gt;J107),X107*Y107,IF(AND(AB107&lt;X107,DATE(2017,12,31)&gt;J107,AC107&gt;(X107*Y107)),(DATE(2017,12,31)-J107)/((100%/Y107)*365)*X107,IF(AND(AB107&lt;X107,DATE(2017,12,31)&gt;J107,AC107=0),(DATE(2017,12,31)-J107)/((100%/Y107)*365)*X107,IF(AND(AB107&lt;X107,DATE(2017,12,31)&gt;J107,AC107&lt;(X107*Y107)),AC107,0)))))</f>
        <v>3500</v>
      </c>
      <c r="AE107" s="453">
        <f>IF(OR(Table51013454[[#This Row],[تاريخ الشراء-الاستلام]]="",Table51013454[[#This Row],[الإجمالي]]="",Table51013454[[#This Row],[العمر الافتراضي]]=""),"",AB107+AD107)</f>
        <v>4334.2465753424658</v>
      </c>
      <c r="AF107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الشراء-الاستلام]]&gt;DATE(2017,12,31),0,X107-AE107))</f>
        <v>9665.7534246575342</v>
      </c>
    </row>
    <row r="108" spans="1:32" s="456" customFormat="1" ht="57.75" customHeight="1">
      <c r="A108" s="442">
        <f>IF(B108="","",SUBTOTAL(3,$B$6:B108))</f>
        <v>40</v>
      </c>
      <c r="B108" s="443" t="s">
        <v>1496</v>
      </c>
      <c r="C108" s="444" t="s">
        <v>1413</v>
      </c>
      <c r="D108" s="443" t="s">
        <v>1387</v>
      </c>
      <c r="E108" s="443" t="s">
        <v>64</v>
      </c>
      <c r="F108" s="443" t="s">
        <v>1388</v>
      </c>
      <c r="G108" s="445" t="s">
        <v>1369</v>
      </c>
      <c r="H108" s="445"/>
      <c r="I108" s="460" t="s">
        <v>1497</v>
      </c>
      <c r="J108" s="446">
        <v>41260</v>
      </c>
      <c r="K108" s="446"/>
      <c r="L108" s="442">
        <v>1</v>
      </c>
      <c r="M108" s="443"/>
      <c r="N108" s="447">
        <v>166400</v>
      </c>
      <c r="O108" s="448">
        <f t="shared" si="2"/>
        <v>166400</v>
      </c>
      <c r="P108" s="449"/>
      <c r="Q108" s="447"/>
      <c r="R108" s="447"/>
      <c r="S108" s="447"/>
      <c r="T108" s="447"/>
      <c r="U108" s="450">
        <f>Table51013454[[#This Row],[العدد]]*Table51013454[[#This Row],[السعر الافرادي]]</f>
        <v>0</v>
      </c>
      <c r="V108" s="451">
        <f>Table51013454[[#This Row],[الكمية]]-Table51013454[[#This Row],[العدد]]</f>
        <v>1</v>
      </c>
      <c r="W108" s="447">
        <f>Table51013454[[#This Row],[سعر/الحبة]]</f>
        <v>166400</v>
      </c>
      <c r="X108" s="447">
        <f>Table51013454[[#This Row],[الإجمالي]]-Table51013454[[#This Row],[إجمالي المستبعد]]</f>
        <v>166400</v>
      </c>
      <c r="Y108" s="457">
        <v>0.15</v>
      </c>
      <c r="Z108" s="445"/>
      <c r="AA108" s="443" t="s">
        <v>1365</v>
      </c>
      <c r="AB108" s="453">
        <v>100797.36986301369</v>
      </c>
      <c r="AC108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الشراء-الاستلام]]&lt;DATE(2017,1,1),O108-AB108,0))</f>
        <v>65602.630136986307</v>
      </c>
      <c r="AD108" s="454">
        <f>IF(OR(Table51013454[[#This Row],[تاريخ الشراء-الاستلام]]="",Table51013454[[#This Row],[الإجمالي]]="",Table51013454[[#This Row],[العمر الافتراضي]]=""),"",IF(AND(AB108&lt;X108,AC108&gt;(X108*Y108),DATE(2016,12,31)&gt;J108),X108*Y108,IF(AND(AB108&lt;X108,DATE(2017,12,31)&gt;J108,AC108&gt;(X108*Y108)),(DATE(2017,12,31)-J108)/((100%/Y108)*365)*X108,IF(AND(AB108&lt;X108,DATE(2017,12,31)&gt;J108,AC108=0),(DATE(2017,12,31)-J108)/((100%/Y108)*365)*X108,IF(AND(AB108&lt;X108,DATE(2017,12,31)&gt;J108,AC108&lt;(X108*Y108)),AC108,0)))))</f>
        <v>24960</v>
      </c>
      <c r="AE108" s="453">
        <f>IF(OR(Table51013454[[#This Row],[تاريخ الشراء-الاستلام]]="",Table51013454[[#This Row],[الإجمالي]]="",Table51013454[[#This Row],[العمر الافتراضي]]=""),"",AB108+AD108)</f>
        <v>125757.36986301369</v>
      </c>
      <c r="AF108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الشراء-الاستلام]]&gt;DATE(2017,12,31),0,X108-AE108))</f>
        <v>40642.630136986307</v>
      </c>
    </row>
    <row r="109" spans="1:32" s="456" customFormat="1" ht="57.75" customHeight="1">
      <c r="A109" s="442">
        <f>IF(B109="","",SUBTOTAL(3,$B$6:B109))</f>
        <v>41</v>
      </c>
      <c r="B109" s="443" t="s">
        <v>1496</v>
      </c>
      <c r="C109" s="444" t="s">
        <v>1413</v>
      </c>
      <c r="D109" s="443" t="s">
        <v>1387</v>
      </c>
      <c r="E109" s="443" t="s">
        <v>64</v>
      </c>
      <c r="F109" s="443" t="s">
        <v>1388</v>
      </c>
      <c r="G109" s="445" t="s">
        <v>1369</v>
      </c>
      <c r="H109" s="445"/>
      <c r="I109" s="460" t="s">
        <v>1497</v>
      </c>
      <c r="J109" s="446">
        <v>41412</v>
      </c>
      <c r="K109" s="446"/>
      <c r="L109" s="442">
        <v>1</v>
      </c>
      <c r="M109" s="443"/>
      <c r="N109" s="447">
        <v>87000</v>
      </c>
      <c r="O109" s="448">
        <f t="shared" si="2"/>
        <v>87000</v>
      </c>
      <c r="P109" s="449"/>
      <c r="Q109" s="447"/>
      <c r="R109" s="447"/>
      <c r="S109" s="447"/>
      <c r="T109" s="447"/>
      <c r="U109" s="450">
        <f>Table51013454[[#This Row],[العدد]]*Table51013454[[#This Row],[السعر الافرادي]]</f>
        <v>0</v>
      </c>
      <c r="V109" s="451">
        <f>Table51013454[[#This Row],[الكمية]]-Table51013454[[#This Row],[العدد]]</f>
        <v>1</v>
      </c>
      <c r="W109" s="447">
        <f>Table51013454[[#This Row],[سعر/الحبة]]</f>
        <v>87000</v>
      </c>
      <c r="X109" s="447">
        <f>Table51013454[[#This Row],[الإجمالي]]-Table51013454[[#This Row],[إجمالي المستبعد]]</f>
        <v>87000</v>
      </c>
      <c r="Y109" s="457">
        <v>0.15</v>
      </c>
      <c r="Z109" s="445"/>
      <c r="AA109" s="443" t="s">
        <v>1365</v>
      </c>
      <c r="AB109" s="453">
        <v>47266.027397260274</v>
      </c>
      <c r="AC109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الشراء-الاستلام]]&lt;DATE(2017,1,1),O109-AB109,0))</f>
        <v>39733.972602739726</v>
      </c>
      <c r="AD109" s="454">
        <f>IF(OR(Table51013454[[#This Row],[تاريخ الشراء-الاستلام]]="",Table51013454[[#This Row],[الإجمالي]]="",Table51013454[[#This Row],[العمر الافتراضي]]=""),"",IF(AND(AB109&lt;X109,AC109&gt;(X109*Y109),DATE(2016,12,31)&gt;J109),X109*Y109,IF(AND(AB109&lt;X109,DATE(2017,12,31)&gt;J109,AC109&gt;(X109*Y109)),(DATE(2017,12,31)-J109)/((100%/Y109)*365)*X109,IF(AND(AB109&lt;X109,DATE(2017,12,31)&gt;J109,AC109=0),(DATE(2017,12,31)-J109)/((100%/Y109)*365)*X109,IF(AND(AB109&lt;X109,DATE(2017,12,31)&gt;J109,AC109&lt;(X109*Y109)),AC109,0)))))</f>
        <v>13050</v>
      </c>
      <c r="AE109" s="453">
        <f>IF(OR(Table51013454[[#This Row],[تاريخ الشراء-الاستلام]]="",Table51013454[[#This Row],[الإجمالي]]="",Table51013454[[#This Row],[العمر الافتراضي]]=""),"",AB109+AD109)</f>
        <v>60316.027397260274</v>
      </c>
      <c r="AF109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الشراء-الاستلام]]&gt;DATE(2017,12,31),0,X109-AE109))</f>
        <v>26683.972602739726</v>
      </c>
    </row>
    <row r="110" spans="1:32" s="456" customFormat="1" ht="57.75" customHeight="1">
      <c r="A110" s="442">
        <f>IF(B110="","",SUBTOTAL(3,$B$6:B110))</f>
        <v>42</v>
      </c>
      <c r="B110" s="443" t="s">
        <v>90</v>
      </c>
      <c r="C110" s="444" t="s">
        <v>1413</v>
      </c>
      <c r="D110" s="443" t="s">
        <v>1387</v>
      </c>
      <c r="E110" s="443" t="s">
        <v>64</v>
      </c>
      <c r="F110" s="443" t="s">
        <v>1388</v>
      </c>
      <c r="G110" s="445" t="s">
        <v>1369</v>
      </c>
      <c r="H110" s="445"/>
      <c r="I110" s="460" t="s">
        <v>1498</v>
      </c>
      <c r="J110" s="446">
        <v>41260</v>
      </c>
      <c r="K110" s="446"/>
      <c r="L110" s="442">
        <v>1</v>
      </c>
      <c r="M110" s="443"/>
      <c r="N110" s="447">
        <v>166400</v>
      </c>
      <c r="O110" s="448">
        <f t="shared" si="2"/>
        <v>166400</v>
      </c>
      <c r="P110" s="449"/>
      <c r="Q110" s="447"/>
      <c r="R110" s="447"/>
      <c r="S110" s="447"/>
      <c r="T110" s="447"/>
      <c r="U110" s="450">
        <f>Table51013454[[#This Row],[العدد]]*Table51013454[[#This Row],[السعر الافرادي]]</f>
        <v>0</v>
      </c>
      <c r="V110" s="451">
        <f>Table51013454[[#This Row],[الكمية]]-Table51013454[[#This Row],[العدد]]</f>
        <v>1</v>
      </c>
      <c r="W110" s="447">
        <f>Table51013454[[#This Row],[سعر/الحبة]]</f>
        <v>166400</v>
      </c>
      <c r="X110" s="447">
        <f>Table51013454[[#This Row],[الإجمالي]]-Table51013454[[#This Row],[إجمالي المستبعد]]</f>
        <v>166400</v>
      </c>
      <c r="Y110" s="457">
        <v>0.15</v>
      </c>
      <c r="Z110" s="445"/>
      <c r="AA110" s="443" t="s">
        <v>1365</v>
      </c>
      <c r="AB110" s="453">
        <v>100797.36986301369</v>
      </c>
      <c r="AC110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الشراء-الاستلام]]&lt;DATE(2017,1,1),O110-AB110,0))</f>
        <v>65602.630136986307</v>
      </c>
      <c r="AD110" s="454">
        <f>IF(OR(Table51013454[[#This Row],[تاريخ الشراء-الاستلام]]="",Table51013454[[#This Row],[الإجمالي]]="",Table51013454[[#This Row],[العمر الافتراضي]]=""),"",IF(AND(AB110&lt;X110,AC110&gt;(X110*Y110),DATE(2016,12,31)&gt;J110),X110*Y110,IF(AND(AB110&lt;X110,DATE(2017,12,31)&gt;J110,AC110&gt;(X110*Y110)),(DATE(2017,12,31)-J110)/((100%/Y110)*365)*X110,IF(AND(AB110&lt;X110,DATE(2017,12,31)&gt;J110,AC110=0),(DATE(2017,12,31)-J110)/((100%/Y110)*365)*X110,IF(AND(AB110&lt;X110,DATE(2017,12,31)&gt;J110,AC110&lt;(X110*Y110)),AC110,0)))))</f>
        <v>24960</v>
      </c>
      <c r="AE110" s="453">
        <f>IF(OR(Table51013454[[#This Row],[تاريخ الشراء-الاستلام]]="",Table51013454[[#This Row],[الإجمالي]]="",Table51013454[[#This Row],[العمر الافتراضي]]=""),"",AB110+AD110)</f>
        <v>125757.36986301369</v>
      </c>
      <c r="AF110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الشراء-الاستلام]]&gt;DATE(2017,12,31),0,X110-AE110))</f>
        <v>40642.630136986307</v>
      </c>
    </row>
    <row r="111" spans="1:32" s="456" customFormat="1" ht="57.75" customHeight="1">
      <c r="A111" s="442">
        <f>IF(B111="","",SUBTOTAL(3,$B$6:B111))</f>
        <v>43</v>
      </c>
      <c r="B111" s="443" t="s">
        <v>90</v>
      </c>
      <c r="C111" s="444" t="s">
        <v>1413</v>
      </c>
      <c r="D111" s="443" t="s">
        <v>1387</v>
      </c>
      <c r="E111" s="443" t="s">
        <v>64</v>
      </c>
      <c r="F111" s="443" t="s">
        <v>1388</v>
      </c>
      <c r="G111" s="445" t="s">
        <v>1369</v>
      </c>
      <c r="H111" s="445"/>
      <c r="I111" s="460" t="s">
        <v>1498</v>
      </c>
      <c r="J111" s="446">
        <v>41412</v>
      </c>
      <c r="K111" s="446"/>
      <c r="L111" s="442">
        <v>1</v>
      </c>
      <c r="M111" s="443"/>
      <c r="N111" s="447">
        <v>55000</v>
      </c>
      <c r="O111" s="448">
        <f t="shared" si="2"/>
        <v>55000</v>
      </c>
      <c r="P111" s="449"/>
      <c r="Q111" s="447"/>
      <c r="R111" s="447"/>
      <c r="S111" s="447"/>
      <c r="T111" s="447"/>
      <c r="U111" s="450">
        <f>Table51013454[[#This Row],[العدد]]*Table51013454[[#This Row],[السعر الافرادي]]</f>
        <v>0</v>
      </c>
      <c r="V111" s="451">
        <f>Table51013454[[#This Row],[الكمية]]-Table51013454[[#This Row],[العدد]]</f>
        <v>1</v>
      </c>
      <c r="W111" s="447">
        <f>Table51013454[[#This Row],[سعر/الحبة]]</f>
        <v>55000</v>
      </c>
      <c r="X111" s="447">
        <f>Table51013454[[#This Row],[الإجمالي]]-Table51013454[[#This Row],[إجمالي المستبعد]]</f>
        <v>55000</v>
      </c>
      <c r="Y111" s="457">
        <v>0.15</v>
      </c>
      <c r="Z111" s="445"/>
      <c r="AA111" s="443" t="s">
        <v>1365</v>
      </c>
      <c r="AB111" s="453">
        <v>29880.821917808218</v>
      </c>
      <c r="AC111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الشراء-الاستلام]]&lt;DATE(2017,1,1),O111-AB111,0))</f>
        <v>25119.178082191782</v>
      </c>
      <c r="AD111" s="454">
        <f>IF(OR(Table51013454[[#This Row],[تاريخ الشراء-الاستلام]]="",Table51013454[[#This Row],[الإجمالي]]="",Table51013454[[#This Row],[العمر الافتراضي]]=""),"",IF(AND(AB111&lt;X111,AC111&gt;(X111*Y111),DATE(2016,12,31)&gt;J111),X111*Y111,IF(AND(AB111&lt;X111,DATE(2017,12,31)&gt;J111,AC111&gt;(X111*Y111)),(DATE(2017,12,31)-J111)/((100%/Y111)*365)*X111,IF(AND(AB111&lt;X111,DATE(2017,12,31)&gt;J111,AC111=0),(DATE(2017,12,31)-J111)/((100%/Y111)*365)*X111,IF(AND(AB111&lt;X111,DATE(2017,12,31)&gt;J111,AC111&lt;(X111*Y111)),AC111,0)))))</f>
        <v>8250</v>
      </c>
      <c r="AE111" s="453">
        <f>IF(OR(Table51013454[[#This Row],[تاريخ الشراء-الاستلام]]="",Table51013454[[#This Row],[الإجمالي]]="",Table51013454[[#This Row],[العمر الافتراضي]]=""),"",AB111+AD111)</f>
        <v>38130.821917808222</v>
      </c>
      <c r="AF111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الشراء-الاستلام]]&gt;DATE(2017,12,31),0,X111-AE111))</f>
        <v>16869.178082191778</v>
      </c>
    </row>
    <row r="112" spans="1:32" s="456" customFormat="1" ht="57.75" hidden="1" customHeight="1">
      <c r="A112" s="442">
        <f>IF(B112="","",SUBTOTAL(3,$B$6:B112))</f>
        <v>43</v>
      </c>
      <c r="B112" s="443" t="s">
        <v>1499</v>
      </c>
      <c r="C112" s="444" t="s">
        <v>118</v>
      </c>
      <c r="D112" s="443" t="s">
        <v>1387</v>
      </c>
      <c r="E112" s="443" t="s">
        <v>64</v>
      </c>
      <c r="F112" s="443" t="s">
        <v>1388</v>
      </c>
      <c r="G112" s="445" t="s">
        <v>1369</v>
      </c>
      <c r="H112" s="445"/>
      <c r="I112" s="442"/>
      <c r="J112" s="446">
        <v>42714</v>
      </c>
      <c r="K112" s="446"/>
      <c r="L112" s="442">
        <v>1</v>
      </c>
      <c r="M112" s="443">
        <v>10269</v>
      </c>
      <c r="N112" s="447">
        <v>9500</v>
      </c>
      <c r="O112" s="448">
        <f t="shared" si="2"/>
        <v>9500</v>
      </c>
      <c r="P112" s="449"/>
      <c r="Q112" s="447"/>
      <c r="R112" s="447"/>
      <c r="S112" s="447"/>
      <c r="T112" s="447"/>
      <c r="U112" s="450">
        <f>Table51013454[[#This Row],[العدد]]*Table51013454[[#This Row],[السعر الافرادي]]</f>
        <v>0</v>
      </c>
      <c r="V112" s="451">
        <f>Table51013454[[#This Row],[الكمية]]-Table51013454[[#This Row],[العدد]]</f>
        <v>1</v>
      </c>
      <c r="W112" s="447">
        <f>Table51013454[[#This Row],[سعر/الحبة]]</f>
        <v>9500</v>
      </c>
      <c r="X112" s="447">
        <f>Table51013454[[#This Row],[الإجمالي]]-Table51013454[[#This Row],[إجمالي المستبعد]]</f>
        <v>9500</v>
      </c>
      <c r="Y112" s="457">
        <v>0.25</v>
      </c>
      <c r="Z112" s="445"/>
      <c r="AA112" s="443" t="s">
        <v>1365</v>
      </c>
      <c r="AB112" s="453">
        <v>136.64383561643837</v>
      </c>
      <c r="AC112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الشراء-الاستلام]]&lt;DATE(2017,1,1),O112-AB112,0))</f>
        <v>9363.3561643835619</v>
      </c>
      <c r="AD112" s="454">
        <f>IF(OR(Table51013454[[#This Row],[تاريخ الشراء-الاستلام]]="",Table51013454[[#This Row],[الإجمالي]]="",Table51013454[[#This Row],[العمر الافتراضي]]=""),"",IF(AND(AB112&lt;X112,AC112&gt;(X112*Y112),DATE(2016,12,31)&gt;J112),X112*Y112,IF(AND(AB112&lt;X112,DATE(2017,12,31)&gt;J112,AC112&gt;(X112*Y112)),(DATE(2017,12,31)-J112)/((100%/Y112)*365)*X112,IF(AND(AB112&lt;X112,DATE(2017,12,31)&gt;J112,AC112=0),(DATE(2017,12,31)-J112)/((100%/Y112)*365)*X112,IF(AND(AB112&lt;X112,DATE(2017,12,31)&gt;J112,AC112&lt;(X112*Y112)),AC112,0)))))</f>
        <v>2375</v>
      </c>
      <c r="AE112" s="453">
        <f>IF(OR(Table51013454[[#This Row],[تاريخ الشراء-الاستلام]]="",Table51013454[[#This Row],[الإجمالي]]="",Table51013454[[#This Row],[العمر الافتراضي]]=""),"",AB112+AD112)</f>
        <v>2511.6438356164385</v>
      </c>
      <c r="AF112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الشراء-الاستلام]]&gt;DATE(2017,12,31),0,X112-AE112))</f>
        <v>6988.3561643835619</v>
      </c>
    </row>
    <row r="113" spans="1:32" s="456" customFormat="1" ht="57.75" hidden="1" customHeight="1">
      <c r="A113" s="442">
        <f>IF(B113="","",SUBTOTAL(3,$B$6:B113))</f>
        <v>43</v>
      </c>
      <c r="B113" s="443" t="s">
        <v>1500</v>
      </c>
      <c r="C113" s="444" t="s">
        <v>118</v>
      </c>
      <c r="D113" s="443" t="s">
        <v>1387</v>
      </c>
      <c r="E113" s="443" t="s">
        <v>64</v>
      </c>
      <c r="F113" s="443" t="s">
        <v>1388</v>
      </c>
      <c r="G113" s="445" t="s">
        <v>1369</v>
      </c>
      <c r="H113" s="445"/>
      <c r="I113" s="442"/>
      <c r="J113" s="446">
        <v>42716</v>
      </c>
      <c r="K113" s="446" t="s">
        <v>1370</v>
      </c>
      <c r="L113" s="442">
        <v>6</v>
      </c>
      <c r="M113" s="443">
        <v>10249</v>
      </c>
      <c r="N113" s="447">
        <v>90000</v>
      </c>
      <c r="O113" s="448">
        <f t="shared" si="2"/>
        <v>540000</v>
      </c>
      <c r="P113" s="449"/>
      <c r="Q113" s="447"/>
      <c r="R113" s="447"/>
      <c r="S113" s="447"/>
      <c r="T113" s="447"/>
      <c r="U113" s="450">
        <f>Table51013454[[#This Row],[العدد]]*Table51013454[[#This Row],[السعر الافرادي]]</f>
        <v>0</v>
      </c>
      <c r="V113" s="451">
        <f>Table51013454[[#This Row],[الكمية]]-Table51013454[[#This Row],[العدد]]</f>
        <v>6</v>
      </c>
      <c r="W113" s="447">
        <f>Table51013454[[#This Row],[سعر/الحبة]]</f>
        <v>90000</v>
      </c>
      <c r="X113" s="447">
        <f>Table51013454[[#This Row],[الإجمالي]]-Table51013454[[#This Row],[إجمالي المستبعد]]</f>
        <v>540000</v>
      </c>
      <c r="Y113" s="457">
        <v>0.25</v>
      </c>
      <c r="Z113" s="445"/>
      <c r="AA113" s="443" t="s">
        <v>1365</v>
      </c>
      <c r="AB113" s="453">
        <v>7027.3972602739732</v>
      </c>
      <c r="AC113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الشراء-الاستلام]]&lt;DATE(2017,1,1),O113-AB113,0))</f>
        <v>532972.60273972608</v>
      </c>
      <c r="AD113" s="454">
        <f>IF(OR(Table51013454[[#This Row],[تاريخ الشراء-الاستلام]]="",Table51013454[[#This Row],[الإجمالي]]="",Table51013454[[#This Row],[العمر الافتراضي]]=""),"",IF(AND(AB113&lt;X113,AC113&gt;(X113*Y113),DATE(2016,12,31)&gt;J113),X113*Y113,IF(AND(AB113&lt;X113,DATE(2017,12,31)&gt;J113,AC113&gt;(X113*Y113)),(DATE(2017,12,31)-J113)/((100%/Y113)*365)*X113,IF(AND(AB113&lt;X113,DATE(2017,12,31)&gt;J113,AC113=0),(DATE(2017,12,31)-J113)/((100%/Y113)*365)*X113,IF(AND(AB113&lt;X113,DATE(2017,12,31)&gt;J113,AC113&lt;(X113*Y113)),AC113,0)))))</f>
        <v>135000</v>
      </c>
      <c r="AE113" s="453">
        <f>IF(OR(Table51013454[[#This Row],[تاريخ الشراء-الاستلام]]="",Table51013454[[#This Row],[الإجمالي]]="",Table51013454[[#This Row],[العمر الافتراضي]]=""),"",AB113+AD113)</f>
        <v>142027.39726027398</v>
      </c>
      <c r="AF113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الشراء-الاستلام]]&gt;DATE(2017,12,31),0,X113-AE113))</f>
        <v>397972.60273972602</v>
      </c>
    </row>
    <row r="114" spans="1:32" s="456" customFormat="1" ht="57.75" hidden="1" customHeight="1">
      <c r="A114" s="442">
        <f>IF(B114="","",SUBTOTAL(3,$B$6:B114))</f>
        <v>43</v>
      </c>
      <c r="B114" s="443" t="s">
        <v>1500</v>
      </c>
      <c r="C114" s="444" t="s">
        <v>118</v>
      </c>
      <c r="D114" s="443" t="s">
        <v>1387</v>
      </c>
      <c r="E114" s="443" t="s">
        <v>1014</v>
      </c>
      <c r="F114" s="443"/>
      <c r="G114" s="445" t="s">
        <v>1369</v>
      </c>
      <c r="H114" s="445"/>
      <c r="I114" s="458" t="s">
        <v>1501</v>
      </c>
      <c r="J114" s="446">
        <v>39448</v>
      </c>
      <c r="K114" s="446" t="s">
        <v>1413</v>
      </c>
      <c r="L114" s="442">
        <v>1</v>
      </c>
      <c r="M114" s="443"/>
      <c r="N114" s="447">
        <v>285000</v>
      </c>
      <c r="O114" s="448">
        <f t="shared" si="2"/>
        <v>285000</v>
      </c>
      <c r="P114" s="449"/>
      <c r="Q114" s="447"/>
      <c r="R114" s="447"/>
      <c r="S114" s="447"/>
      <c r="T114" s="447"/>
      <c r="U114" s="450">
        <f>Table51013454[[#This Row],[العدد]]*Table51013454[[#This Row],[السعر الافرادي]]</f>
        <v>0</v>
      </c>
      <c r="V114" s="451">
        <f>Table51013454[[#This Row],[الكمية]]-Table51013454[[#This Row],[العدد]]</f>
        <v>1</v>
      </c>
      <c r="W114" s="447">
        <f>Table51013454[[#This Row],[سعر/الحبة]]</f>
        <v>285000</v>
      </c>
      <c r="X114" s="447">
        <f>Table51013454[[#This Row],[الإجمالي]]-Table51013454[[#This Row],[إجمالي المستبعد]]</f>
        <v>285000</v>
      </c>
      <c r="Y114" s="457">
        <v>0.25</v>
      </c>
      <c r="Z114" s="445"/>
      <c r="AA114" s="443" t="s">
        <v>1365</v>
      </c>
      <c r="AB114" s="453">
        <v>285000</v>
      </c>
      <c r="AC114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الشراء-الاستلام]]&lt;DATE(2017,1,1),O114-AB114,0))</f>
        <v>0</v>
      </c>
      <c r="AD114" s="454">
        <f>IF(OR(Table51013454[[#This Row],[تاريخ الشراء-الاستلام]]="",Table51013454[[#This Row],[الإجمالي]]="",Table51013454[[#This Row],[العمر الافتراضي]]=""),"",IF(AND(AB114&lt;X114,AC114&gt;(X114*Y114),DATE(2016,12,31)&gt;J114),X114*Y114,IF(AND(AB114&lt;X114,DATE(2017,12,31)&gt;J114,AC114&gt;(X114*Y114)),(DATE(2017,12,31)-J114)/((100%/Y114)*365)*X114,IF(AND(AB114&lt;X114,DATE(2017,12,31)&gt;J114,AC114=0),(DATE(2017,12,31)-J114)/((100%/Y114)*365)*X114,IF(AND(AB114&lt;X114,DATE(2017,12,31)&gt;J114,AC114&lt;(X114*Y114)),AC114,0)))))</f>
        <v>0</v>
      </c>
      <c r="AE114" s="453">
        <f>IF(OR(Table51013454[[#This Row],[تاريخ الشراء-الاستلام]]="",Table51013454[[#This Row],[الإجمالي]]="",Table51013454[[#This Row],[العمر الافتراضي]]=""),"",AB114+AD114)</f>
        <v>285000</v>
      </c>
      <c r="AF114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الشراء-الاستلام]]&gt;DATE(2017,12,31),0,X114-AE114))</f>
        <v>0</v>
      </c>
    </row>
    <row r="115" spans="1:32" s="456" customFormat="1" ht="57.75" hidden="1" customHeight="1">
      <c r="A115" s="442">
        <f>IF(B115="","",SUBTOTAL(3,$B$6:B115))</f>
        <v>43</v>
      </c>
      <c r="B115" s="443" t="s">
        <v>1500</v>
      </c>
      <c r="C115" s="444" t="s">
        <v>118</v>
      </c>
      <c r="D115" s="443" t="s">
        <v>1387</v>
      </c>
      <c r="E115" s="443" t="s">
        <v>1014</v>
      </c>
      <c r="F115" s="443"/>
      <c r="G115" s="445" t="s">
        <v>1369</v>
      </c>
      <c r="H115" s="445"/>
      <c r="I115" s="458" t="s">
        <v>1502</v>
      </c>
      <c r="J115" s="446">
        <v>39814</v>
      </c>
      <c r="K115" s="446" t="s">
        <v>1413</v>
      </c>
      <c r="L115" s="442">
        <v>1</v>
      </c>
      <c r="M115" s="443"/>
      <c r="N115" s="447">
        <v>132494.99999899999</v>
      </c>
      <c r="O115" s="448">
        <f t="shared" si="2"/>
        <v>132494.99999899999</v>
      </c>
      <c r="P115" s="449"/>
      <c r="Q115" s="447"/>
      <c r="R115" s="447"/>
      <c r="S115" s="447"/>
      <c r="T115" s="447"/>
      <c r="U115" s="450">
        <f>Table51013454[[#This Row],[العدد]]*Table51013454[[#This Row],[السعر الافرادي]]</f>
        <v>0</v>
      </c>
      <c r="V115" s="451">
        <f>Table51013454[[#This Row],[الكمية]]-Table51013454[[#This Row],[العدد]]</f>
        <v>1</v>
      </c>
      <c r="W115" s="447">
        <f>Table51013454[[#This Row],[سعر/الحبة]]</f>
        <v>132494.99999899999</v>
      </c>
      <c r="X115" s="447">
        <f>Table51013454[[#This Row],[الإجمالي]]-Table51013454[[#This Row],[إجمالي المستبعد]]</f>
        <v>132494.99999899999</v>
      </c>
      <c r="Y115" s="457">
        <v>0.25</v>
      </c>
      <c r="Z115" s="445"/>
      <c r="AA115" s="443" t="s">
        <v>1365</v>
      </c>
      <c r="AB115" s="453">
        <v>132494.99999899999</v>
      </c>
      <c r="AC115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الشراء-الاستلام]]&lt;DATE(2017,1,1),O115-AB115,0))</f>
        <v>0</v>
      </c>
      <c r="AD115" s="454">
        <f>IF(OR(Table51013454[[#This Row],[تاريخ الشراء-الاستلام]]="",Table51013454[[#This Row],[الإجمالي]]="",Table51013454[[#This Row],[العمر الافتراضي]]=""),"",IF(AND(AB115&lt;X115,AC115&gt;(X115*Y115),DATE(2016,12,31)&gt;J115),X115*Y115,IF(AND(AB115&lt;X115,DATE(2017,12,31)&gt;J115,AC115&gt;(X115*Y115)),(DATE(2017,12,31)-J115)/((100%/Y115)*365)*X115,IF(AND(AB115&lt;X115,DATE(2017,12,31)&gt;J115,AC115=0),(DATE(2017,12,31)-J115)/((100%/Y115)*365)*X115,IF(AND(AB115&lt;X115,DATE(2017,12,31)&gt;J115,AC115&lt;(X115*Y115)),AC115,0)))))</f>
        <v>0</v>
      </c>
      <c r="AE115" s="453">
        <f>IF(OR(Table51013454[[#This Row],[تاريخ الشراء-الاستلام]]="",Table51013454[[#This Row],[الإجمالي]]="",Table51013454[[#This Row],[العمر الافتراضي]]=""),"",AB115+AD115)</f>
        <v>132494.99999899999</v>
      </c>
      <c r="AF115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الشراء-الاستلام]]&gt;DATE(2017,12,31),0,X115-AE115))</f>
        <v>0</v>
      </c>
    </row>
    <row r="116" spans="1:32" s="456" customFormat="1" ht="57.75" hidden="1" customHeight="1">
      <c r="A116" s="442">
        <f>IF(B116="","",SUBTOTAL(3,$B$6:B116))</f>
        <v>43</v>
      </c>
      <c r="B116" s="443" t="s">
        <v>1503</v>
      </c>
      <c r="C116" s="444" t="s">
        <v>118</v>
      </c>
      <c r="D116" s="443" t="s">
        <v>1387</v>
      </c>
      <c r="E116" s="443" t="s">
        <v>1014</v>
      </c>
      <c r="F116" s="443"/>
      <c r="G116" s="445" t="s">
        <v>1369</v>
      </c>
      <c r="H116" s="445"/>
      <c r="I116" s="458" t="s">
        <v>1504</v>
      </c>
      <c r="J116" s="446">
        <v>39692</v>
      </c>
      <c r="K116" s="446" t="s">
        <v>1413</v>
      </c>
      <c r="L116" s="442">
        <v>1</v>
      </c>
      <c r="M116" s="443"/>
      <c r="N116" s="447">
        <v>132493.99999899999</v>
      </c>
      <c r="O116" s="448">
        <f t="shared" si="2"/>
        <v>132493.99999899999</v>
      </c>
      <c r="P116" s="449"/>
      <c r="Q116" s="447"/>
      <c r="R116" s="447"/>
      <c r="S116" s="447"/>
      <c r="T116" s="447"/>
      <c r="U116" s="450">
        <f>Table51013454[[#This Row],[العدد]]*Table51013454[[#This Row],[السعر الافرادي]]</f>
        <v>0</v>
      </c>
      <c r="V116" s="451">
        <f>Table51013454[[#This Row],[الكمية]]-Table51013454[[#This Row],[العدد]]</f>
        <v>1</v>
      </c>
      <c r="W116" s="447">
        <f>Table51013454[[#This Row],[سعر/الحبة]]</f>
        <v>132493.99999899999</v>
      </c>
      <c r="X116" s="447">
        <f>Table51013454[[#This Row],[الإجمالي]]-Table51013454[[#This Row],[إجمالي المستبعد]]</f>
        <v>132493.99999899999</v>
      </c>
      <c r="Y116" s="457">
        <v>0.25</v>
      </c>
      <c r="Z116" s="445"/>
      <c r="AA116" s="443" t="s">
        <v>1365</v>
      </c>
      <c r="AB116" s="453">
        <v>132493.99999899999</v>
      </c>
      <c r="AC116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الشراء-الاستلام]]&lt;DATE(2017,1,1),O116-AB116,0))</f>
        <v>0</v>
      </c>
      <c r="AD116" s="454">
        <f>IF(OR(Table51013454[[#This Row],[تاريخ الشراء-الاستلام]]="",Table51013454[[#This Row],[الإجمالي]]="",Table51013454[[#This Row],[العمر الافتراضي]]=""),"",IF(AND(AB116&lt;X116,AC116&gt;(X116*Y116),DATE(2016,12,31)&gt;J116),X116*Y116,IF(AND(AB116&lt;X116,DATE(2017,12,31)&gt;J116,AC116&gt;(X116*Y116)),(DATE(2017,12,31)-J116)/((100%/Y116)*365)*X116,IF(AND(AB116&lt;X116,DATE(2017,12,31)&gt;J116,AC116=0),(DATE(2017,12,31)-J116)/((100%/Y116)*365)*X116,IF(AND(AB116&lt;X116,DATE(2017,12,31)&gt;J116,AC116&lt;(X116*Y116)),AC116,0)))))</f>
        <v>0</v>
      </c>
      <c r="AE116" s="453">
        <f>IF(OR(Table51013454[[#This Row],[تاريخ الشراء-الاستلام]]="",Table51013454[[#This Row],[الإجمالي]]="",Table51013454[[#This Row],[العمر الافتراضي]]=""),"",AB116+AD116)</f>
        <v>132493.99999899999</v>
      </c>
      <c r="AF116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الشراء-الاستلام]]&gt;DATE(2017,12,31),0,X116-AE116))</f>
        <v>0</v>
      </c>
    </row>
    <row r="117" spans="1:32" s="456" customFormat="1" ht="57.75" hidden="1" customHeight="1">
      <c r="A117" s="442">
        <f>IF(B117="","",SUBTOTAL(3,$B$6:B117))</f>
        <v>43</v>
      </c>
      <c r="B117" s="443" t="s">
        <v>90</v>
      </c>
      <c r="C117" s="444" t="s">
        <v>118</v>
      </c>
      <c r="D117" s="443" t="s">
        <v>1387</v>
      </c>
      <c r="E117" s="443" t="s">
        <v>1014</v>
      </c>
      <c r="F117" s="443"/>
      <c r="G117" s="445" t="s">
        <v>1369</v>
      </c>
      <c r="H117" s="445"/>
      <c r="I117" s="458" t="s">
        <v>1505</v>
      </c>
      <c r="J117" s="446">
        <v>39692</v>
      </c>
      <c r="K117" s="446" t="s">
        <v>1413</v>
      </c>
      <c r="L117" s="442">
        <v>1</v>
      </c>
      <c r="M117" s="443"/>
      <c r="N117" s="447">
        <v>132493.99999899999</v>
      </c>
      <c r="O117" s="448">
        <f t="shared" si="2"/>
        <v>132493.99999899999</v>
      </c>
      <c r="P117" s="449"/>
      <c r="Q117" s="447"/>
      <c r="R117" s="447"/>
      <c r="S117" s="447"/>
      <c r="T117" s="447"/>
      <c r="U117" s="450">
        <f>Table51013454[[#This Row],[العدد]]*Table51013454[[#This Row],[السعر الافرادي]]</f>
        <v>0</v>
      </c>
      <c r="V117" s="451">
        <f>Table51013454[[#This Row],[الكمية]]-Table51013454[[#This Row],[العدد]]</f>
        <v>1</v>
      </c>
      <c r="W117" s="447">
        <f>Table51013454[[#This Row],[سعر/الحبة]]</f>
        <v>132493.99999899999</v>
      </c>
      <c r="X117" s="447">
        <f>Table51013454[[#This Row],[الإجمالي]]-Table51013454[[#This Row],[إجمالي المستبعد]]</f>
        <v>132493.99999899999</v>
      </c>
      <c r="Y117" s="457">
        <v>0.25</v>
      </c>
      <c r="Z117" s="445"/>
      <c r="AA117" s="443" t="s">
        <v>1365</v>
      </c>
      <c r="AB117" s="453">
        <v>132493.99999899999</v>
      </c>
      <c r="AC117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الشراء-الاستلام]]&lt;DATE(2017,1,1),O117-AB117,0))</f>
        <v>0</v>
      </c>
      <c r="AD117" s="454">
        <f>IF(OR(Table51013454[[#This Row],[تاريخ الشراء-الاستلام]]="",Table51013454[[#This Row],[الإجمالي]]="",Table51013454[[#This Row],[العمر الافتراضي]]=""),"",IF(AND(AB117&lt;X117,AC117&gt;(X117*Y117),DATE(2016,12,31)&gt;J117),X117*Y117,IF(AND(AB117&lt;X117,DATE(2017,12,31)&gt;J117,AC117&gt;(X117*Y117)),(DATE(2017,12,31)-J117)/((100%/Y117)*365)*X117,IF(AND(AB117&lt;X117,DATE(2017,12,31)&gt;J117,AC117=0),(DATE(2017,12,31)-J117)/((100%/Y117)*365)*X117,IF(AND(AB117&lt;X117,DATE(2017,12,31)&gt;J117,AC117&lt;(X117*Y117)),AC117,0)))))</f>
        <v>0</v>
      </c>
      <c r="AE117" s="453">
        <f>IF(OR(Table51013454[[#This Row],[تاريخ الشراء-الاستلام]]="",Table51013454[[#This Row],[الإجمالي]]="",Table51013454[[#This Row],[العمر الافتراضي]]=""),"",AB117+AD117)</f>
        <v>132493.99999899999</v>
      </c>
      <c r="AF117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الشراء-الاستلام]]&gt;DATE(2017,12,31),0,X117-AE117))</f>
        <v>0</v>
      </c>
    </row>
    <row r="118" spans="1:32" s="456" customFormat="1" ht="57.75" customHeight="1">
      <c r="A118" s="442">
        <f>IF(B118="","",SUBTOTAL(3,$B$6:B118))</f>
        <v>44</v>
      </c>
      <c r="B118" s="443" t="s">
        <v>1506</v>
      </c>
      <c r="C118" s="444" t="s">
        <v>1413</v>
      </c>
      <c r="D118" s="443" t="s">
        <v>1387</v>
      </c>
      <c r="E118" s="443" t="s">
        <v>1014</v>
      </c>
      <c r="F118" s="443"/>
      <c r="G118" s="445" t="s">
        <v>1369</v>
      </c>
      <c r="H118" s="445"/>
      <c r="I118" s="460" t="s">
        <v>1507</v>
      </c>
      <c r="J118" s="446">
        <v>40269</v>
      </c>
      <c r="K118" s="446"/>
      <c r="L118" s="442">
        <v>1</v>
      </c>
      <c r="M118" s="443"/>
      <c r="N118" s="447">
        <v>61225</v>
      </c>
      <c r="O118" s="448">
        <f t="shared" si="2"/>
        <v>61225</v>
      </c>
      <c r="P118" s="449"/>
      <c r="Q118" s="447"/>
      <c r="R118" s="447"/>
      <c r="S118" s="447"/>
      <c r="T118" s="447"/>
      <c r="U118" s="450">
        <f>Table51013454[[#This Row],[العدد]]*Table51013454[[#This Row],[السعر الافرادي]]</f>
        <v>0</v>
      </c>
      <c r="V118" s="451">
        <f>Table51013454[[#This Row],[الكمية]]-Table51013454[[#This Row],[العدد]]</f>
        <v>1</v>
      </c>
      <c r="W118" s="447">
        <f>Table51013454[[#This Row],[سعر/الحبة]]</f>
        <v>61225</v>
      </c>
      <c r="X118" s="447">
        <f>Table51013454[[#This Row],[الإجمالي]]-Table51013454[[#This Row],[إجمالي المستبعد]]</f>
        <v>61225</v>
      </c>
      <c r="Y118" s="457">
        <v>0.2</v>
      </c>
      <c r="Z118" s="445"/>
      <c r="AA118" s="443" t="s">
        <v>1365</v>
      </c>
      <c r="AB118" s="453">
        <v>61225</v>
      </c>
      <c r="AC118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الشراء-الاستلام]]&lt;DATE(2017,1,1),O118-AB118,0))</f>
        <v>0</v>
      </c>
      <c r="AD118" s="454">
        <f>IF(OR(Table51013454[[#This Row],[تاريخ الشراء-الاستلام]]="",Table51013454[[#This Row],[الإجمالي]]="",Table51013454[[#This Row],[العمر الافتراضي]]=""),"",IF(AND(AB118&lt;X118,AC118&gt;(X118*Y118),DATE(2016,12,31)&gt;J118),X118*Y118,IF(AND(AB118&lt;X118,DATE(2017,12,31)&gt;J118,AC118&gt;(X118*Y118)),(DATE(2017,12,31)-J118)/((100%/Y118)*365)*X118,IF(AND(AB118&lt;X118,DATE(2017,12,31)&gt;J118,AC118=0),(DATE(2017,12,31)-J118)/((100%/Y118)*365)*X118,IF(AND(AB118&lt;X118,DATE(2017,12,31)&gt;J118,AC118&lt;(X118*Y118)),AC118,0)))))</f>
        <v>0</v>
      </c>
      <c r="AE118" s="453">
        <f>IF(OR(Table51013454[[#This Row],[تاريخ الشراء-الاستلام]]="",Table51013454[[#This Row],[الإجمالي]]="",Table51013454[[#This Row],[العمر الافتراضي]]=""),"",AB118+AD118)</f>
        <v>61225</v>
      </c>
      <c r="AF118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الشراء-الاستلام]]&gt;DATE(2017,12,31),0,X118-AE118))</f>
        <v>0</v>
      </c>
    </row>
    <row r="119" spans="1:32" s="456" customFormat="1" ht="57.75" hidden="1" customHeight="1">
      <c r="A119" s="442">
        <f>IF(B119="","",SUBTOTAL(3,$B$6:B119))</f>
        <v>44</v>
      </c>
      <c r="B119" s="443" t="s">
        <v>1500</v>
      </c>
      <c r="C119" s="444" t="s">
        <v>118</v>
      </c>
      <c r="D119" s="443" t="s">
        <v>1387</v>
      </c>
      <c r="E119" s="443" t="s">
        <v>967</v>
      </c>
      <c r="F119" s="443"/>
      <c r="G119" s="445" t="s">
        <v>1369</v>
      </c>
      <c r="H119" s="445"/>
      <c r="I119" s="458" t="s">
        <v>1508</v>
      </c>
      <c r="J119" s="446">
        <v>39692</v>
      </c>
      <c r="K119" s="446"/>
      <c r="L119" s="442">
        <v>1</v>
      </c>
      <c r="M119" s="443"/>
      <c r="N119" s="447">
        <v>132493.99999899999</v>
      </c>
      <c r="O119" s="448">
        <f t="shared" si="2"/>
        <v>132493.99999899999</v>
      </c>
      <c r="P119" s="449"/>
      <c r="Q119" s="447"/>
      <c r="R119" s="447"/>
      <c r="S119" s="447"/>
      <c r="T119" s="447"/>
      <c r="U119" s="450">
        <f>Table51013454[[#This Row],[العدد]]*Table51013454[[#This Row],[السعر الافرادي]]</f>
        <v>0</v>
      </c>
      <c r="V119" s="451">
        <f>Table51013454[[#This Row],[الكمية]]-Table51013454[[#This Row],[العدد]]</f>
        <v>1</v>
      </c>
      <c r="W119" s="447">
        <f>Table51013454[[#This Row],[سعر/الحبة]]</f>
        <v>132493.99999899999</v>
      </c>
      <c r="X119" s="447">
        <f>Table51013454[[#This Row],[الإجمالي]]-Table51013454[[#This Row],[إجمالي المستبعد]]</f>
        <v>132493.99999899999</v>
      </c>
      <c r="Y119" s="457">
        <v>0.25</v>
      </c>
      <c r="Z119" s="445"/>
      <c r="AA119" s="443" t="s">
        <v>1365</v>
      </c>
      <c r="AB119" s="453">
        <v>132493.99999899999</v>
      </c>
      <c r="AC119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الشراء-الاستلام]]&lt;DATE(2017,1,1),O119-AB119,0))</f>
        <v>0</v>
      </c>
      <c r="AD119" s="454">
        <f>IF(OR(Table51013454[[#This Row],[تاريخ الشراء-الاستلام]]="",Table51013454[[#This Row],[الإجمالي]]="",Table51013454[[#This Row],[العمر الافتراضي]]=""),"",IF(AND(AB119&lt;X119,AC119&gt;(X119*Y119),DATE(2016,12,31)&gt;J119),X119*Y119,IF(AND(AB119&lt;X119,DATE(2017,12,31)&gt;J119,AC119&gt;(X119*Y119)),(DATE(2017,12,31)-J119)/((100%/Y119)*365)*X119,IF(AND(AB119&lt;X119,DATE(2017,12,31)&gt;J119,AC119=0),(DATE(2017,12,31)-J119)/((100%/Y119)*365)*X119,IF(AND(AB119&lt;X119,DATE(2017,12,31)&gt;J119,AC119&lt;(X119*Y119)),AC119,0)))))</f>
        <v>0</v>
      </c>
      <c r="AE119" s="453">
        <f>IF(OR(Table51013454[[#This Row],[تاريخ الشراء-الاستلام]]="",Table51013454[[#This Row],[الإجمالي]]="",Table51013454[[#This Row],[العمر الافتراضي]]=""),"",AB119+AD119)</f>
        <v>132493.99999899999</v>
      </c>
      <c r="AF119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الشراء-الاستلام]]&gt;DATE(2017,12,31),0,X119-AE119))</f>
        <v>0</v>
      </c>
    </row>
    <row r="120" spans="1:32" s="456" customFormat="1" ht="57.75" hidden="1" customHeight="1">
      <c r="A120" s="442">
        <f>IF(B120="","",SUBTOTAL(3,$B$6:B120))</f>
        <v>44</v>
      </c>
      <c r="B120" s="443" t="s">
        <v>1500</v>
      </c>
      <c r="C120" s="444" t="s">
        <v>118</v>
      </c>
      <c r="D120" s="443" t="s">
        <v>1387</v>
      </c>
      <c r="E120" s="443" t="s">
        <v>967</v>
      </c>
      <c r="F120" s="443"/>
      <c r="G120" s="445" t="s">
        <v>1369</v>
      </c>
      <c r="H120" s="445"/>
      <c r="I120" s="458" t="s">
        <v>1509</v>
      </c>
      <c r="J120" s="446">
        <v>39692</v>
      </c>
      <c r="K120" s="446"/>
      <c r="L120" s="442">
        <v>1</v>
      </c>
      <c r="M120" s="443"/>
      <c r="N120" s="447">
        <v>132493.99999899999</v>
      </c>
      <c r="O120" s="448">
        <f t="shared" si="2"/>
        <v>132493.99999899999</v>
      </c>
      <c r="P120" s="449"/>
      <c r="Q120" s="447"/>
      <c r="R120" s="447"/>
      <c r="S120" s="447"/>
      <c r="T120" s="447"/>
      <c r="U120" s="450">
        <f>Table51013454[[#This Row],[العدد]]*Table51013454[[#This Row],[السعر الافرادي]]</f>
        <v>0</v>
      </c>
      <c r="V120" s="451">
        <f>Table51013454[[#This Row],[الكمية]]-Table51013454[[#This Row],[العدد]]</f>
        <v>1</v>
      </c>
      <c r="W120" s="447">
        <f>Table51013454[[#This Row],[سعر/الحبة]]</f>
        <v>132493.99999899999</v>
      </c>
      <c r="X120" s="447">
        <f>Table51013454[[#This Row],[الإجمالي]]-Table51013454[[#This Row],[إجمالي المستبعد]]</f>
        <v>132493.99999899999</v>
      </c>
      <c r="Y120" s="457">
        <v>0.25</v>
      </c>
      <c r="Z120" s="445"/>
      <c r="AA120" s="443" t="s">
        <v>1365</v>
      </c>
      <c r="AB120" s="453">
        <v>132493.99999899999</v>
      </c>
      <c r="AC120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الشراء-الاستلام]]&lt;DATE(2017,1,1),O120-AB120,0))</f>
        <v>0</v>
      </c>
      <c r="AD120" s="454">
        <f>IF(OR(Table51013454[[#This Row],[تاريخ الشراء-الاستلام]]="",Table51013454[[#This Row],[الإجمالي]]="",Table51013454[[#This Row],[العمر الافتراضي]]=""),"",IF(AND(AB120&lt;X120,AC120&gt;(X120*Y120),DATE(2016,12,31)&gt;J120),X120*Y120,IF(AND(AB120&lt;X120,DATE(2017,12,31)&gt;J120,AC120&gt;(X120*Y120)),(DATE(2017,12,31)-J120)/((100%/Y120)*365)*X120,IF(AND(AB120&lt;X120,DATE(2017,12,31)&gt;J120,AC120=0),(DATE(2017,12,31)-J120)/((100%/Y120)*365)*X120,IF(AND(AB120&lt;X120,DATE(2017,12,31)&gt;J120,AC120&lt;(X120*Y120)),AC120,0)))))</f>
        <v>0</v>
      </c>
      <c r="AE120" s="453">
        <f>IF(OR(Table51013454[[#This Row],[تاريخ الشراء-الاستلام]]="",Table51013454[[#This Row],[الإجمالي]]="",Table51013454[[#This Row],[العمر الافتراضي]]=""),"",AB120+AD120)</f>
        <v>132493.99999899999</v>
      </c>
      <c r="AF120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الشراء-الاستلام]]&gt;DATE(2017,12,31),0,X120-AE120))</f>
        <v>0</v>
      </c>
    </row>
    <row r="121" spans="1:32" s="456" customFormat="1" ht="57.75" customHeight="1">
      <c r="A121" s="442">
        <f>IF(B121="","",SUBTOTAL(3,$B$6:B121))</f>
        <v>45</v>
      </c>
      <c r="B121" s="443" t="s">
        <v>1510</v>
      </c>
      <c r="C121" s="444" t="s">
        <v>1413</v>
      </c>
      <c r="D121" s="443" t="s">
        <v>1387</v>
      </c>
      <c r="E121" s="443" t="s">
        <v>967</v>
      </c>
      <c r="F121" s="443"/>
      <c r="G121" s="445" t="s">
        <v>1369</v>
      </c>
      <c r="H121" s="445"/>
      <c r="I121" s="460" t="s">
        <v>1511</v>
      </c>
      <c r="J121" s="446">
        <v>41274</v>
      </c>
      <c r="K121" s="446"/>
      <c r="L121" s="442">
        <v>1</v>
      </c>
      <c r="M121" s="443"/>
      <c r="N121" s="447">
        <v>63600</v>
      </c>
      <c r="O121" s="448">
        <f t="shared" si="2"/>
        <v>63600</v>
      </c>
      <c r="P121" s="449"/>
      <c r="Q121" s="447"/>
      <c r="R121" s="447"/>
      <c r="S121" s="447"/>
      <c r="T121" s="447"/>
      <c r="U121" s="450">
        <f>Table51013454[[#This Row],[العدد]]*Table51013454[[#This Row],[السعر الافرادي]]</f>
        <v>0</v>
      </c>
      <c r="V121" s="451">
        <f>Table51013454[[#This Row],[الكمية]]-Table51013454[[#This Row],[العدد]]</f>
        <v>1</v>
      </c>
      <c r="W121" s="447">
        <f>Table51013454[[#This Row],[سعر/الحبة]]</f>
        <v>63600</v>
      </c>
      <c r="X121" s="447">
        <f>Table51013454[[#This Row],[الإجمالي]]-Table51013454[[#This Row],[إجمالي المستبعد]]</f>
        <v>63600</v>
      </c>
      <c r="Y121" s="457">
        <v>0.15</v>
      </c>
      <c r="Z121" s="445"/>
      <c r="AA121" s="443" t="s">
        <v>1365</v>
      </c>
      <c r="AB121" s="453">
        <v>38160</v>
      </c>
      <c r="AC121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الشراء-الاستلام]]&lt;DATE(2017,1,1),O121-AB121,0))</f>
        <v>25440</v>
      </c>
      <c r="AD121" s="454">
        <f>IF(OR(Table51013454[[#This Row],[تاريخ الشراء-الاستلام]]="",Table51013454[[#This Row],[الإجمالي]]="",Table51013454[[#This Row],[العمر الافتراضي]]=""),"",IF(AND(AB121&lt;X121,AC121&gt;(X121*Y121),DATE(2016,12,31)&gt;J121),X121*Y121,IF(AND(AB121&lt;X121,DATE(2017,12,31)&gt;J121,AC121&gt;(X121*Y121)),(DATE(2017,12,31)-J121)/((100%/Y121)*365)*X121,IF(AND(AB121&lt;X121,DATE(2017,12,31)&gt;J121,AC121=0),(DATE(2017,12,31)-J121)/((100%/Y121)*365)*X121,IF(AND(AB121&lt;X121,DATE(2017,12,31)&gt;J121,AC121&lt;(X121*Y121)),AC121,0)))))</f>
        <v>9540</v>
      </c>
      <c r="AE121" s="453">
        <f>IF(OR(Table51013454[[#This Row],[تاريخ الشراء-الاستلام]]="",Table51013454[[#This Row],[الإجمالي]]="",Table51013454[[#This Row],[العمر الافتراضي]]=""),"",AB121+AD121)</f>
        <v>47700</v>
      </c>
      <c r="AF121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الشراء-الاستلام]]&gt;DATE(2017,12,31),0,X121-AE121))</f>
        <v>15900</v>
      </c>
    </row>
    <row r="122" spans="1:32" s="456" customFormat="1" ht="57.75" customHeight="1">
      <c r="A122" s="442">
        <f>IF(B122="","",SUBTOTAL(3,$B$6:B122))</f>
        <v>46</v>
      </c>
      <c r="B122" s="443" t="s">
        <v>1500</v>
      </c>
      <c r="C122" s="444" t="s">
        <v>1413</v>
      </c>
      <c r="D122" s="443" t="s">
        <v>1387</v>
      </c>
      <c r="E122" s="443" t="s">
        <v>967</v>
      </c>
      <c r="F122" s="443"/>
      <c r="G122" s="445" t="s">
        <v>1369</v>
      </c>
      <c r="H122" s="445"/>
      <c r="I122" s="460" t="s">
        <v>1512</v>
      </c>
      <c r="J122" s="446">
        <v>41091</v>
      </c>
      <c r="K122" s="446"/>
      <c r="L122" s="442">
        <v>1</v>
      </c>
      <c r="M122" s="443"/>
      <c r="N122" s="447">
        <v>245825</v>
      </c>
      <c r="O122" s="448">
        <f t="shared" si="2"/>
        <v>245825</v>
      </c>
      <c r="P122" s="449"/>
      <c r="Q122" s="447"/>
      <c r="R122" s="447"/>
      <c r="S122" s="447"/>
      <c r="T122" s="447"/>
      <c r="U122" s="450">
        <f>Table51013454[[#This Row],[العدد]]*Table51013454[[#This Row],[السعر الافرادي]]</f>
        <v>0</v>
      </c>
      <c r="V122" s="451">
        <f>Table51013454[[#This Row],[الكمية]]-Table51013454[[#This Row],[العدد]]</f>
        <v>1</v>
      </c>
      <c r="W122" s="447">
        <f>Table51013454[[#This Row],[سعر/الحبة]]</f>
        <v>245825</v>
      </c>
      <c r="X122" s="447">
        <f>Table51013454[[#This Row],[الإجمالي]]-Table51013454[[#This Row],[إجمالي المستبعد]]</f>
        <v>245825</v>
      </c>
      <c r="Y122" s="457">
        <v>0.15</v>
      </c>
      <c r="Z122" s="445"/>
      <c r="AA122" s="443" t="s">
        <v>1365</v>
      </c>
      <c r="AB122" s="453">
        <v>165982.38698630134</v>
      </c>
      <c r="AC122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الشراء-الاستلام]]&lt;DATE(2017,1,1),O122-AB122,0))</f>
        <v>79842.613013698661</v>
      </c>
      <c r="AD122" s="454">
        <f>IF(OR(Table51013454[[#This Row],[تاريخ الشراء-الاستلام]]="",Table51013454[[#This Row],[الإجمالي]]="",Table51013454[[#This Row],[العمر الافتراضي]]=""),"",IF(AND(AB122&lt;X122,AC122&gt;(X122*Y122),DATE(2016,12,31)&gt;J122),X122*Y122,IF(AND(AB122&lt;X122,DATE(2017,12,31)&gt;J122,AC122&gt;(X122*Y122)),(DATE(2017,12,31)-J122)/((100%/Y122)*365)*X122,IF(AND(AB122&lt;X122,DATE(2017,12,31)&gt;J122,AC122=0),(DATE(2017,12,31)-J122)/((100%/Y122)*365)*X122,IF(AND(AB122&lt;X122,DATE(2017,12,31)&gt;J122,AC122&lt;(X122*Y122)),AC122,0)))))</f>
        <v>36873.75</v>
      </c>
      <c r="AE122" s="453">
        <f>IF(OR(Table51013454[[#This Row],[تاريخ الشراء-الاستلام]]="",Table51013454[[#This Row],[الإجمالي]]="",Table51013454[[#This Row],[العمر الافتراضي]]=""),"",AB122+AD122)</f>
        <v>202856.13698630134</v>
      </c>
      <c r="AF122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الشراء-الاستلام]]&gt;DATE(2017,12,31),0,X122-AE122))</f>
        <v>42968.863013698661</v>
      </c>
    </row>
    <row r="123" spans="1:32" s="456" customFormat="1" ht="57.75" customHeight="1">
      <c r="A123" s="442">
        <f>IF(B123="","",SUBTOTAL(3,$B$6:B123))</f>
        <v>47</v>
      </c>
      <c r="B123" s="443" t="s">
        <v>1500</v>
      </c>
      <c r="C123" s="444" t="s">
        <v>1413</v>
      </c>
      <c r="D123" s="443" t="s">
        <v>1387</v>
      </c>
      <c r="E123" s="443" t="s">
        <v>967</v>
      </c>
      <c r="F123" s="443"/>
      <c r="G123" s="445" t="s">
        <v>1369</v>
      </c>
      <c r="H123" s="445"/>
      <c r="I123" s="460" t="s">
        <v>1512</v>
      </c>
      <c r="J123" s="446">
        <v>41091</v>
      </c>
      <c r="K123" s="446"/>
      <c r="L123" s="442">
        <v>1</v>
      </c>
      <c r="M123" s="443"/>
      <c r="N123" s="447">
        <v>93000</v>
      </c>
      <c r="O123" s="448">
        <f t="shared" si="2"/>
        <v>93000</v>
      </c>
      <c r="P123" s="449"/>
      <c r="Q123" s="447"/>
      <c r="R123" s="447"/>
      <c r="S123" s="447"/>
      <c r="T123" s="447"/>
      <c r="U123" s="450">
        <f>Table51013454[[#This Row],[العدد]]*Table51013454[[#This Row],[السعر الافرادي]]</f>
        <v>0</v>
      </c>
      <c r="V123" s="451">
        <f>Table51013454[[#This Row],[الكمية]]-Table51013454[[#This Row],[العدد]]</f>
        <v>1</v>
      </c>
      <c r="W123" s="447">
        <f>Table51013454[[#This Row],[سعر/الحبة]]</f>
        <v>93000</v>
      </c>
      <c r="X123" s="447">
        <f>Table51013454[[#This Row],[الإجمالي]]-Table51013454[[#This Row],[إجمالي المستبعد]]</f>
        <v>93000</v>
      </c>
      <c r="Y123" s="457">
        <v>0.15</v>
      </c>
      <c r="Z123" s="445"/>
      <c r="AA123" s="443" t="s">
        <v>1365</v>
      </c>
      <c r="AB123" s="453">
        <v>62794.109589041094</v>
      </c>
      <c r="AC123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الشراء-الاستلام]]&lt;DATE(2017,1,1),O123-AB123,0))</f>
        <v>30205.890410958906</v>
      </c>
      <c r="AD123" s="454">
        <f>IF(OR(Table51013454[[#This Row],[تاريخ الشراء-الاستلام]]="",Table51013454[[#This Row],[الإجمالي]]="",Table51013454[[#This Row],[العمر الافتراضي]]=""),"",IF(AND(AB123&lt;X123,AC123&gt;(X123*Y123),DATE(2016,12,31)&gt;J123),X123*Y123,IF(AND(AB123&lt;X123,DATE(2017,12,31)&gt;J123,AC123&gt;(X123*Y123)),(DATE(2017,12,31)-J123)/((100%/Y123)*365)*X123,IF(AND(AB123&lt;X123,DATE(2017,12,31)&gt;J123,AC123=0),(DATE(2017,12,31)-J123)/((100%/Y123)*365)*X123,IF(AND(AB123&lt;X123,DATE(2017,12,31)&gt;J123,AC123&lt;(X123*Y123)),AC123,0)))))</f>
        <v>13950</v>
      </c>
      <c r="AE123" s="453">
        <f>IF(OR(Table51013454[[#This Row],[تاريخ الشراء-الاستلام]]="",Table51013454[[#This Row],[الإجمالي]]="",Table51013454[[#This Row],[العمر الافتراضي]]=""),"",AB123+AD123)</f>
        <v>76744.109589041094</v>
      </c>
      <c r="AF123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الشراء-الاستلام]]&gt;DATE(2017,12,31),0,X123-AE123))</f>
        <v>16255.890410958906</v>
      </c>
    </row>
    <row r="124" spans="1:32" s="456" customFormat="1" ht="57.75" hidden="1" customHeight="1">
      <c r="A124" s="442">
        <f>IF(B124="","",SUBTOTAL(3,$B$6:B124))</f>
        <v>47</v>
      </c>
      <c r="B124" s="443" t="s">
        <v>1513</v>
      </c>
      <c r="C124" s="444" t="s">
        <v>118</v>
      </c>
      <c r="D124" s="443" t="s">
        <v>1362</v>
      </c>
      <c r="E124" s="443" t="s">
        <v>1134</v>
      </c>
      <c r="F124" s="443"/>
      <c r="G124" s="445" t="s">
        <v>1369</v>
      </c>
      <c r="H124" s="445" t="s">
        <v>1514</v>
      </c>
      <c r="I124" s="443"/>
      <c r="J124" s="446">
        <v>42487</v>
      </c>
      <c r="K124" s="446" t="s">
        <v>1515</v>
      </c>
      <c r="L124" s="442">
        <v>1</v>
      </c>
      <c r="M124" s="443">
        <v>8296</v>
      </c>
      <c r="N124" s="447">
        <v>2243</v>
      </c>
      <c r="O124" s="448">
        <f t="shared" si="2"/>
        <v>2243</v>
      </c>
      <c r="P124" s="449"/>
      <c r="Q124" s="447"/>
      <c r="R124" s="447"/>
      <c r="S124" s="447"/>
      <c r="T124" s="447"/>
      <c r="U124" s="450">
        <f>Table51013454[[#This Row],[العدد]]*Table51013454[[#This Row],[السعر الافرادي]]</f>
        <v>0</v>
      </c>
      <c r="V124" s="451">
        <f>Table51013454[[#This Row],[الكمية]]-Table51013454[[#This Row],[العدد]]</f>
        <v>1</v>
      </c>
      <c r="W124" s="447">
        <f>Table51013454[[#This Row],[سعر/الحبة]]</f>
        <v>2243</v>
      </c>
      <c r="X124" s="447">
        <f>Table51013454[[#This Row],[الإجمالي]]-Table51013454[[#This Row],[إجمالي المستبعد]]</f>
        <v>2243</v>
      </c>
      <c r="Y124" s="452">
        <v>0.15</v>
      </c>
      <c r="Z124" s="445"/>
      <c r="AA124" s="443" t="s">
        <v>1365</v>
      </c>
      <c r="AB124" s="453">
        <v>228.60164383561641</v>
      </c>
      <c r="AC124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الشراء-الاستلام]]&lt;DATE(2017,1,1),O124-AB124,0))</f>
        <v>2014.3983561643836</v>
      </c>
      <c r="AD124" s="454">
        <f>IF(OR(Table51013454[[#This Row],[تاريخ الشراء-الاستلام]]="",Table51013454[[#This Row],[الإجمالي]]="",Table51013454[[#This Row],[العمر الافتراضي]]=""),"",IF(AND(AB124&lt;X124,AC124&gt;(X124*Y124),DATE(2016,12,31)&gt;J124),X124*Y124,IF(AND(AB124&lt;X124,DATE(2017,12,31)&gt;J124,AC124&gt;(X124*Y124)),(DATE(2017,12,31)-J124)/((100%/Y124)*365)*X124,IF(AND(AB124&lt;X124,DATE(2017,12,31)&gt;J124,AC124=0),(DATE(2017,12,31)-J124)/((100%/Y124)*365)*X124,IF(AND(AB124&lt;X124,DATE(2017,12,31)&gt;J124,AC124&lt;(X124*Y124)),AC124,0)))))</f>
        <v>336.45</v>
      </c>
      <c r="AE124" s="453">
        <f>IF(OR(Table51013454[[#This Row],[تاريخ الشراء-الاستلام]]="",Table51013454[[#This Row],[الإجمالي]]="",Table51013454[[#This Row],[العمر الافتراضي]]=""),"",AB124+AD124)</f>
        <v>565.05164383561646</v>
      </c>
      <c r="AF124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الشراء-الاستلام]]&gt;DATE(2017,12,31),0,X124-AE124))</f>
        <v>1677.9483561643835</v>
      </c>
    </row>
    <row r="125" spans="1:32" s="456" customFormat="1" ht="57.75" hidden="1" customHeight="1">
      <c r="A125" s="442">
        <f>IF(B125="","",SUBTOTAL(3,$B$6:B125))</f>
        <v>47</v>
      </c>
      <c r="B125" s="443" t="s">
        <v>1516</v>
      </c>
      <c r="C125" s="444" t="s">
        <v>118</v>
      </c>
      <c r="D125" s="443" t="s">
        <v>1362</v>
      </c>
      <c r="E125" s="443" t="s">
        <v>1368</v>
      </c>
      <c r="F125" s="443"/>
      <c r="G125" s="445" t="s">
        <v>1369</v>
      </c>
      <c r="H125" s="445"/>
      <c r="I125" s="443"/>
      <c r="J125" s="446">
        <v>42675</v>
      </c>
      <c r="K125" s="446"/>
      <c r="L125" s="442">
        <v>1</v>
      </c>
      <c r="M125" s="443"/>
      <c r="N125" s="447">
        <v>40</v>
      </c>
      <c r="O125" s="448">
        <f t="shared" si="2"/>
        <v>40</v>
      </c>
      <c r="P125" s="449"/>
      <c r="Q125" s="447"/>
      <c r="R125" s="447"/>
      <c r="S125" s="447"/>
      <c r="T125" s="447"/>
      <c r="U125" s="450">
        <f>Table51013454[[#This Row],[العدد]]*Table51013454[[#This Row],[السعر الافرادي]]</f>
        <v>0</v>
      </c>
      <c r="V125" s="451">
        <f>Table51013454[[#This Row],[الكمية]]-Table51013454[[#This Row],[العدد]]</f>
        <v>1</v>
      </c>
      <c r="W125" s="447">
        <f>Table51013454[[#This Row],[سعر/الحبة]]</f>
        <v>40</v>
      </c>
      <c r="X125" s="447">
        <f>Table51013454[[#This Row],[الإجمالي]]-Table51013454[[#This Row],[إجمالي المستبعد]]</f>
        <v>40</v>
      </c>
      <c r="Y125" s="452">
        <v>0.15</v>
      </c>
      <c r="Z125" s="445"/>
      <c r="AA125" s="443" t="s">
        <v>1365</v>
      </c>
      <c r="AB125" s="453">
        <v>0.98630136986301364</v>
      </c>
      <c r="AC125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الشراء-الاستلام]]&lt;DATE(2017,1,1),O125-AB125,0))</f>
        <v>39.013698630136986</v>
      </c>
      <c r="AD125" s="454">
        <f>IF(OR(Table51013454[[#This Row],[تاريخ الشراء-الاستلام]]="",Table51013454[[#This Row],[الإجمالي]]="",Table51013454[[#This Row],[العمر الافتراضي]]=""),"",IF(AND(AB125&lt;X125,AC125&gt;(X125*Y125),DATE(2016,12,31)&gt;J125),X125*Y125,IF(AND(AB125&lt;X125,DATE(2017,12,31)&gt;J125,AC125&gt;(X125*Y125)),(DATE(2017,12,31)-J125)/((100%/Y125)*365)*X125,IF(AND(AB125&lt;X125,DATE(2017,12,31)&gt;J125,AC125=0),(DATE(2017,12,31)-J125)/((100%/Y125)*365)*X125,IF(AND(AB125&lt;X125,DATE(2017,12,31)&gt;J125,AC125&lt;(X125*Y125)),AC125,0)))))</f>
        <v>6</v>
      </c>
      <c r="AE125" s="453">
        <f>IF(OR(Table51013454[[#This Row],[تاريخ الشراء-الاستلام]]="",Table51013454[[#This Row],[الإجمالي]]="",Table51013454[[#This Row],[العمر الافتراضي]]=""),"",AB125+AD125)</f>
        <v>6.9863013698630141</v>
      </c>
      <c r="AF125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الشراء-الاستلام]]&gt;DATE(2017,12,31),0,X125-AE125))</f>
        <v>33.013698630136986</v>
      </c>
    </row>
    <row r="126" spans="1:32" s="456" customFormat="1" ht="57.75" hidden="1" customHeight="1">
      <c r="A126" s="442">
        <f>IF(B126="","",SUBTOTAL(3,$B$6:B126))</f>
        <v>47</v>
      </c>
      <c r="B126" s="443" t="s">
        <v>1517</v>
      </c>
      <c r="C126" s="444" t="s">
        <v>118</v>
      </c>
      <c r="D126" s="443" t="s">
        <v>1362</v>
      </c>
      <c r="E126" s="443" t="s">
        <v>1410</v>
      </c>
      <c r="F126" s="443"/>
      <c r="G126" s="445" t="s">
        <v>1369</v>
      </c>
      <c r="H126" s="445"/>
      <c r="I126" s="443"/>
      <c r="J126" s="446">
        <v>42583</v>
      </c>
      <c r="K126" s="446"/>
      <c r="L126" s="442">
        <v>1</v>
      </c>
      <c r="M126" s="443"/>
      <c r="N126" s="447">
        <v>2950</v>
      </c>
      <c r="O126" s="448">
        <f t="shared" si="2"/>
        <v>2950</v>
      </c>
      <c r="P126" s="449"/>
      <c r="Q126" s="447"/>
      <c r="R126" s="447"/>
      <c r="S126" s="447"/>
      <c r="T126" s="447"/>
      <c r="U126" s="450">
        <f>Table51013454[[#This Row],[العدد]]*Table51013454[[#This Row],[السعر الافرادي]]</f>
        <v>0</v>
      </c>
      <c r="V126" s="451">
        <f>Table51013454[[#This Row],[الكمية]]-Table51013454[[#This Row],[العدد]]</f>
        <v>1</v>
      </c>
      <c r="W126" s="447">
        <f>Table51013454[[#This Row],[سعر/الحبة]]</f>
        <v>2950</v>
      </c>
      <c r="X126" s="447">
        <f>Table51013454[[#This Row],[الإجمالي]]-Table51013454[[#This Row],[إجمالي المستبعد]]</f>
        <v>2950</v>
      </c>
      <c r="Y126" s="452">
        <v>0.15</v>
      </c>
      <c r="Z126" s="445"/>
      <c r="AA126" s="443" t="s">
        <v>1365</v>
      </c>
      <c r="AB126" s="453">
        <v>184.27397260273972</v>
      </c>
      <c r="AC126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الشراء-الاستلام]]&lt;DATE(2017,1,1),O126-AB126,0))</f>
        <v>2765.7260273972602</v>
      </c>
      <c r="AD126" s="454">
        <f>IF(OR(Table51013454[[#This Row],[تاريخ الشراء-الاستلام]]="",Table51013454[[#This Row],[الإجمالي]]="",Table51013454[[#This Row],[العمر الافتراضي]]=""),"",IF(AND(AB126&lt;X126,AC126&gt;(X126*Y126),DATE(2016,12,31)&gt;J126),X126*Y126,IF(AND(AB126&lt;X126,DATE(2017,12,31)&gt;J126,AC126&gt;(X126*Y126)),(DATE(2017,12,31)-J126)/((100%/Y126)*365)*X126,IF(AND(AB126&lt;X126,DATE(2017,12,31)&gt;J126,AC126=0),(DATE(2017,12,31)-J126)/((100%/Y126)*365)*X126,IF(AND(AB126&lt;X126,DATE(2017,12,31)&gt;J126,AC126&lt;(X126*Y126)),AC126,0)))))</f>
        <v>442.5</v>
      </c>
      <c r="AE126" s="453">
        <f>IF(OR(Table51013454[[#This Row],[تاريخ الشراء-الاستلام]]="",Table51013454[[#This Row],[الإجمالي]]="",Table51013454[[#This Row],[العمر الافتراضي]]=""),"",AB126+AD126)</f>
        <v>626.77397260273972</v>
      </c>
      <c r="AF126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الشراء-الاستلام]]&gt;DATE(2017,12,31),0,X126-AE126))</f>
        <v>2323.2260273972602</v>
      </c>
    </row>
    <row r="127" spans="1:32" s="456" customFormat="1" ht="57.75" hidden="1" customHeight="1">
      <c r="A127" s="442">
        <f>IF(B127="","",SUBTOTAL(3,$B$6:B127))</f>
        <v>47</v>
      </c>
      <c r="B127" s="443" t="s">
        <v>1518</v>
      </c>
      <c r="C127" s="444" t="s">
        <v>118</v>
      </c>
      <c r="D127" s="443" t="s">
        <v>1362</v>
      </c>
      <c r="E127" s="443" t="s">
        <v>64</v>
      </c>
      <c r="F127" s="443"/>
      <c r="G127" s="445" t="s">
        <v>1369</v>
      </c>
      <c r="H127" s="445"/>
      <c r="I127" s="443"/>
      <c r="J127" s="446">
        <v>42569</v>
      </c>
      <c r="K127" s="446" t="s">
        <v>1519</v>
      </c>
      <c r="L127" s="442">
        <v>1</v>
      </c>
      <c r="M127" s="443">
        <v>1603869</v>
      </c>
      <c r="N127" s="447">
        <v>4600</v>
      </c>
      <c r="O127" s="448">
        <f t="shared" si="2"/>
        <v>4600</v>
      </c>
      <c r="P127" s="449"/>
      <c r="Q127" s="447"/>
      <c r="R127" s="447"/>
      <c r="S127" s="447"/>
      <c r="T127" s="447"/>
      <c r="U127" s="450">
        <f>Table51013454[[#This Row],[العدد]]*Table51013454[[#This Row],[السعر الافرادي]]</f>
        <v>0</v>
      </c>
      <c r="V127" s="451">
        <f>Table51013454[[#This Row],[الكمية]]-Table51013454[[#This Row],[العدد]]</f>
        <v>1</v>
      </c>
      <c r="W127" s="447">
        <f>Table51013454[[#This Row],[سعر/الحبة]]</f>
        <v>4600</v>
      </c>
      <c r="X127" s="447">
        <f>Table51013454[[#This Row],[الإجمالي]]-Table51013454[[#This Row],[إجمالي المستبعد]]</f>
        <v>4600</v>
      </c>
      <c r="Y127" s="452">
        <v>0.15</v>
      </c>
      <c r="Z127" s="445"/>
      <c r="AA127" s="443" t="s">
        <v>1365</v>
      </c>
      <c r="AB127" s="453">
        <v>313.80821917808214</v>
      </c>
      <c r="AC127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الشراء-الاستلام]]&lt;DATE(2017,1,1),O127-AB127,0))</f>
        <v>4286.1917808219177</v>
      </c>
      <c r="AD127" s="454">
        <f>IF(OR(Table51013454[[#This Row],[تاريخ الشراء-الاستلام]]="",Table51013454[[#This Row],[الإجمالي]]="",Table51013454[[#This Row],[العمر الافتراضي]]=""),"",IF(AND(AB127&lt;X127,AC127&gt;(X127*Y127),DATE(2016,12,31)&gt;J127),X127*Y127,IF(AND(AB127&lt;X127,DATE(2017,12,31)&gt;J127,AC127&gt;(X127*Y127)),(DATE(2017,12,31)-J127)/((100%/Y127)*365)*X127,IF(AND(AB127&lt;X127,DATE(2017,12,31)&gt;J127,AC127=0),(DATE(2017,12,31)-J127)/((100%/Y127)*365)*X127,IF(AND(AB127&lt;X127,DATE(2017,12,31)&gt;J127,AC127&lt;(X127*Y127)),AC127,0)))))</f>
        <v>690</v>
      </c>
      <c r="AE127" s="453">
        <f>IF(OR(Table51013454[[#This Row],[تاريخ الشراء-الاستلام]]="",Table51013454[[#This Row],[الإجمالي]]="",Table51013454[[#This Row],[العمر الافتراضي]]=""),"",AB127+AD127)</f>
        <v>1003.8082191780821</v>
      </c>
      <c r="AF127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الشراء-الاستلام]]&gt;DATE(2017,12,31),0,X127-AE127))</f>
        <v>3596.1917808219177</v>
      </c>
    </row>
    <row r="128" spans="1:32" s="456" customFormat="1" ht="57.75" hidden="1" customHeight="1">
      <c r="A128" s="442">
        <f>IF(B128="","",SUBTOTAL(3,$B$6:B128))</f>
        <v>47</v>
      </c>
      <c r="B128" s="443" t="s">
        <v>1520</v>
      </c>
      <c r="C128" s="444" t="s">
        <v>118</v>
      </c>
      <c r="D128" s="443" t="s">
        <v>1362</v>
      </c>
      <c r="E128" s="443" t="s">
        <v>64</v>
      </c>
      <c r="F128" s="443"/>
      <c r="G128" s="445" t="s">
        <v>1369</v>
      </c>
      <c r="H128" s="445"/>
      <c r="I128" s="443"/>
      <c r="J128" s="446">
        <v>42593</v>
      </c>
      <c r="K128" s="446" t="s">
        <v>1521</v>
      </c>
      <c r="L128" s="442">
        <v>2</v>
      </c>
      <c r="M128" s="443">
        <v>1691</v>
      </c>
      <c r="N128" s="447">
        <v>600</v>
      </c>
      <c r="O128" s="448">
        <f t="shared" si="2"/>
        <v>1200</v>
      </c>
      <c r="P128" s="449"/>
      <c r="Q128" s="447"/>
      <c r="R128" s="447"/>
      <c r="S128" s="447"/>
      <c r="T128" s="447"/>
      <c r="U128" s="450">
        <f>Table51013454[[#This Row],[العدد]]*Table51013454[[#This Row],[السعر الافرادي]]</f>
        <v>0</v>
      </c>
      <c r="V128" s="451">
        <f>Table51013454[[#This Row],[الكمية]]-Table51013454[[#This Row],[العدد]]</f>
        <v>2</v>
      </c>
      <c r="W128" s="447">
        <f>Table51013454[[#This Row],[سعر/الحبة]]</f>
        <v>600</v>
      </c>
      <c r="X128" s="447">
        <f>Table51013454[[#This Row],[الإجمالي]]-Table51013454[[#This Row],[إجمالي المستبعد]]</f>
        <v>1200</v>
      </c>
      <c r="Y128" s="452">
        <v>0.15</v>
      </c>
      <c r="Z128" s="445"/>
      <c r="AA128" s="443" t="s">
        <v>1365</v>
      </c>
      <c r="AB128" s="453">
        <v>70.027397260273972</v>
      </c>
      <c r="AC128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الشراء-الاستلام]]&lt;DATE(2017,1,1),O128-AB128,0))</f>
        <v>1129.972602739726</v>
      </c>
      <c r="AD128" s="454">
        <f>IF(OR(Table51013454[[#This Row],[تاريخ الشراء-الاستلام]]="",Table51013454[[#This Row],[الإجمالي]]="",Table51013454[[#This Row],[العمر الافتراضي]]=""),"",IF(AND(AB128&lt;X128,AC128&gt;(X128*Y128),DATE(2016,12,31)&gt;J128),X128*Y128,IF(AND(AB128&lt;X128,DATE(2017,12,31)&gt;J128,AC128&gt;(X128*Y128)),(DATE(2017,12,31)-J128)/((100%/Y128)*365)*X128,IF(AND(AB128&lt;X128,DATE(2017,12,31)&gt;J128,AC128=0),(DATE(2017,12,31)-J128)/((100%/Y128)*365)*X128,IF(AND(AB128&lt;X128,DATE(2017,12,31)&gt;J128,AC128&lt;(X128*Y128)),AC128,0)))))</f>
        <v>180</v>
      </c>
      <c r="AE128" s="453">
        <f>IF(OR(Table51013454[[#This Row],[تاريخ الشراء-الاستلام]]="",Table51013454[[#This Row],[الإجمالي]]="",Table51013454[[#This Row],[العمر الافتراضي]]=""),"",AB128+AD128)</f>
        <v>250.02739726027397</v>
      </c>
      <c r="AF128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الشراء-الاستلام]]&gt;DATE(2017,12,31),0,X128-AE128))</f>
        <v>949.97260273972597</v>
      </c>
    </row>
    <row r="129" spans="1:34" s="456" customFormat="1" ht="57.75" hidden="1" customHeight="1">
      <c r="A129" s="465">
        <f>IF(B129="","",SUBTOTAL(3,$B$6:B157))</f>
        <v>47</v>
      </c>
      <c r="B129" s="466" t="s">
        <v>1522</v>
      </c>
      <c r="C129" s="444" t="s">
        <v>118</v>
      </c>
      <c r="D129" s="443" t="s">
        <v>1362</v>
      </c>
      <c r="E129" s="443" t="s">
        <v>64</v>
      </c>
      <c r="F129" s="443"/>
      <c r="G129" s="445" t="s">
        <v>1369</v>
      </c>
      <c r="H129" s="467"/>
      <c r="I129" s="466"/>
      <c r="J129" s="468">
        <v>42724</v>
      </c>
      <c r="K129" s="468"/>
      <c r="L129" s="469">
        <v>2</v>
      </c>
      <c r="M129" s="466"/>
      <c r="N129" s="470">
        <v>1750</v>
      </c>
      <c r="O129" s="471">
        <f t="shared" ref="O129:O154" si="3">N129*L129</f>
        <v>3500</v>
      </c>
      <c r="P129" s="472"/>
      <c r="Q129" s="470"/>
      <c r="R129" s="470"/>
      <c r="S129" s="470"/>
      <c r="T129" s="470"/>
      <c r="U129" s="473">
        <f>Table51013454[[#This Row],[العدد]]*Table51013454[[#This Row],[السعر الافرادي]]</f>
        <v>0</v>
      </c>
      <c r="V129" s="474">
        <f>Table51013454[[#This Row],[الكمية]]-Table51013454[[#This Row],[العدد]]</f>
        <v>2</v>
      </c>
      <c r="W129" s="470">
        <f>Table51013454[[#This Row],[سعر/الحبة]]</f>
        <v>1750</v>
      </c>
      <c r="X129" s="470">
        <f>Table51013454[[#This Row],[الإجمالي]]-Table51013454[[#This Row],[إجمالي المستبعد]]</f>
        <v>3500</v>
      </c>
      <c r="Y129" s="452">
        <v>0.15</v>
      </c>
      <c r="Z129" s="467"/>
      <c r="AA129" s="443" t="s">
        <v>1365</v>
      </c>
      <c r="AB129" s="453">
        <v>15.821917808219176</v>
      </c>
      <c r="AC129" s="47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الشراء-الاستلام]]&lt;DATE(2017,1,1),O129-AB129,0))</f>
        <v>3484.178082191781</v>
      </c>
      <c r="AD129" s="454">
        <f>IF(OR(Table51013454[[#This Row],[تاريخ الشراء-الاستلام]]="",Table51013454[[#This Row],[الإجمالي]]="",Table51013454[[#This Row],[العمر الافتراضي]]=""),"",IF(AND(AB129&lt;X129,AC129&gt;(X129*Y129),DATE(2016,12,31)&gt;J129),X129*Y129,IF(AND(AB129&lt;X129,DATE(2017,12,31)&gt;J129,AC129&gt;(X129*Y129)),(DATE(2017,12,31)-J129)/((100%/Y129)*365)*X129,IF(AND(AB129&lt;X129,DATE(2017,12,31)&gt;J129,AC129=0),(DATE(2017,12,31)-J129)/((100%/Y129)*365)*X129,IF(AND(AB129&lt;X129,DATE(2017,12,31)&gt;J129,AC129&lt;(X129*Y129)),AC129,0)))))</f>
        <v>525</v>
      </c>
      <c r="AE129" s="475">
        <f>IF(OR(Table51013454[[#This Row],[تاريخ الشراء-الاستلام]]="",Table51013454[[#This Row],[الإجمالي]]="",Table51013454[[#This Row],[العمر الافتراضي]]=""),"",AB129+AD129)</f>
        <v>540.82191780821915</v>
      </c>
      <c r="AF129" s="47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الشراء-الاستلام]]&gt;DATE(2017,12,31),0,X129-AE129))</f>
        <v>2959.178082191781</v>
      </c>
    </row>
    <row r="130" spans="1:34" s="456" customFormat="1" ht="57.75" hidden="1" customHeight="1">
      <c r="A130" s="442">
        <f>IF(B130="","",SUBTOTAL(3,$B$6:B130))</f>
        <v>47</v>
      </c>
      <c r="B130" s="443" t="s">
        <v>1523</v>
      </c>
      <c r="C130" s="444" t="s">
        <v>118</v>
      </c>
      <c r="D130" s="443" t="s">
        <v>1362</v>
      </c>
      <c r="E130" s="443" t="s">
        <v>64</v>
      </c>
      <c r="F130" s="443"/>
      <c r="G130" s="445" t="s">
        <v>1369</v>
      </c>
      <c r="H130" s="445"/>
      <c r="I130" s="443"/>
      <c r="J130" s="468">
        <v>40725</v>
      </c>
      <c r="K130" s="446"/>
      <c r="L130" s="469">
        <v>1</v>
      </c>
      <c r="M130" s="443"/>
      <c r="N130" s="470">
        <v>37500</v>
      </c>
      <c r="O130" s="448">
        <f t="shared" si="3"/>
        <v>37500</v>
      </c>
      <c r="P130" s="449"/>
      <c r="Q130" s="447"/>
      <c r="R130" s="447"/>
      <c r="S130" s="447"/>
      <c r="T130" s="447"/>
      <c r="U130" s="450">
        <f>Table51013454[[#This Row],[العدد]]*Table51013454[[#This Row],[السعر الافرادي]]</f>
        <v>0</v>
      </c>
      <c r="V130" s="451">
        <f>Table51013454[[#This Row],[الكمية]]-Table51013454[[#This Row],[العدد]]</f>
        <v>1</v>
      </c>
      <c r="W130" s="447">
        <f>Table51013454[[#This Row],[سعر/الحبة]]</f>
        <v>37500</v>
      </c>
      <c r="X130" s="447">
        <f>Table51013454[[#This Row],[الإجمالي]]-Table51013454[[#This Row],[إجمالي المستبعد]]</f>
        <v>37500</v>
      </c>
      <c r="Y130" s="452">
        <v>0.15</v>
      </c>
      <c r="Z130" s="445"/>
      <c r="AA130" s="443" t="s">
        <v>1365</v>
      </c>
      <c r="AB130" s="453">
        <v>30960.616438356163</v>
      </c>
      <c r="AC130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الشراء-الاستلام]]&lt;DATE(2017,1,1),O130-AB130,0))</f>
        <v>6539.3835616438373</v>
      </c>
      <c r="AD130" s="454">
        <f>IF(OR(Table51013454[[#This Row],[تاريخ الشراء-الاستلام]]="",Table51013454[[#This Row],[الإجمالي]]="",Table51013454[[#This Row],[العمر الافتراضي]]=""),"",IF(AND(AB130&lt;X130,AC130&gt;(X130*Y130),DATE(2016,12,31)&gt;J130),X130*Y130,IF(AND(AB130&lt;X130,DATE(2017,12,31)&gt;J130,AC130&gt;(X130*Y130)),(DATE(2017,12,31)-J130)/((100%/Y130)*365)*X130,IF(AND(AB130&lt;X130,DATE(2017,12,31)&gt;J130,AC130=0),(DATE(2017,12,31)-J130)/((100%/Y130)*365)*X130,IF(AND(AB130&lt;X130,DATE(2017,12,31)&gt;J130,AC130&lt;(X130*Y130)),AC130,0)))))</f>
        <v>5625</v>
      </c>
      <c r="AE130" s="453">
        <f>IF(OR(Table51013454[[#This Row],[تاريخ الشراء-الاستلام]]="",Table51013454[[#This Row],[الإجمالي]]="",Table51013454[[#This Row],[العمر الافتراضي]]=""),"",AB130+AD130)</f>
        <v>36585.616438356163</v>
      </c>
      <c r="AF130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الشراء-الاستلام]]&gt;DATE(2017,12,31),0,X130-AE130))</f>
        <v>914.38356164383731</v>
      </c>
    </row>
    <row r="131" spans="1:34" s="456" customFormat="1" ht="57.75" hidden="1" customHeight="1">
      <c r="A131" s="442">
        <f>IF(B131="","",SUBTOTAL(3,$B$6:B131))</f>
        <v>47</v>
      </c>
      <c r="B131" s="443" t="s">
        <v>1524</v>
      </c>
      <c r="C131" s="444" t="s">
        <v>118</v>
      </c>
      <c r="D131" s="443" t="s">
        <v>1362</v>
      </c>
      <c r="E131" s="443" t="s">
        <v>64</v>
      </c>
      <c r="F131" s="443"/>
      <c r="G131" s="445" t="s">
        <v>1369</v>
      </c>
      <c r="H131" s="445"/>
      <c r="I131" s="443"/>
      <c r="J131" s="468">
        <v>40787</v>
      </c>
      <c r="K131" s="446"/>
      <c r="L131" s="469">
        <v>1</v>
      </c>
      <c r="M131" s="443"/>
      <c r="N131" s="447">
        <v>5820</v>
      </c>
      <c r="O131" s="448">
        <f t="shared" si="3"/>
        <v>5820</v>
      </c>
      <c r="P131" s="449"/>
      <c r="Q131" s="447"/>
      <c r="R131" s="447"/>
      <c r="S131" s="447"/>
      <c r="T131" s="447"/>
      <c r="U131" s="450">
        <f>Table51013454[[#This Row],[العدد]]*Table51013454[[#This Row],[السعر الافرادي]]</f>
        <v>0</v>
      </c>
      <c r="V131" s="451">
        <f>Table51013454[[#This Row],[الكمية]]-Table51013454[[#This Row],[العدد]]</f>
        <v>1</v>
      </c>
      <c r="W131" s="447">
        <f>Table51013454[[#This Row],[سعر/الحبة]]</f>
        <v>5820</v>
      </c>
      <c r="X131" s="447">
        <f>Table51013454[[#This Row],[الإجمالي]]-Table51013454[[#This Row],[إجمالي المستبعد]]</f>
        <v>5820</v>
      </c>
      <c r="Y131" s="452">
        <v>0.15</v>
      </c>
      <c r="Z131" s="445"/>
      <c r="AA131" s="443" t="s">
        <v>1365</v>
      </c>
      <c r="AB131" s="453">
        <v>4656.7972602739728</v>
      </c>
      <c r="AC131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الشراء-الاستلام]]&lt;DATE(2017,1,1),O131-AB131,0))</f>
        <v>1163.2027397260272</v>
      </c>
      <c r="AD131" s="454">
        <f>IF(OR(Table51013454[[#This Row],[تاريخ الشراء-الاستلام]]="",Table51013454[[#This Row],[الإجمالي]]="",Table51013454[[#This Row],[العمر الافتراضي]]=""),"",IF(AND(AB131&lt;X131,AC131&gt;(X131*Y131),DATE(2016,12,31)&gt;J131),X131*Y131,IF(AND(AB131&lt;X131,DATE(2017,12,31)&gt;J131,AC131&gt;(X131*Y131)),(DATE(2017,12,31)-J131)/((100%/Y131)*365)*X131,IF(AND(AB131&lt;X131,DATE(2017,12,31)&gt;J131,AC131=0),(DATE(2017,12,31)-J131)/((100%/Y131)*365)*X131,IF(AND(AB131&lt;X131,DATE(2017,12,31)&gt;J131,AC131&lt;(X131*Y131)),AC131,0)))))</f>
        <v>873</v>
      </c>
      <c r="AE131" s="453">
        <f>IF(OR(Table51013454[[#This Row],[تاريخ الشراء-الاستلام]]="",Table51013454[[#This Row],[الإجمالي]]="",Table51013454[[#This Row],[العمر الافتراضي]]=""),"",AB131+AD131)</f>
        <v>5529.7972602739728</v>
      </c>
      <c r="AF131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الشراء-الاستلام]]&gt;DATE(2017,12,31),0,X131-AE131))</f>
        <v>290.20273972602718</v>
      </c>
    </row>
    <row r="132" spans="1:34" s="456" customFormat="1" ht="57.75" hidden="1" customHeight="1">
      <c r="A132" s="442">
        <f>IF(B132="","",SUBTOTAL(3,$B$6:B132))</f>
        <v>47</v>
      </c>
      <c r="B132" s="443" t="s">
        <v>1525</v>
      </c>
      <c r="C132" s="444" t="s">
        <v>118</v>
      </c>
      <c r="D132" s="443" t="s">
        <v>1362</v>
      </c>
      <c r="E132" s="443" t="s">
        <v>64</v>
      </c>
      <c r="F132" s="443"/>
      <c r="G132" s="445" t="s">
        <v>1369</v>
      </c>
      <c r="H132" s="445"/>
      <c r="I132" s="443"/>
      <c r="J132" s="468">
        <v>40040</v>
      </c>
      <c r="K132" s="446"/>
      <c r="L132" s="469">
        <v>4</v>
      </c>
      <c r="M132" s="443"/>
      <c r="N132" s="447">
        <v>20186.2</v>
      </c>
      <c r="O132" s="448">
        <f t="shared" si="3"/>
        <v>80744.800000000003</v>
      </c>
      <c r="P132" s="449"/>
      <c r="Q132" s="447"/>
      <c r="R132" s="447"/>
      <c r="S132" s="447"/>
      <c r="T132" s="447"/>
      <c r="U132" s="450">
        <f>Table51013454[[#This Row],[العدد]]*Table51013454[[#This Row],[السعر الافرادي]]</f>
        <v>0</v>
      </c>
      <c r="V132" s="451">
        <f>Table51013454[[#This Row],[الكمية]]-Table51013454[[#This Row],[العدد]]</f>
        <v>4</v>
      </c>
      <c r="W132" s="447">
        <f>Table51013454[[#This Row],[سعر/الحبة]]</f>
        <v>20186.2</v>
      </c>
      <c r="X132" s="447">
        <f>Table51013454[[#This Row],[الإجمالي]]-Table51013454[[#This Row],[إجمالي المستبعد]]</f>
        <v>80744.800000000003</v>
      </c>
      <c r="Y132" s="452">
        <v>0.15</v>
      </c>
      <c r="Z132" s="445"/>
      <c r="AA132" s="443" t="s">
        <v>1365</v>
      </c>
      <c r="AB132" s="453">
        <v>80744.800000000003</v>
      </c>
      <c r="AC132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الشراء-الاستلام]]&lt;DATE(2017,1,1),O132-AB132,0))</f>
        <v>0</v>
      </c>
      <c r="AD132" s="454">
        <f>IF(OR(Table51013454[[#This Row],[تاريخ الشراء-الاستلام]]="",Table51013454[[#This Row],[الإجمالي]]="",Table51013454[[#This Row],[العمر الافتراضي]]=""),"",IF(AND(AB132&lt;X132,AC132&gt;(X132*Y132),DATE(2016,12,31)&gt;J132),X132*Y132,IF(AND(AB132&lt;X132,DATE(2017,12,31)&gt;J132,AC132&gt;(X132*Y132)),(DATE(2017,12,31)-J132)/((100%/Y132)*365)*X132,IF(AND(AB132&lt;X132,DATE(2017,12,31)&gt;J132,AC132=0),(DATE(2017,12,31)-J132)/((100%/Y132)*365)*X132,IF(AND(AB132&lt;X132,DATE(2017,12,31)&gt;J132,AC132&lt;(X132*Y132)),AC132,0)))))</f>
        <v>0</v>
      </c>
      <c r="AE132" s="453">
        <f>IF(OR(Table51013454[[#This Row],[تاريخ الشراء-الاستلام]]="",Table51013454[[#This Row],[الإجمالي]]="",Table51013454[[#This Row],[العمر الافتراضي]]=""),"",AB132+AD132)</f>
        <v>80744.800000000003</v>
      </c>
      <c r="AF132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الشراء-الاستلام]]&gt;DATE(2017,12,31),0,X132-AE132))</f>
        <v>0</v>
      </c>
    </row>
    <row r="133" spans="1:34" s="456" customFormat="1" ht="57.75" hidden="1" customHeight="1">
      <c r="A133" s="442">
        <f>IF(B133="","",SUBTOTAL(3,$B$6:B133))</f>
        <v>47</v>
      </c>
      <c r="B133" s="443" t="s">
        <v>1526</v>
      </c>
      <c r="C133" s="444" t="s">
        <v>118</v>
      </c>
      <c r="D133" s="443" t="s">
        <v>1362</v>
      </c>
      <c r="E133" s="443" t="s">
        <v>64</v>
      </c>
      <c r="F133" s="443"/>
      <c r="G133" s="445" t="s">
        <v>1369</v>
      </c>
      <c r="H133" s="445"/>
      <c r="I133" s="443"/>
      <c r="J133" s="468">
        <v>40787</v>
      </c>
      <c r="K133" s="446"/>
      <c r="L133" s="469">
        <v>1</v>
      </c>
      <c r="M133" s="443"/>
      <c r="N133" s="447">
        <v>4000</v>
      </c>
      <c r="O133" s="448">
        <f t="shared" si="3"/>
        <v>4000</v>
      </c>
      <c r="P133" s="449"/>
      <c r="Q133" s="447"/>
      <c r="R133" s="447"/>
      <c r="S133" s="447"/>
      <c r="T133" s="447"/>
      <c r="U133" s="450">
        <f>Table51013454[[#This Row],[العدد]]*Table51013454[[#This Row],[السعر الافرادي]]</f>
        <v>0</v>
      </c>
      <c r="V133" s="451">
        <f>Table51013454[[#This Row],[الكمية]]-Table51013454[[#This Row],[العدد]]</f>
        <v>1</v>
      </c>
      <c r="W133" s="447">
        <f>Table51013454[[#This Row],[سعر/الحبة]]</f>
        <v>4000</v>
      </c>
      <c r="X133" s="447">
        <f>Table51013454[[#This Row],[الإجمالي]]-Table51013454[[#This Row],[إجمالي المستبعد]]</f>
        <v>4000</v>
      </c>
      <c r="Y133" s="452">
        <v>0.15</v>
      </c>
      <c r="Z133" s="445"/>
      <c r="AA133" s="443" t="s">
        <v>1365</v>
      </c>
      <c r="AB133" s="453">
        <v>3200.5479452054792</v>
      </c>
      <c r="AC133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الشراء-الاستلام]]&lt;DATE(2017,1,1),O133-AB133,0))</f>
        <v>799.45205479452079</v>
      </c>
      <c r="AD133" s="454">
        <f>IF(OR(Table51013454[[#This Row],[تاريخ الشراء-الاستلام]]="",Table51013454[[#This Row],[الإجمالي]]="",Table51013454[[#This Row],[العمر الافتراضي]]=""),"",IF(AND(AB133&lt;X133,AC133&gt;(X133*Y133),DATE(2016,12,31)&gt;J133),X133*Y133,IF(AND(AB133&lt;X133,DATE(2017,12,31)&gt;J133,AC133&gt;(X133*Y133)),(DATE(2017,12,31)-J133)/((100%/Y133)*365)*X133,IF(AND(AB133&lt;X133,DATE(2017,12,31)&gt;J133,AC133=0),(DATE(2017,12,31)-J133)/((100%/Y133)*365)*X133,IF(AND(AB133&lt;X133,DATE(2017,12,31)&gt;J133,AC133&lt;(X133*Y133)),AC133,0)))))</f>
        <v>600</v>
      </c>
      <c r="AE133" s="453">
        <f>IF(OR(Table51013454[[#This Row],[تاريخ الشراء-الاستلام]]="",Table51013454[[#This Row],[الإجمالي]]="",Table51013454[[#This Row],[العمر الافتراضي]]=""),"",AB133+AD133)</f>
        <v>3800.5479452054792</v>
      </c>
      <c r="AF133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الشراء-الاستلام]]&gt;DATE(2017,12,31),0,X133-AE133))</f>
        <v>199.45205479452079</v>
      </c>
    </row>
    <row r="134" spans="1:34" s="456" customFormat="1" ht="57.75" hidden="1" customHeight="1">
      <c r="A134" s="442">
        <f>IF(B134="","",SUBTOTAL(3,$B$6:B134))</f>
        <v>47</v>
      </c>
      <c r="B134" s="443" t="s">
        <v>1527</v>
      </c>
      <c r="C134" s="444" t="s">
        <v>118</v>
      </c>
      <c r="D134" s="443" t="s">
        <v>1362</v>
      </c>
      <c r="E134" s="443" t="s">
        <v>64</v>
      </c>
      <c r="F134" s="443"/>
      <c r="G134" s="445" t="s">
        <v>1369</v>
      </c>
      <c r="H134" s="445"/>
      <c r="I134" s="443"/>
      <c r="J134" s="468">
        <v>41030</v>
      </c>
      <c r="K134" s="446"/>
      <c r="L134" s="469">
        <v>1</v>
      </c>
      <c r="M134" s="443"/>
      <c r="N134" s="447">
        <v>16872</v>
      </c>
      <c r="O134" s="448">
        <f t="shared" si="3"/>
        <v>16872</v>
      </c>
      <c r="P134" s="449"/>
      <c r="Q134" s="447"/>
      <c r="R134" s="447"/>
      <c r="S134" s="447"/>
      <c r="T134" s="447"/>
      <c r="U134" s="450">
        <f>Table51013454[[#This Row],[العدد]]*Table51013454[[#This Row],[السعر الافرادي]]</f>
        <v>0</v>
      </c>
      <c r="V134" s="451">
        <f>Table51013454[[#This Row],[الكمية]]-Table51013454[[#This Row],[العدد]]</f>
        <v>1</v>
      </c>
      <c r="W134" s="447">
        <f>Table51013454[[#This Row],[سعر/الحبة]]</f>
        <v>16872</v>
      </c>
      <c r="X134" s="447">
        <f>Table51013454[[#This Row],[الإجمالي]]-Table51013454[[#This Row],[إجمالي المستبعد]]</f>
        <v>16872</v>
      </c>
      <c r="Y134" s="452">
        <v>0.15</v>
      </c>
      <c r="Z134" s="445"/>
      <c r="AA134" s="443" t="s">
        <v>1365</v>
      </c>
      <c r="AB134" s="453">
        <v>11815.022465753424</v>
      </c>
      <c r="AC134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الشراء-الاستلام]]&lt;DATE(2017,1,1),O134-AB134,0))</f>
        <v>5056.9775342465764</v>
      </c>
      <c r="AD134" s="454">
        <f>IF(OR(Table51013454[[#This Row],[تاريخ الشراء-الاستلام]]="",Table51013454[[#This Row],[الإجمالي]]="",Table51013454[[#This Row],[العمر الافتراضي]]=""),"",IF(AND(AB134&lt;X134,AC134&gt;(X134*Y134),DATE(2016,12,31)&gt;J134),X134*Y134,IF(AND(AB134&lt;X134,DATE(2017,12,31)&gt;J134,AC134&gt;(X134*Y134)),(DATE(2017,12,31)-J134)/((100%/Y134)*365)*X134,IF(AND(AB134&lt;X134,DATE(2017,12,31)&gt;J134,AC134=0),(DATE(2017,12,31)-J134)/((100%/Y134)*365)*X134,IF(AND(AB134&lt;X134,DATE(2017,12,31)&gt;J134,AC134&lt;(X134*Y134)),AC134,0)))))</f>
        <v>2530.7999999999997</v>
      </c>
      <c r="AE134" s="453">
        <f>IF(OR(Table51013454[[#This Row],[تاريخ الشراء-الاستلام]]="",Table51013454[[#This Row],[الإجمالي]]="",Table51013454[[#This Row],[العمر الافتراضي]]=""),"",AB134+AD134)</f>
        <v>14345.822465753423</v>
      </c>
      <c r="AF134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الشراء-الاستلام]]&gt;DATE(2017,12,31),0,X134-AE134))</f>
        <v>2526.1775342465771</v>
      </c>
      <c r="AH134" s="477"/>
    </row>
    <row r="135" spans="1:34" s="456" customFormat="1" ht="57.75" hidden="1" customHeight="1">
      <c r="A135" s="442">
        <f>IF(B135="","",SUBTOTAL(3,$B$6:B135))</f>
        <v>47</v>
      </c>
      <c r="B135" s="443" t="s">
        <v>1528</v>
      </c>
      <c r="C135" s="444" t="s">
        <v>118</v>
      </c>
      <c r="D135" s="443" t="s">
        <v>1362</v>
      </c>
      <c r="E135" s="443" t="s">
        <v>64</v>
      </c>
      <c r="F135" s="443"/>
      <c r="G135" s="445" t="s">
        <v>1369</v>
      </c>
      <c r="H135" s="445"/>
      <c r="I135" s="443"/>
      <c r="J135" s="468">
        <v>41122</v>
      </c>
      <c r="K135" s="446"/>
      <c r="L135" s="469">
        <v>1</v>
      </c>
      <c r="M135" s="443"/>
      <c r="N135" s="447">
        <v>1480</v>
      </c>
      <c r="O135" s="448">
        <f t="shared" si="3"/>
        <v>1480</v>
      </c>
      <c r="P135" s="449"/>
      <c r="Q135" s="447"/>
      <c r="R135" s="447"/>
      <c r="S135" s="447"/>
      <c r="T135" s="447"/>
      <c r="U135" s="450">
        <f>Table51013454[[#This Row],[العدد]]*Table51013454[[#This Row],[السعر الافرادي]]</f>
        <v>0</v>
      </c>
      <c r="V135" s="451">
        <f>Table51013454[[#This Row],[الكمية]]-Table51013454[[#This Row],[العدد]]</f>
        <v>1</v>
      </c>
      <c r="W135" s="447">
        <f>Table51013454[[#This Row],[سعر/الحبة]]</f>
        <v>1480</v>
      </c>
      <c r="X135" s="447">
        <f>Table51013454[[#This Row],[الإجمالي]]-Table51013454[[#This Row],[إجمالي المستبعد]]</f>
        <v>1480</v>
      </c>
      <c r="Y135" s="452">
        <v>0.15</v>
      </c>
      <c r="Z135" s="445"/>
      <c r="AA135" s="443" t="s">
        <v>1365</v>
      </c>
      <c r="AB135" s="453">
        <v>980.44931506849309</v>
      </c>
      <c r="AC135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الشراء-الاستلام]]&lt;DATE(2017,1,1),O135-AB135,0))</f>
        <v>499.55068493150691</v>
      </c>
      <c r="AD135" s="454">
        <f>IF(OR(Table51013454[[#This Row],[تاريخ الشراء-الاستلام]]="",Table51013454[[#This Row],[الإجمالي]]="",Table51013454[[#This Row],[العمر الافتراضي]]=""),"",IF(AND(AB135&lt;X135,AC135&gt;(X135*Y135),DATE(2016,12,31)&gt;J135),X135*Y135,IF(AND(AB135&lt;X135,DATE(2017,12,31)&gt;J135,AC135&gt;(X135*Y135)),(DATE(2017,12,31)-J135)/((100%/Y135)*365)*X135,IF(AND(AB135&lt;X135,DATE(2017,12,31)&gt;J135,AC135=0),(DATE(2017,12,31)-J135)/((100%/Y135)*365)*X135,IF(AND(AB135&lt;X135,DATE(2017,12,31)&gt;J135,AC135&lt;(X135*Y135)),AC135,0)))))</f>
        <v>222</v>
      </c>
      <c r="AE135" s="453">
        <f>IF(OR(Table51013454[[#This Row],[تاريخ الشراء-الاستلام]]="",Table51013454[[#This Row],[الإجمالي]]="",Table51013454[[#This Row],[العمر الافتراضي]]=""),"",AB135+AD135)</f>
        <v>1202.449315068493</v>
      </c>
      <c r="AF135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الشراء-الاستلام]]&gt;DATE(2017,12,31),0,X135-AE135))</f>
        <v>277.55068493150702</v>
      </c>
    </row>
    <row r="136" spans="1:34" s="456" customFormat="1" ht="57.75" hidden="1" customHeight="1">
      <c r="A136" s="478">
        <f>IF(B136="","",SUBTOTAL(3,$B$6:B136))</f>
        <v>47</v>
      </c>
      <c r="B136" s="466" t="s">
        <v>1529</v>
      </c>
      <c r="C136" s="444" t="s">
        <v>118</v>
      </c>
      <c r="D136" s="443" t="s">
        <v>1362</v>
      </c>
      <c r="E136" s="443" t="s">
        <v>64</v>
      </c>
      <c r="F136" s="443"/>
      <c r="G136" s="445" t="s">
        <v>1369</v>
      </c>
      <c r="H136" s="467"/>
      <c r="I136" s="466"/>
      <c r="J136" s="468">
        <v>42012</v>
      </c>
      <c r="K136" s="468"/>
      <c r="L136" s="469">
        <v>2</v>
      </c>
      <c r="M136" s="466"/>
      <c r="N136" s="470">
        <v>3250</v>
      </c>
      <c r="O136" s="471">
        <f t="shared" si="3"/>
        <v>6500</v>
      </c>
      <c r="P136" s="472"/>
      <c r="Q136" s="470"/>
      <c r="R136" s="470"/>
      <c r="S136" s="470"/>
      <c r="T136" s="470"/>
      <c r="U136" s="473">
        <f>Table51013454[[#This Row],[العدد]]*Table51013454[[#This Row],[السعر الافرادي]]</f>
        <v>0</v>
      </c>
      <c r="V136" s="474">
        <f>Table51013454[[#This Row],[الكمية]]-Table51013454[[#This Row],[العدد]]</f>
        <v>2</v>
      </c>
      <c r="W136" s="470">
        <f>Table51013454[[#This Row],[سعر/الحبة]]</f>
        <v>3250</v>
      </c>
      <c r="X136" s="470">
        <f>Table51013454[[#This Row],[الإجمالي]]-Table51013454[[#This Row],[إجمالي المستبعد]]</f>
        <v>6500</v>
      </c>
      <c r="Y136" s="452">
        <v>0.15</v>
      </c>
      <c r="Z136" s="467"/>
      <c r="AA136" s="443" t="s">
        <v>1365</v>
      </c>
      <c r="AB136" s="453">
        <v>1928.6301369863013</v>
      </c>
      <c r="AC136" s="47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الشراء-الاستلام]]&lt;DATE(2017,1,1),O136-AB136,0))</f>
        <v>4571.3698630136987</v>
      </c>
      <c r="AD136" s="479">
        <f>IF(OR(Table51013454[[#This Row],[تاريخ الشراء-الاستلام]]="",Table51013454[[#This Row],[الإجمالي]]="",Table51013454[[#This Row],[العمر الافتراضي]]=""),"",IF(AND(AB136&lt;X136,AC136&gt;(X136*Y136),DATE(2016,12,31)&gt;J136),X136*Y136,IF(AND(AB136&lt;X136,DATE(2017,12,31)&gt;J136,AC136&gt;(X136*Y136)),(DATE(2017,12,31)-J136)/((100%/Y136)*365)*X136,IF(AND(AB136&lt;X136,DATE(2017,12,31)&gt;J136,AC136=0),(DATE(2017,12,31)-J136)/((100%/Y136)*365)*X136,IF(AND(AB136&lt;X136,DATE(2017,12,31)&gt;J136,AC136&lt;(X136*Y136)),AC136,0)))))</f>
        <v>975</v>
      </c>
      <c r="AE136" s="475">
        <f>IF(OR(Table51013454[[#This Row],[تاريخ الشراء-الاستلام]]="",Table51013454[[#This Row],[الإجمالي]]="",Table51013454[[#This Row],[العمر الافتراضي]]=""),"",AB136+AD136)</f>
        <v>2903.6301369863013</v>
      </c>
      <c r="AF136" s="47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الشراء-الاستلام]]&gt;DATE(2017,12,31),0,X136-AE136))</f>
        <v>3596.3698630136987</v>
      </c>
    </row>
    <row r="137" spans="1:34" s="456" customFormat="1" ht="57.75" hidden="1" customHeight="1">
      <c r="A137" s="478">
        <f>IF(B137="","",SUBTOTAL(3,$B$6:B137))</f>
        <v>47</v>
      </c>
      <c r="B137" s="466" t="s">
        <v>1373</v>
      </c>
      <c r="C137" s="480" t="s">
        <v>118</v>
      </c>
      <c r="D137" s="443" t="s">
        <v>1374</v>
      </c>
      <c r="E137" s="466" t="s">
        <v>64</v>
      </c>
      <c r="F137" s="466" t="s">
        <v>1421</v>
      </c>
      <c r="G137" s="467"/>
      <c r="H137" s="467"/>
      <c r="I137" s="466" t="s">
        <v>1530</v>
      </c>
      <c r="J137" s="468">
        <v>42676</v>
      </c>
      <c r="K137" s="468"/>
      <c r="L137" s="469">
        <v>2</v>
      </c>
      <c r="M137" s="466"/>
      <c r="N137" s="470">
        <v>800</v>
      </c>
      <c r="O137" s="471">
        <f t="shared" si="3"/>
        <v>1600</v>
      </c>
      <c r="P137" s="472"/>
      <c r="Q137" s="470"/>
      <c r="R137" s="470"/>
      <c r="S137" s="470"/>
      <c r="T137" s="470"/>
      <c r="U137" s="473">
        <f>Table51013454[[#This Row],[العدد]]*Table51013454[[#This Row],[السعر الافرادي]]</f>
        <v>0</v>
      </c>
      <c r="V137" s="474">
        <f>Table51013454[[#This Row],[الكمية]]-Table51013454[[#This Row],[العدد]]</f>
        <v>2</v>
      </c>
      <c r="W137" s="470">
        <f>Table51013454[[#This Row],[سعر/الحبة]]</f>
        <v>800</v>
      </c>
      <c r="X137" s="470">
        <f>Table51013454[[#This Row],[الإجمالي]]-Table51013454[[#This Row],[إجمالي المستبعد]]</f>
        <v>1600</v>
      </c>
      <c r="Y137" s="481">
        <v>0.2</v>
      </c>
      <c r="Z137" s="467"/>
      <c r="AA137" s="466" t="s">
        <v>1365</v>
      </c>
      <c r="AB137" s="453">
        <v>51.726027397260275</v>
      </c>
      <c r="AC137" s="47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الشراء-الاستلام]]&lt;DATE(2017,1,1),O137-AB137,0))</f>
        <v>1548.2739726027398</v>
      </c>
      <c r="AD137" s="479">
        <f>IF(OR(Table51013454[[#This Row],[تاريخ الشراء-الاستلام]]="",Table51013454[[#This Row],[الإجمالي]]="",Table51013454[[#This Row],[العمر الافتراضي]]=""),"",IF(AND(AB137&lt;X137,AC137&gt;(X137*Y137),DATE(2016,12,31)&gt;J137),X137*Y137,IF(AND(AB137&lt;X137,DATE(2017,12,31)&gt;J137,AC137&gt;(X137*Y137)),(DATE(2017,12,31)-J137)/((100%/Y137)*365)*X137,IF(AND(AB137&lt;X137,DATE(2017,12,31)&gt;J137,AC137=0),(DATE(2017,12,31)-J137)/((100%/Y137)*365)*X137,IF(AND(AB137&lt;X137,DATE(2017,12,31)&gt;J137,AC137&lt;(X137*Y137)),AC137,0)))))</f>
        <v>320</v>
      </c>
      <c r="AE137" s="475">
        <f>IF(OR(Table51013454[[#This Row],[تاريخ الشراء-الاستلام]]="",Table51013454[[#This Row],[الإجمالي]]="",Table51013454[[#This Row],[العمر الافتراضي]]=""),"",AB137+AD137)</f>
        <v>371.72602739726028</v>
      </c>
      <c r="AF137" s="47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الشراء-الاستلام]]&gt;DATE(2017,12,31),0,X137-AE137))</f>
        <v>1228.2739726027398</v>
      </c>
    </row>
    <row r="138" spans="1:34" s="456" customFormat="1" ht="57.75" hidden="1" customHeight="1">
      <c r="A138" s="478">
        <f>IF(B138="","",SUBTOTAL(3,$B$6:B138))</f>
        <v>47</v>
      </c>
      <c r="B138" s="466" t="s">
        <v>1531</v>
      </c>
      <c r="C138" s="480" t="s">
        <v>118</v>
      </c>
      <c r="D138" s="443" t="s">
        <v>1374</v>
      </c>
      <c r="E138" s="466" t="s">
        <v>64</v>
      </c>
      <c r="F138" s="466"/>
      <c r="G138" s="467"/>
      <c r="H138" s="467"/>
      <c r="I138" s="466"/>
      <c r="J138" s="468">
        <v>42676</v>
      </c>
      <c r="K138" s="468"/>
      <c r="L138" s="469">
        <v>3</v>
      </c>
      <c r="M138" s="466"/>
      <c r="N138" s="470">
        <v>300</v>
      </c>
      <c r="O138" s="471">
        <f t="shared" si="3"/>
        <v>900</v>
      </c>
      <c r="P138" s="472"/>
      <c r="Q138" s="470"/>
      <c r="R138" s="470"/>
      <c r="S138" s="470"/>
      <c r="T138" s="470"/>
      <c r="U138" s="473">
        <f>Table51013454[[#This Row],[العدد]]*Table51013454[[#This Row],[السعر الافرادي]]</f>
        <v>0</v>
      </c>
      <c r="V138" s="474">
        <f>Table51013454[[#This Row],[الكمية]]-Table51013454[[#This Row],[العدد]]</f>
        <v>3</v>
      </c>
      <c r="W138" s="470">
        <f>Table51013454[[#This Row],[سعر/الحبة]]</f>
        <v>300</v>
      </c>
      <c r="X138" s="470">
        <f>Table51013454[[#This Row],[الإجمالي]]-Table51013454[[#This Row],[إجمالي المستبعد]]</f>
        <v>900</v>
      </c>
      <c r="Y138" s="452">
        <v>0.15</v>
      </c>
      <c r="Z138" s="467"/>
      <c r="AA138" s="466" t="s">
        <v>1365</v>
      </c>
      <c r="AB138" s="453">
        <v>21.821917808219176</v>
      </c>
      <c r="AC138" s="47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الشراء-الاستلام]]&lt;DATE(2017,1,1),O138-AB138,0))</f>
        <v>878.17808219178085</v>
      </c>
      <c r="AD138" s="479">
        <f>IF(OR(Table51013454[[#This Row],[تاريخ الشراء-الاستلام]]="",Table51013454[[#This Row],[الإجمالي]]="",Table51013454[[#This Row],[العمر الافتراضي]]=""),"",IF(AND(AB138&lt;X138,AC138&gt;(X138*Y138),DATE(2016,12,31)&gt;J138),X138*Y138,IF(AND(AB138&lt;X138,DATE(2017,12,31)&gt;J138,AC138&gt;(X138*Y138)),(DATE(2017,12,31)-J138)/((100%/Y138)*365)*X138,IF(AND(AB138&lt;X138,DATE(2017,12,31)&gt;J138,AC138=0),(DATE(2017,12,31)-J138)/((100%/Y138)*365)*X138,IF(AND(AB138&lt;X138,DATE(2017,12,31)&gt;J138,AC138&lt;(X138*Y138)),AC138,0)))))</f>
        <v>135</v>
      </c>
      <c r="AE138" s="475">
        <f>IF(OR(Table51013454[[#This Row],[تاريخ الشراء-الاستلام]]="",Table51013454[[#This Row],[الإجمالي]]="",Table51013454[[#This Row],[العمر الافتراضي]]=""),"",AB138+AD138)</f>
        <v>156.82191780821918</v>
      </c>
      <c r="AF138" s="47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الشراء-الاستلام]]&gt;DATE(2017,12,31),0,X138-AE138))</f>
        <v>743.17808219178085</v>
      </c>
    </row>
    <row r="139" spans="1:34" s="456" customFormat="1" ht="57.75" hidden="1" customHeight="1">
      <c r="A139" s="478">
        <f>IF(B139="","",SUBTOTAL(3,$B$6:B139))</f>
        <v>47</v>
      </c>
      <c r="B139" s="466" t="s">
        <v>1532</v>
      </c>
      <c r="C139" s="480" t="s">
        <v>118</v>
      </c>
      <c r="D139" s="466" t="s">
        <v>1387</v>
      </c>
      <c r="E139" s="466" t="s">
        <v>64</v>
      </c>
      <c r="F139" s="466" t="s">
        <v>1421</v>
      </c>
      <c r="G139" s="467" t="s">
        <v>1369</v>
      </c>
      <c r="H139" s="467" t="s">
        <v>1422</v>
      </c>
      <c r="I139" s="469" t="s">
        <v>1423</v>
      </c>
      <c r="J139" s="468">
        <v>42522</v>
      </c>
      <c r="K139" s="468"/>
      <c r="L139" s="469">
        <v>1</v>
      </c>
      <c r="M139" s="466"/>
      <c r="N139" s="470">
        <v>53430</v>
      </c>
      <c r="O139" s="471">
        <f t="shared" si="3"/>
        <v>53430</v>
      </c>
      <c r="P139" s="472"/>
      <c r="Q139" s="470"/>
      <c r="R139" s="470"/>
      <c r="S139" s="470"/>
      <c r="T139" s="470"/>
      <c r="U139" s="473">
        <f>Table51013454[[#This Row],[العدد]]*Table51013454[[#This Row],[السعر الافرادي]]</f>
        <v>0</v>
      </c>
      <c r="V139" s="474">
        <f>Table51013454[[#This Row],[الكمية]]-Table51013454[[#This Row],[العدد]]</f>
        <v>1</v>
      </c>
      <c r="W139" s="470">
        <f>Table51013454[[#This Row],[سعر/الحبة]]</f>
        <v>53430</v>
      </c>
      <c r="X139" s="470">
        <f>Table51013454[[#This Row],[الإجمالي]]-Table51013454[[#This Row],[إجمالي المستبعد]]</f>
        <v>53430</v>
      </c>
      <c r="Y139" s="457">
        <v>0.25</v>
      </c>
      <c r="Z139" s="467"/>
      <c r="AA139" s="466" t="s">
        <v>1365</v>
      </c>
      <c r="AB139" s="453">
        <v>7794.9246575342468</v>
      </c>
      <c r="AC139" s="47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الشراء-الاستلام]]&lt;DATE(2017,1,1),O139-AB139,0))</f>
        <v>45635.075342465752</v>
      </c>
      <c r="AD139" s="479">
        <f>IF(OR(Table51013454[[#This Row],[تاريخ الشراء-الاستلام]]="",Table51013454[[#This Row],[الإجمالي]]="",Table51013454[[#This Row],[العمر الافتراضي]]=""),"",IF(AND(AB139&lt;X139,AC139&gt;(X139*Y139),DATE(2016,12,31)&gt;J139),X139*Y139,IF(AND(AB139&lt;X139,DATE(2017,12,31)&gt;J139,AC139&gt;(X139*Y139)),(DATE(2017,12,31)-J139)/((100%/Y139)*365)*X139,IF(AND(AB139&lt;X139,DATE(2017,12,31)&gt;J139,AC139=0),(DATE(2017,12,31)-J139)/((100%/Y139)*365)*X139,IF(AND(AB139&lt;X139,DATE(2017,12,31)&gt;J139,AC139&lt;(X139*Y139)),AC139,0)))))</f>
        <v>13357.5</v>
      </c>
      <c r="AE139" s="475">
        <f>IF(OR(Table51013454[[#This Row],[تاريخ الشراء-الاستلام]]="",Table51013454[[#This Row],[الإجمالي]]="",Table51013454[[#This Row],[العمر الافتراضي]]=""),"",AB139+AD139)</f>
        <v>21152.424657534248</v>
      </c>
      <c r="AF139" s="47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الشراء-الاستلام]]&gt;DATE(2017,12,31),0,X139-AE139))</f>
        <v>32277.575342465752</v>
      </c>
    </row>
    <row r="140" spans="1:34" s="456" customFormat="1" ht="57.75" hidden="1" customHeight="1">
      <c r="A140" s="478">
        <f>IF(B140="","",SUBTOTAL(3,$B$6:B140))</f>
        <v>47</v>
      </c>
      <c r="B140" s="466" t="s">
        <v>1418</v>
      </c>
      <c r="C140" s="480" t="s">
        <v>118</v>
      </c>
      <c r="D140" s="443" t="s">
        <v>1374</v>
      </c>
      <c r="E140" s="466" t="s">
        <v>64</v>
      </c>
      <c r="F140" s="466" t="s">
        <v>1421</v>
      </c>
      <c r="G140" s="467" t="s">
        <v>1369</v>
      </c>
      <c r="H140" s="467"/>
      <c r="I140" s="466" t="s">
        <v>1533</v>
      </c>
      <c r="J140" s="468">
        <v>42618.2</v>
      </c>
      <c r="K140" s="468" t="s">
        <v>1534</v>
      </c>
      <c r="L140" s="469">
        <v>4</v>
      </c>
      <c r="M140" s="466"/>
      <c r="N140" s="470">
        <v>66000</v>
      </c>
      <c r="O140" s="471">
        <f t="shared" si="3"/>
        <v>264000</v>
      </c>
      <c r="P140" s="472"/>
      <c r="Q140" s="470"/>
      <c r="R140" s="470"/>
      <c r="S140" s="470"/>
      <c r="T140" s="470"/>
      <c r="U140" s="473">
        <f>Table51013454[[#This Row],[العدد]]*Table51013454[[#This Row],[السعر الافرادي]]</f>
        <v>0</v>
      </c>
      <c r="V140" s="474">
        <f>Table51013454[[#This Row],[الكمية]]-Table51013454[[#This Row],[العدد]]</f>
        <v>4</v>
      </c>
      <c r="W140" s="470">
        <f>Table51013454[[#This Row],[سعر/الحبة]]</f>
        <v>66000</v>
      </c>
      <c r="X140" s="470">
        <f>Table51013454[[#This Row],[الإجمالي]]-Table51013454[[#This Row],[إجمالي المستبعد]]</f>
        <v>264000</v>
      </c>
      <c r="Y140" s="481">
        <v>0.15</v>
      </c>
      <c r="Z140" s="467"/>
      <c r="AA140" s="466" t="s">
        <v>1365</v>
      </c>
      <c r="AB140" s="453">
        <v>12672.000000000315</v>
      </c>
      <c r="AC140" s="47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الشراء-الاستلام]]&lt;DATE(2017,1,1),O140-AB140,0))</f>
        <v>251327.99999999968</v>
      </c>
      <c r="AD140" s="479">
        <f>IF(OR(Table51013454[[#This Row],[تاريخ الشراء-الاستلام]]="",Table51013454[[#This Row],[الإجمالي]]="",Table51013454[[#This Row],[العمر الافتراضي]]=""),"",IF(AND(AB140&lt;X140,AC140&gt;(X140*Y140),DATE(2016,12,31)&gt;J140),X140*Y140,IF(AND(AB140&lt;X140,DATE(2017,12,31)&gt;J140,AC140&gt;(X140*Y140)),(DATE(2017,12,31)-J140)/((100%/Y140)*365)*X140,IF(AND(AB140&lt;X140,DATE(2017,12,31)&gt;J140,AC140=0),(DATE(2017,12,31)-J140)/((100%/Y140)*365)*X140,IF(AND(AB140&lt;X140,DATE(2017,12,31)&gt;J140,AC140&lt;(X140*Y140)),AC140,0)))))</f>
        <v>39600</v>
      </c>
      <c r="AE140" s="475">
        <f>IF(OR(Table51013454[[#This Row],[تاريخ الشراء-الاستلام]]="",Table51013454[[#This Row],[الإجمالي]]="",Table51013454[[#This Row],[العمر الافتراضي]]=""),"",AB140+AD140)</f>
        <v>52272.000000000313</v>
      </c>
      <c r="AF140" s="47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الشراء-الاستلام]]&gt;DATE(2017,12,31),0,X140-AE140))</f>
        <v>211727.99999999968</v>
      </c>
    </row>
    <row r="141" spans="1:34" s="456" customFormat="1" ht="57.75" hidden="1" customHeight="1">
      <c r="A141" s="478">
        <f>IF(B141="","",SUBTOTAL(3,$B$6:B141))</f>
        <v>47</v>
      </c>
      <c r="B141" s="466" t="s">
        <v>1503</v>
      </c>
      <c r="C141" s="480" t="s">
        <v>118</v>
      </c>
      <c r="D141" s="466" t="s">
        <v>1387</v>
      </c>
      <c r="E141" s="466" t="s">
        <v>64</v>
      </c>
      <c r="F141" s="466" t="s">
        <v>1421</v>
      </c>
      <c r="G141" s="467" t="s">
        <v>1369</v>
      </c>
      <c r="H141" s="467"/>
      <c r="I141" s="482" t="s">
        <v>1535</v>
      </c>
      <c r="J141" s="468">
        <v>39813</v>
      </c>
      <c r="K141" s="468" t="s">
        <v>1413</v>
      </c>
      <c r="L141" s="469">
        <v>1</v>
      </c>
      <c r="M141" s="466"/>
      <c r="N141" s="470">
        <v>222529</v>
      </c>
      <c r="O141" s="471">
        <f t="shared" si="3"/>
        <v>222529</v>
      </c>
      <c r="P141" s="472"/>
      <c r="Q141" s="470"/>
      <c r="R141" s="470"/>
      <c r="S141" s="470"/>
      <c r="T141" s="470"/>
      <c r="U141" s="473">
        <f>Table51013454[[#This Row],[العدد]]*Table51013454[[#This Row],[السعر الافرادي]]</f>
        <v>0</v>
      </c>
      <c r="V141" s="474">
        <f>Table51013454[[#This Row],[الكمية]]-Table51013454[[#This Row],[العدد]]</f>
        <v>1</v>
      </c>
      <c r="W141" s="470">
        <f>Table51013454[[#This Row],[سعر/الحبة]]</f>
        <v>222529</v>
      </c>
      <c r="X141" s="470">
        <f>Table51013454[[#This Row],[الإجمالي]]-Table51013454[[#This Row],[إجمالي المستبعد]]</f>
        <v>222529</v>
      </c>
      <c r="Y141" s="457">
        <v>0.25</v>
      </c>
      <c r="Z141" s="467"/>
      <c r="AA141" s="466" t="s">
        <v>1365</v>
      </c>
      <c r="AB141" s="453">
        <v>222529</v>
      </c>
      <c r="AC141" s="47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الشراء-الاستلام]]&lt;DATE(2017,1,1),O141-AB141,0))</f>
        <v>0</v>
      </c>
      <c r="AD141" s="479">
        <f>IF(OR(Table51013454[[#This Row],[تاريخ الشراء-الاستلام]]="",Table51013454[[#This Row],[الإجمالي]]="",Table51013454[[#This Row],[العمر الافتراضي]]=""),"",IF(AND(AB141&lt;X141,AC141&gt;(X141*Y141),DATE(2016,12,31)&gt;J141),X141*Y141,IF(AND(AB141&lt;X141,DATE(2017,12,31)&gt;J141,AC141&gt;(X141*Y141)),(DATE(2017,12,31)-J141)/((100%/Y141)*365)*X141,IF(AND(AB141&lt;X141,DATE(2017,12,31)&gt;J141,AC141=0),(DATE(2017,12,31)-J141)/((100%/Y141)*365)*X141,IF(AND(AB141&lt;X141,DATE(2017,12,31)&gt;J141,AC141&lt;(X141*Y141)),AC141,0)))))</f>
        <v>0</v>
      </c>
      <c r="AE141" s="475">
        <f>IF(OR(Table51013454[[#This Row],[تاريخ الشراء-الاستلام]]="",Table51013454[[#This Row],[الإجمالي]]="",Table51013454[[#This Row],[العمر الافتراضي]]=""),"",AB141+AD141)</f>
        <v>222529</v>
      </c>
      <c r="AF141" s="47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الشراء-الاستلام]]&gt;DATE(2017,12,31),0,X141-AE141))</f>
        <v>0</v>
      </c>
    </row>
    <row r="142" spans="1:34" s="456" customFormat="1" ht="57.75" hidden="1" customHeight="1">
      <c r="A142" s="442">
        <f>IF(B142="","",SUBTOTAL(3,$B$6:B142))</f>
        <v>47</v>
      </c>
      <c r="B142" s="443" t="s">
        <v>1416</v>
      </c>
      <c r="C142" s="444" t="s">
        <v>118</v>
      </c>
      <c r="D142" s="466" t="s">
        <v>1367</v>
      </c>
      <c r="E142" s="443" t="s">
        <v>64</v>
      </c>
      <c r="F142" s="466" t="s">
        <v>1388</v>
      </c>
      <c r="G142" s="445" t="s">
        <v>1369</v>
      </c>
      <c r="H142" s="445"/>
      <c r="I142" s="443"/>
      <c r="J142" s="468">
        <v>42370</v>
      </c>
      <c r="K142" s="468" t="s">
        <v>1437</v>
      </c>
      <c r="L142" s="442">
        <v>68</v>
      </c>
      <c r="M142" s="443"/>
      <c r="N142" s="447">
        <f>1200-0.74</f>
        <v>1199.26</v>
      </c>
      <c r="O142" s="448">
        <f>N142*L142</f>
        <v>81549.679999999993</v>
      </c>
      <c r="P142" s="449"/>
      <c r="Q142" s="447"/>
      <c r="R142" s="447"/>
      <c r="S142" s="447"/>
      <c r="T142" s="447"/>
      <c r="U142" s="450">
        <f>Table51013454[[#This Row],[العدد]]*Table51013454[[#This Row],[السعر الافرادي]]</f>
        <v>0</v>
      </c>
      <c r="V142" s="451">
        <f>Table51013454[[#This Row],[الكمية]]-Table51013454[[#This Row],[العدد]]</f>
        <v>68</v>
      </c>
      <c r="W142" s="447">
        <f>Table51013454[[#This Row],[سعر/الحبة]]</f>
        <v>1199.26</v>
      </c>
      <c r="X142" s="447">
        <f>Table51013454[[#This Row],[الإجمالي]]-Table51013454[[#This Row],[إجمالي المستبعد]]</f>
        <v>81549.679999999993</v>
      </c>
      <c r="Y142" s="452">
        <v>0.15</v>
      </c>
      <c r="Z142" s="445"/>
      <c r="AA142" s="466" t="s">
        <v>1365</v>
      </c>
      <c r="AB142" s="453">
        <v>12232.451999999999</v>
      </c>
      <c r="AC142" s="47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الشراء-الاستلام]]&lt;DATE(2017,1,1),O142-AB142,0))</f>
        <v>69317.227999999988</v>
      </c>
      <c r="AD142" s="479">
        <f>IF(OR(Table51013454[[#This Row],[تاريخ الشراء-الاستلام]]="",Table51013454[[#This Row],[الإجمالي]]="",Table51013454[[#This Row],[العمر الافتراضي]]=""),"",IF(AND(AB142&lt;X142,AC142&gt;(X142*Y142),DATE(2016,12,31)&gt;J142),X142*Y142,IF(AND(AB142&lt;X142,DATE(2017,12,31)&gt;J142,AC142&gt;(X142*Y142)),(DATE(2017,12,31)-J142)/((100%/Y142)*365)*X142,IF(AND(AB142&lt;X142,DATE(2017,12,31)&gt;J142,AC142=0),(DATE(2017,12,31)-J142)/((100%/Y142)*365)*X142,IF(AND(AB142&lt;X142,DATE(2017,12,31)&gt;J142,AC142&lt;(X142*Y142)),AC142,0)))))</f>
        <v>12232.451999999999</v>
      </c>
      <c r="AE142" s="453">
        <f>IF(OR(Table51013454[[#This Row],[تاريخ الشراء-الاستلام]]="",Table51013454[[#This Row],[الإجمالي]]="",Table51013454[[#This Row],[العمر الافتراضي]]=""),"",AB142+AD142)</f>
        <v>24464.903999999999</v>
      </c>
      <c r="AF142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الشراء-الاستلام]]&gt;DATE(2017,12,31),0,X142-AE142))</f>
        <v>57084.775999999998</v>
      </c>
    </row>
    <row r="143" spans="1:34" s="456" customFormat="1" ht="57.75" hidden="1" customHeight="1">
      <c r="A143" s="442">
        <f>IF(B143="","",SUBTOTAL(3,$B$6:B143))</f>
        <v>47</v>
      </c>
      <c r="B143" s="443" t="s">
        <v>1438</v>
      </c>
      <c r="C143" s="444" t="s">
        <v>118</v>
      </c>
      <c r="D143" s="466" t="s">
        <v>1367</v>
      </c>
      <c r="E143" s="443" t="s">
        <v>64</v>
      </c>
      <c r="F143" s="466" t="s">
        <v>1388</v>
      </c>
      <c r="G143" s="445" t="s">
        <v>1369</v>
      </c>
      <c r="H143" s="445"/>
      <c r="I143" s="443"/>
      <c r="J143" s="468">
        <v>42371</v>
      </c>
      <c r="K143" s="468" t="s">
        <v>1437</v>
      </c>
      <c r="L143" s="442">
        <v>75</v>
      </c>
      <c r="M143" s="443"/>
      <c r="N143" s="447">
        <v>1600</v>
      </c>
      <c r="O143" s="448">
        <f>N143*L143</f>
        <v>120000</v>
      </c>
      <c r="P143" s="449"/>
      <c r="Q143" s="447"/>
      <c r="R143" s="447"/>
      <c r="S143" s="447"/>
      <c r="T143" s="447"/>
      <c r="U143" s="450">
        <f>Table51013454[[#This Row],[العدد]]*Table51013454[[#This Row],[السعر الافرادي]]</f>
        <v>0</v>
      </c>
      <c r="V143" s="451">
        <f>Table51013454[[#This Row],[الكمية]]-Table51013454[[#This Row],[العدد]]</f>
        <v>75</v>
      </c>
      <c r="W143" s="447">
        <f>Table51013454[[#This Row],[سعر/الحبة]]</f>
        <v>1600</v>
      </c>
      <c r="X143" s="447">
        <f>Table51013454[[#This Row],[الإجمالي]]-Table51013454[[#This Row],[إجمالي المستبعد]]</f>
        <v>120000</v>
      </c>
      <c r="Y143" s="452">
        <v>0.15</v>
      </c>
      <c r="Z143" s="445"/>
      <c r="AA143" s="466" t="s">
        <v>1365</v>
      </c>
      <c r="AB143" s="453">
        <v>17950.68493150685</v>
      </c>
      <c r="AC143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الشراء-الاستلام]]&lt;DATE(2017,1,1),O143-AB143,0))</f>
        <v>102049.31506849315</v>
      </c>
      <c r="AD143" s="454">
        <f>IF(OR(Table51013454[[#This Row],[تاريخ الشراء-الاستلام]]="",Table51013454[[#This Row],[الإجمالي]]="",Table51013454[[#This Row],[العمر الافتراضي]]=""),"",IF(AND(AB143&lt;X143,AC143&gt;(X143*Y143),DATE(2016,12,31)&gt;J143),X143*Y143,IF(AND(AB143&lt;X143,DATE(2017,12,31)&gt;J143,AC143&gt;(X143*Y143)),(DATE(2017,12,31)-J143)/((100%/Y143)*365)*X143,IF(AND(AB143&lt;X143,DATE(2017,12,31)&gt;J143,AC143=0),(DATE(2017,12,31)-J143)/((100%/Y143)*365)*X143,IF(AND(AB143&lt;X143,DATE(2017,12,31)&gt;J143,AC143&lt;(X143*Y143)),AC143,0)))))</f>
        <v>18000</v>
      </c>
      <c r="AE143" s="453">
        <f>IF(OR(Table51013454[[#This Row],[تاريخ الشراء-الاستلام]]="",Table51013454[[#This Row],[الإجمالي]]="",Table51013454[[#This Row],[العمر الافتراضي]]=""),"",AB143+AD143)</f>
        <v>35950.684931506854</v>
      </c>
      <c r="AF143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الشراء-الاستلام]]&gt;DATE(2017,12,31),0,X143-AE143))</f>
        <v>84049.315068493146</v>
      </c>
    </row>
    <row r="144" spans="1:34" s="456" customFormat="1" ht="57.75" hidden="1" customHeight="1">
      <c r="A144" s="478">
        <f>IF(B144="","",SUBTOTAL(3,$B$6:B144))</f>
        <v>47</v>
      </c>
      <c r="B144" s="466" t="s">
        <v>1536</v>
      </c>
      <c r="C144" s="480" t="s">
        <v>118</v>
      </c>
      <c r="D144" s="466" t="s">
        <v>1537</v>
      </c>
      <c r="E144" s="466" t="s">
        <v>64</v>
      </c>
      <c r="F144" s="466" t="s">
        <v>1421</v>
      </c>
      <c r="G144" s="467" t="s">
        <v>1369</v>
      </c>
      <c r="H144" s="467"/>
      <c r="I144" s="466"/>
      <c r="J144" s="468">
        <v>38718</v>
      </c>
      <c r="K144" s="468"/>
      <c r="L144" s="469">
        <v>113</v>
      </c>
      <c r="M144" s="466"/>
      <c r="N144" s="470">
        <v>9000</v>
      </c>
      <c r="O144" s="471">
        <f t="shared" si="3"/>
        <v>1017000</v>
      </c>
      <c r="P144" s="472"/>
      <c r="Q144" s="470"/>
      <c r="R144" s="470"/>
      <c r="S144" s="470"/>
      <c r="T144" s="470"/>
      <c r="U144" s="473">
        <f>Table51013454[[#This Row],[العدد]]*Table51013454[[#This Row],[السعر الافرادي]]</f>
        <v>0</v>
      </c>
      <c r="V144" s="474">
        <f>Table51013454[[#This Row],[الكمية]]-Table51013454[[#This Row],[العدد]]</f>
        <v>113</v>
      </c>
      <c r="W144" s="470">
        <f>Table51013454[[#This Row],[سعر/الحبة]]</f>
        <v>9000</v>
      </c>
      <c r="X144" s="470">
        <f>Table51013454[[#This Row],[الإجمالي]]-Table51013454[[#This Row],[إجمالي المستبعد]]</f>
        <v>1017000</v>
      </c>
      <c r="Y144" s="452">
        <v>0.15</v>
      </c>
      <c r="Z144" s="467"/>
      <c r="AA144" s="466" t="s">
        <v>1365</v>
      </c>
      <c r="AB144" s="453">
        <v>1017000</v>
      </c>
      <c r="AC144" s="47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الشراء-الاستلام]]&lt;DATE(2017,1,1),O144-AB144,0))</f>
        <v>0</v>
      </c>
      <c r="AD144" s="479">
        <f>IF(OR(Table51013454[[#This Row],[تاريخ الشراء-الاستلام]]="",Table51013454[[#This Row],[الإجمالي]]="",Table51013454[[#This Row],[العمر الافتراضي]]=""),"",IF(AND(AB144&lt;X144,AC144&gt;(X144*Y144),DATE(2016,12,31)&gt;J144),X144*Y144,IF(AND(AB144&lt;X144,DATE(2017,12,31)&gt;J144,AC144&gt;(X144*Y144)),(DATE(2017,12,31)-J144)/((100%/Y144)*365)*X144,IF(AND(AB144&lt;X144,DATE(2017,12,31)&gt;J144,AC144=0),(DATE(2017,12,31)-J144)/((100%/Y144)*365)*X144,IF(AND(AB144&lt;X144,DATE(2017,12,31)&gt;J144,AC144&lt;(X144*Y144)),AC144,0)))))</f>
        <v>0</v>
      </c>
      <c r="AE144" s="475">
        <f>IF(OR(Table51013454[[#This Row],[تاريخ الشراء-الاستلام]]="",Table51013454[[#This Row],[الإجمالي]]="",Table51013454[[#This Row],[العمر الافتراضي]]=""),"",AB144+AD144)</f>
        <v>1017000</v>
      </c>
      <c r="AF144" s="47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الشراء-الاستلام]]&gt;DATE(2017,12,31),0,X144-AE144))</f>
        <v>0</v>
      </c>
    </row>
    <row r="145" spans="1:32" s="456" customFormat="1" ht="57.75" hidden="1" customHeight="1">
      <c r="A145" s="483">
        <f>IF(B145="","",SUBTOTAL(3,$B$6:B145))</f>
        <v>47</v>
      </c>
      <c r="B145" s="466" t="s">
        <v>1538</v>
      </c>
      <c r="C145" s="480" t="s">
        <v>118</v>
      </c>
      <c r="D145" s="466" t="s">
        <v>1537</v>
      </c>
      <c r="E145" s="466" t="s">
        <v>64</v>
      </c>
      <c r="F145" s="466" t="s">
        <v>1421</v>
      </c>
      <c r="G145" s="467" t="s">
        <v>1369</v>
      </c>
      <c r="H145" s="467"/>
      <c r="I145" s="466"/>
      <c r="J145" s="468">
        <v>41109.519999999997</v>
      </c>
      <c r="K145" s="468"/>
      <c r="L145" s="469">
        <v>47</v>
      </c>
      <c r="M145" s="466"/>
      <c r="N145" s="470">
        <v>5767.02</v>
      </c>
      <c r="O145" s="471">
        <f t="shared" si="3"/>
        <v>271049.94</v>
      </c>
      <c r="P145" s="472"/>
      <c r="Q145" s="470"/>
      <c r="R145" s="470"/>
      <c r="S145" s="470"/>
      <c r="T145" s="470"/>
      <c r="U145" s="473">
        <f>Table51013454[[#This Row],[العدد]]*Table51013454[[#This Row],[السعر الافرادي]]</f>
        <v>0</v>
      </c>
      <c r="V145" s="474">
        <f>Table51013454[[#This Row],[الكمية]]-Table51013454[[#This Row],[العدد]]</f>
        <v>47</v>
      </c>
      <c r="W145" s="470">
        <f>Table51013454[[#This Row],[سعر/الحبة]]</f>
        <v>5767.02</v>
      </c>
      <c r="X145" s="470">
        <f>Table51013454[[#This Row],[الإجمالي]]-Table51013454[[#This Row],[إجمالي المستبعد]]</f>
        <v>271049.94</v>
      </c>
      <c r="Y145" s="452">
        <v>0.15</v>
      </c>
      <c r="Z145" s="467"/>
      <c r="AA145" s="466" t="s">
        <v>1365</v>
      </c>
      <c r="AB145" s="453">
        <v>134186.80015923313</v>
      </c>
      <c r="AC145" s="47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الشراء-الاستلام]]&lt;DATE(2017,1,1),O145-AB145,0))</f>
        <v>136863.13984076687</v>
      </c>
      <c r="AD145" s="479">
        <f>IF(OR(Table51013454[[#This Row],[تاريخ الشراء-الاستلام]]="",Table51013454[[#This Row],[الإجمالي]]="",Table51013454[[#This Row],[العمر الافتراضي]]=""),"",IF(AND(AB145&lt;X145,AC145&gt;(X145*Y145),DATE(2016,12,31)&gt;J145),X145*Y145,IF(AND(AB145&lt;X145,DATE(2017,12,31)&gt;J145,AC145&gt;(X145*Y145)),(DATE(2017,12,31)-J145)/((100%/Y145)*365)*X145,IF(AND(AB145&lt;X145,DATE(2017,12,31)&gt;J145,AC145=0),(DATE(2017,12,31)-J145)/((100%/Y145)*365)*X145,IF(AND(AB145&lt;X145,DATE(2017,12,31)&gt;J145,AC145&lt;(X145*Y145)),AC145,0)))))</f>
        <v>40657.491000000002</v>
      </c>
      <c r="AE145" s="475">
        <f>IF(OR(Table51013454[[#This Row],[تاريخ الشراء-الاستلام]]="",Table51013454[[#This Row],[الإجمالي]]="",Table51013454[[#This Row],[العمر الافتراضي]]=""),"",AB145+AD145)</f>
        <v>174844.29115923314</v>
      </c>
      <c r="AF145" s="47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الشراء-الاستلام]]&gt;DATE(2017,12,31),0,X145-AE145))</f>
        <v>96205.648840766866</v>
      </c>
    </row>
    <row r="146" spans="1:32" s="456" customFormat="1" ht="57.75" hidden="1" customHeight="1">
      <c r="A146" s="484">
        <f>IF(B146="","",SUBTOTAL(3,$B$6:B146))</f>
        <v>47</v>
      </c>
      <c r="B146" s="443" t="s">
        <v>1539</v>
      </c>
      <c r="C146" s="444" t="s">
        <v>118</v>
      </c>
      <c r="D146" s="443" t="s">
        <v>1383</v>
      </c>
      <c r="E146" s="443" t="s">
        <v>64</v>
      </c>
      <c r="F146" s="466" t="s">
        <v>1369</v>
      </c>
      <c r="G146" s="445"/>
      <c r="H146" s="445"/>
      <c r="I146" s="442">
        <v>9277</v>
      </c>
      <c r="J146" s="468">
        <v>40544</v>
      </c>
      <c r="K146" s="468"/>
      <c r="L146" s="469">
        <v>1</v>
      </c>
      <c r="M146" s="466"/>
      <c r="N146" s="470">
        <f>57000-20000</f>
        <v>37000</v>
      </c>
      <c r="O146" s="471">
        <f t="shared" si="3"/>
        <v>37000</v>
      </c>
      <c r="P146" s="472"/>
      <c r="Q146" s="470"/>
      <c r="R146" s="470"/>
      <c r="S146" s="470"/>
      <c r="T146" s="470"/>
      <c r="U146" s="473">
        <f>Table51013454[[#This Row],[العدد]]*Table51013454[[#This Row],[السعر الافرادي]]</f>
        <v>0</v>
      </c>
      <c r="V146" s="474">
        <f>Table51013454[[#This Row],[الكمية]]-Table51013454[[#This Row],[العدد]]</f>
        <v>1</v>
      </c>
      <c r="W146" s="470">
        <f>Table51013454[[#This Row],[سعر/الحبة]]</f>
        <v>37000</v>
      </c>
      <c r="X146" s="470">
        <f>Table51013454[[#This Row],[الإجمالي]]-Table51013454[[#This Row],[إجمالي المستبعد]]</f>
        <v>37000</v>
      </c>
      <c r="Y146" s="452">
        <v>0.25</v>
      </c>
      <c r="Z146" s="445"/>
      <c r="AA146" s="443" t="s">
        <v>1365</v>
      </c>
      <c r="AB146" s="453">
        <v>37000</v>
      </c>
      <c r="AC146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الشراء-الاستلام]]&lt;DATE(2017,1,1),O146-AB146,0))</f>
        <v>0</v>
      </c>
      <c r="AD146" s="454">
        <f>IF(OR(Table51013454[[#This Row],[تاريخ الشراء-الاستلام]]="",Table51013454[[#This Row],[الإجمالي]]="",Table51013454[[#This Row],[العمر الافتراضي]]=""),"",IF(AND(AB146&lt;X146,AC146&gt;(X146*Y146),DATE(2016,12,31)&gt;J146),X146*Y146,IF(AND(AB146&lt;X146,DATE(2017,12,31)&gt;J146,AC146&gt;(X146*Y146)),(DATE(2017,12,31)-J146)/((100%/Y146)*365)*X146,IF(AND(AB146&lt;X146,DATE(2017,12,31)&gt;J146,AC146=0),(DATE(2017,12,31)-J146)/((100%/Y146)*365)*X146,IF(AND(AB146&lt;X146,DATE(2017,12,31)&gt;J146,AC146&lt;(X146*Y146)),AC146,0)))))</f>
        <v>0</v>
      </c>
      <c r="AE146" s="453">
        <f>IF(OR(Table51013454[[#This Row],[تاريخ الشراء-الاستلام]]="",Table51013454[[#This Row],[الإجمالي]]="",Table51013454[[#This Row],[العمر الافتراضي]]=""),"",AB146+AD146)</f>
        <v>37000</v>
      </c>
      <c r="AF146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الشراء-الاستلام]]&gt;DATE(2017,12,31),0,X146-AE146))</f>
        <v>0</v>
      </c>
    </row>
    <row r="147" spans="1:32" s="456" customFormat="1" ht="57.75" hidden="1" customHeight="1">
      <c r="A147" s="483">
        <f>IF(B147="","",SUBTOTAL(3,$B$6:B147))</f>
        <v>47</v>
      </c>
      <c r="B147" s="466" t="s">
        <v>1366</v>
      </c>
      <c r="C147" s="480" t="s">
        <v>118</v>
      </c>
      <c r="D147" s="443" t="s">
        <v>1367</v>
      </c>
      <c r="E147" s="466" t="s">
        <v>63</v>
      </c>
      <c r="F147" s="466"/>
      <c r="G147" s="467" t="s">
        <v>1369</v>
      </c>
      <c r="H147" s="467"/>
      <c r="I147" s="466"/>
      <c r="J147" s="485">
        <v>41491.999000000003</v>
      </c>
      <c r="K147" s="485"/>
      <c r="L147" s="442">
        <f>156-30</f>
        <v>126</v>
      </c>
      <c r="M147" s="466"/>
      <c r="N147" s="470">
        <v>700</v>
      </c>
      <c r="O147" s="471">
        <f t="shared" si="3"/>
        <v>88200</v>
      </c>
      <c r="P147" s="472"/>
      <c r="Q147" s="470"/>
      <c r="R147" s="470"/>
      <c r="S147" s="470"/>
      <c r="T147" s="470"/>
      <c r="U147" s="473">
        <f>Table51013454[[#This Row],[العدد]]*Table51013454[[#This Row],[السعر الافرادي]]</f>
        <v>0</v>
      </c>
      <c r="V147" s="474">
        <f>Table51013454[[#This Row],[الكمية]]-Table51013454[[#This Row],[العدد]]</f>
        <v>126</v>
      </c>
      <c r="W147" s="470">
        <f>Table51013454[[#This Row],[سعر/الحبة]]</f>
        <v>700</v>
      </c>
      <c r="X147" s="470">
        <f>Table51013454[[#This Row],[الإجمالي]]-Table51013454[[#This Row],[إجمالي المستبعد]]</f>
        <v>88200</v>
      </c>
      <c r="Y147" s="452">
        <v>0.15</v>
      </c>
      <c r="Z147" s="467"/>
      <c r="AA147" s="466" t="s">
        <v>1365</v>
      </c>
      <c r="AB147" s="475">
        <v>34422.188547945123</v>
      </c>
      <c r="AC147" s="47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الشراء-الاستلام]]&lt;DATE(2017,1,1),O147-AB147,0))</f>
        <v>53777.811452054877</v>
      </c>
      <c r="AD147" s="479">
        <f>IF(OR(Table51013454[[#This Row],[تاريخ الشراء-الاستلام]]="",Table51013454[[#This Row],[الإجمالي]]="",Table51013454[[#This Row],[العمر الافتراضي]]=""),"",IF(AND(AB147&lt;X147,AC147&gt;(X147*Y147),DATE(2016,12,31)&gt;J147),X147*Y147,IF(AND(AB147&lt;X147,DATE(2017,12,31)&gt;J147,AC147&gt;(X147*Y147)),(DATE(2017,12,31)-J147)/((100%/Y147)*365)*X147,IF(AND(AB147&lt;X147,DATE(2017,12,31)&gt;J147,AC147=0),(DATE(2017,12,31)-J147)/((100%/Y147)*365)*X147,IF(AND(AB147&lt;X147,DATE(2017,12,31)&gt;J147,AC147&lt;(X147*Y147)),AC147,0)))))</f>
        <v>13230</v>
      </c>
      <c r="AE147" s="475">
        <f>IF(OR(Table51013454[[#This Row],[تاريخ الشراء-الاستلام]]="",Table51013454[[#This Row],[الإجمالي]]="",Table51013454[[#This Row],[العمر الافتراضي]]=""),"",AB147+AD147)</f>
        <v>47652.188547945123</v>
      </c>
      <c r="AF147" s="47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الشراء-الاستلام]]&gt;DATE(2017,12,31),0,X147-AE147))</f>
        <v>40547.811452054877</v>
      </c>
    </row>
    <row r="148" spans="1:32" s="456" customFormat="1" ht="57.75" hidden="1" customHeight="1">
      <c r="A148" s="484">
        <f>IF(B148="","",SUBTOTAL(3,$B$6:B148))</f>
        <v>47</v>
      </c>
      <c r="B148" s="443" t="s">
        <v>1416</v>
      </c>
      <c r="C148" s="480" t="s">
        <v>118</v>
      </c>
      <c r="D148" s="443" t="s">
        <v>1367</v>
      </c>
      <c r="E148" s="466" t="s">
        <v>63</v>
      </c>
      <c r="F148" s="466"/>
      <c r="G148" s="467" t="s">
        <v>1369</v>
      </c>
      <c r="H148" s="445"/>
      <c r="I148" s="443"/>
      <c r="J148" s="485">
        <v>41491.999000000003</v>
      </c>
      <c r="K148" s="486"/>
      <c r="L148" s="442">
        <v>48</v>
      </c>
      <c r="M148" s="443"/>
      <c r="N148" s="447">
        <v>1100</v>
      </c>
      <c r="O148" s="448">
        <f t="shared" si="3"/>
        <v>52800</v>
      </c>
      <c r="P148" s="449"/>
      <c r="Q148" s="447"/>
      <c r="R148" s="447"/>
      <c r="S148" s="447"/>
      <c r="T148" s="447"/>
      <c r="U148" s="450">
        <f>Table51013454[[#This Row],[العدد]]*Table51013454[[#This Row],[السعر الافرادي]]</f>
        <v>0</v>
      </c>
      <c r="V148" s="451">
        <f>Table51013454[[#This Row],[الكمية]]-Table51013454[[#This Row],[العدد]]</f>
        <v>48</v>
      </c>
      <c r="W148" s="447">
        <f>Table51013454[[#This Row],[سعر/الحبة]]</f>
        <v>1100</v>
      </c>
      <c r="X148" s="447">
        <f>Table51013454[[#This Row],[الإجمالي]]-Table51013454[[#This Row],[إجمالي المستبعد]]</f>
        <v>52800</v>
      </c>
      <c r="Y148" s="452">
        <v>0.15</v>
      </c>
      <c r="Z148" s="445"/>
      <c r="AA148" s="466" t="s">
        <v>1365</v>
      </c>
      <c r="AB148" s="453">
        <v>20606.480219178033</v>
      </c>
      <c r="AC148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الشراء-الاستلام]]&lt;DATE(2017,1,1),O148-AB148,0))</f>
        <v>32193.519780821967</v>
      </c>
      <c r="AD148" s="454">
        <f>IF(OR(Table51013454[[#This Row],[تاريخ الشراء-الاستلام]]="",Table51013454[[#This Row],[الإجمالي]]="",Table51013454[[#This Row],[العمر الافتراضي]]=""),"",IF(AND(AB148&lt;X148,AC148&gt;(X148*Y148),DATE(2016,12,31)&gt;J148),X148*Y148,IF(AND(AB148&lt;X148,DATE(2017,12,31)&gt;J148,AC148&gt;(X148*Y148)),(DATE(2017,12,31)-J148)/((100%/Y148)*365)*X148,IF(AND(AB148&lt;X148,DATE(2017,12,31)&gt;J148,AC148=0),(DATE(2017,12,31)-J148)/((100%/Y148)*365)*X148,IF(AND(AB148&lt;X148,DATE(2017,12,31)&gt;J148,AC148&lt;(X148*Y148)),AC148,0)))))</f>
        <v>7920</v>
      </c>
      <c r="AE148" s="453">
        <f>IF(OR(Table51013454[[#This Row],[تاريخ الشراء-الاستلام]]="",Table51013454[[#This Row],[الإجمالي]]="",Table51013454[[#This Row],[العمر الافتراضي]]=""),"",AB148+AD148)</f>
        <v>28526.480219178033</v>
      </c>
      <c r="AF148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الشراء-الاستلام]]&gt;DATE(2017,12,31),0,X148-AE148))</f>
        <v>24273.519780821967</v>
      </c>
    </row>
    <row r="149" spans="1:32" s="456" customFormat="1" ht="57.75" hidden="1" customHeight="1">
      <c r="A149" s="484">
        <f>IF(B149="","",SUBTOTAL(3,$B$6:B149))</f>
        <v>47</v>
      </c>
      <c r="B149" s="443" t="s">
        <v>1438</v>
      </c>
      <c r="C149" s="480" t="s">
        <v>118</v>
      </c>
      <c r="D149" s="443" t="s">
        <v>1367</v>
      </c>
      <c r="E149" s="466" t="s">
        <v>63</v>
      </c>
      <c r="F149" s="466"/>
      <c r="G149" s="445" t="s">
        <v>1369</v>
      </c>
      <c r="H149" s="445"/>
      <c r="I149" s="443"/>
      <c r="J149" s="485">
        <v>41491.999000000003</v>
      </c>
      <c r="K149" s="486"/>
      <c r="L149" s="442">
        <v>24</v>
      </c>
      <c r="M149" s="443"/>
      <c r="N149" s="447">
        <v>1300</v>
      </c>
      <c r="O149" s="448">
        <f t="shared" si="3"/>
        <v>31200</v>
      </c>
      <c r="P149" s="449"/>
      <c r="Q149" s="447"/>
      <c r="R149" s="447"/>
      <c r="S149" s="447"/>
      <c r="T149" s="447"/>
      <c r="U149" s="450">
        <f>Table51013454[[#This Row],[العدد]]*Table51013454[[#This Row],[السعر الافرادي]]</f>
        <v>0</v>
      </c>
      <c r="V149" s="451">
        <f>Table51013454[[#This Row],[الكمية]]-Table51013454[[#This Row],[العدد]]</f>
        <v>24</v>
      </c>
      <c r="W149" s="447">
        <f>Table51013454[[#This Row],[سعر/الحبة]]</f>
        <v>1300</v>
      </c>
      <c r="X149" s="447">
        <f>Table51013454[[#This Row],[الإجمالي]]-Table51013454[[#This Row],[إجمالي المستبعد]]</f>
        <v>31200</v>
      </c>
      <c r="Y149" s="452">
        <v>0.15</v>
      </c>
      <c r="Z149" s="445"/>
      <c r="AA149" s="466" t="s">
        <v>1365</v>
      </c>
      <c r="AB149" s="453">
        <v>12176.556493150656</v>
      </c>
      <c r="AC149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الشراء-الاستلام]]&lt;DATE(2017,1,1),O149-AB149,0))</f>
        <v>19023.443506849344</v>
      </c>
      <c r="AD149" s="454">
        <f>IF(OR(Table51013454[[#This Row],[تاريخ الشراء-الاستلام]]="",Table51013454[[#This Row],[الإجمالي]]="",Table51013454[[#This Row],[العمر الافتراضي]]=""),"",IF(AND(AB149&lt;X149,AC149&gt;(X149*Y149),DATE(2016,12,31)&gt;J149),X149*Y149,IF(AND(AB149&lt;X149,DATE(2017,12,31)&gt;J149,AC149&gt;(X149*Y149)),(DATE(2017,12,31)-J149)/((100%/Y149)*365)*X149,IF(AND(AB149&lt;X149,DATE(2017,12,31)&gt;J149,AC149=0),(DATE(2017,12,31)-J149)/((100%/Y149)*365)*X149,IF(AND(AB149&lt;X149,DATE(2017,12,31)&gt;J149,AC149&lt;(X149*Y149)),AC149,0)))))</f>
        <v>4680</v>
      </c>
      <c r="AE149" s="453">
        <f>IF(OR(Table51013454[[#This Row],[تاريخ الشراء-الاستلام]]="",Table51013454[[#This Row],[الإجمالي]]="",Table51013454[[#This Row],[العمر الافتراضي]]=""),"",AB149+AD149)</f>
        <v>16856.556493150656</v>
      </c>
      <c r="AF149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الشراء-الاستلام]]&gt;DATE(2017,12,31),0,X149-AE149))</f>
        <v>14343.443506849344</v>
      </c>
    </row>
    <row r="150" spans="1:32" s="456" customFormat="1" ht="57.75" hidden="1" customHeight="1">
      <c r="A150" s="484">
        <f>IF(B150="","",SUBTOTAL(3,$B$6:B150))</f>
        <v>47</v>
      </c>
      <c r="B150" s="443" t="s">
        <v>1540</v>
      </c>
      <c r="C150" s="480" t="s">
        <v>118</v>
      </c>
      <c r="D150" s="443" t="s">
        <v>1537</v>
      </c>
      <c r="E150" s="466" t="s">
        <v>63</v>
      </c>
      <c r="F150" s="466"/>
      <c r="G150" s="445" t="s">
        <v>1369</v>
      </c>
      <c r="H150" s="445"/>
      <c r="I150" s="443"/>
      <c r="J150" s="485">
        <v>41491.999000000003</v>
      </c>
      <c r="K150" s="486"/>
      <c r="L150" s="442">
        <v>21</v>
      </c>
      <c r="M150" s="443"/>
      <c r="N150" s="447">
        <v>7000</v>
      </c>
      <c r="O150" s="448">
        <f t="shared" si="3"/>
        <v>147000</v>
      </c>
      <c r="P150" s="449"/>
      <c r="Q150" s="447"/>
      <c r="R150" s="447"/>
      <c r="S150" s="447"/>
      <c r="T150" s="447"/>
      <c r="U150" s="450">
        <f>Table51013454[[#This Row],[العدد]]*Table51013454[[#This Row],[السعر الافرادي]]</f>
        <v>0</v>
      </c>
      <c r="V150" s="451">
        <f>Table51013454[[#This Row],[الكمية]]-Table51013454[[#This Row],[العدد]]</f>
        <v>21</v>
      </c>
      <c r="W150" s="447">
        <f>Table51013454[[#This Row],[سعر/الحبة]]</f>
        <v>7000</v>
      </c>
      <c r="X150" s="447">
        <f>Table51013454[[#This Row],[الإجمالي]]-Table51013454[[#This Row],[إجمالي المستبعد]]</f>
        <v>147000</v>
      </c>
      <c r="Y150" s="452">
        <v>0.15</v>
      </c>
      <c r="Z150" s="445"/>
      <c r="AA150" s="466" t="s">
        <v>1365</v>
      </c>
      <c r="AB150" s="453">
        <v>57370.314246575203</v>
      </c>
      <c r="AC150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الشراء-الاستلام]]&lt;DATE(2017,1,1),O150-AB150,0))</f>
        <v>89629.685753424797</v>
      </c>
      <c r="AD150" s="454">
        <f>IF(OR(Table51013454[[#This Row],[تاريخ الشراء-الاستلام]]="",Table51013454[[#This Row],[الإجمالي]]="",Table51013454[[#This Row],[العمر الافتراضي]]=""),"",IF(AND(AB150&lt;X150,AC150&gt;(X150*Y150),DATE(2016,12,31)&gt;J150),X150*Y150,IF(AND(AB150&lt;X150,DATE(2017,12,31)&gt;J150,AC150&gt;(X150*Y150)),(DATE(2017,12,31)-J150)/((100%/Y150)*365)*X150,IF(AND(AB150&lt;X150,DATE(2017,12,31)&gt;J150,AC150=0),(DATE(2017,12,31)-J150)/((100%/Y150)*365)*X150,IF(AND(AB150&lt;X150,DATE(2017,12,31)&gt;J150,AC150&lt;(X150*Y150)),AC150,0)))))</f>
        <v>22050</v>
      </c>
      <c r="AE150" s="453">
        <f>IF(OR(Table51013454[[#This Row],[تاريخ الشراء-الاستلام]]="",Table51013454[[#This Row],[الإجمالي]]="",Table51013454[[#This Row],[العمر الافتراضي]]=""),"",AB150+AD150)</f>
        <v>79420.314246575203</v>
      </c>
      <c r="AF150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الشراء-الاستلام]]&gt;DATE(2017,12,31),0,X150-AE150))</f>
        <v>67579.685753424797</v>
      </c>
    </row>
    <row r="151" spans="1:32" s="456" customFormat="1" ht="57.75" hidden="1" customHeight="1">
      <c r="A151" s="483">
        <f>IF(B151="","",SUBTOTAL(3,$B$6:B151))</f>
        <v>47</v>
      </c>
      <c r="B151" s="487" t="s">
        <v>1366</v>
      </c>
      <c r="C151" s="488" t="s">
        <v>118</v>
      </c>
      <c r="D151" s="487" t="s">
        <v>1367</v>
      </c>
      <c r="E151" s="487" t="s">
        <v>1014</v>
      </c>
      <c r="F151" s="487"/>
      <c r="G151" s="489" t="s">
        <v>1369</v>
      </c>
      <c r="H151" s="489"/>
      <c r="I151" s="487"/>
      <c r="J151" s="490">
        <v>41475</v>
      </c>
      <c r="K151" s="490"/>
      <c r="L151" s="491">
        <v>260</v>
      </c>
      <c r="M151" s="487"/>
      <c r="N151" s="492">
        <v>650</v>
      </c>
      <c r="O151" s="493">
        <f t="shared" si="3"/>
        <v>169000</v>
      </c>
      <c r="P151" s="472"/>
      <c r="Q151" s="470"/>
      <c r="R151" s="470">
        <v>10</v>
      </c>
      <c r="S151" s="470" t="s">
        <v>1541</v>
      </c>
      <c r="T151" s="470">
        <v>650</v>
      </c>
      <c r="U151" s="473">
        <f>Table51013454[[#This Row],[العدد]]*Table51013454[[#This Row],[السعر الافرادي]]</f>
        <v>6500</v>
      </c>
      <c r="V151" s="474">
        <f>Table51013454[[#This Row],[الكمية]]-Table51013454[[#This Row],[العدد]]</f>
        <v>250</v>
      </c>
      <c r="W151" s="470">
        <f>Table51013454[[#This Row],[سعر/الحبة]]</f>
        <v>650</v>
      </c>
      <c r="X151" s="470">
        <f>Table51013454[[#This Row],[الإجمالي]]-Table51013454[[#This Row],[إجمالي المستبعد]]</f>
        <v>162500</v>
      </c>
      <c r="Y151" s="452">
        <v>0.15</v>
      </c>
      <c r="Z151" s="467"/>
      <c r="AA151" s="466" t="s">
        <v>1365</v>
      </c>
      <c r="AB151" s="475">
        <v>66743.424657534255</v>
      </c>
      <c r="AC151" s="47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الشراء-الاستلام]]&lt;DATE(2017,1,1),O151-AB151,0))</f>
        <v>102256.57534246575</v>
      </c>
      <c r="AD151" s="479">
        <f>IF(OR(Table51013454[[#This Row],[تاريخ الشراء-الاستلام]]="",Table51013454[[#This Row],[الإجمالي]]="",Table51013454[[#This Row],[العمر الافتراضي]]=""),"",IF(AND(AB151&lt;X151,AC151&gt;(X151*Y151),DATE(2016,12,31)&gt;J151),X151*Y151,IF(AND(AB151&lt;X151,DATE(2017,12,31)&gt;J151,AC151&gt;(X151*Y151)),(DATE(2017,12,31)-J151)/((100%/Y151)*365)*X151,IF(AND(AB151&lt;X151,DATE(2017,12,31)&gt;J151,AC151=0),(DATE(2017,12,31)-J151)/((100%/Y151)*365)*X151,IF(AND(AB151&lt;X151,DATE(2017,12,31)&gt;J151,AC151&lt;(X151*Y151)),AC151,0)))))</f>
        <v>24375</v>
      </c>
      <c r="AE151" s="475">
        <f>IF(OR(Table51013454[[#This Row],[تاريخ الشراء-الاستلام]]="",Table51013454[[#This Row],[الإجمالي]]="",Table51013454[[#This Row],[العمر الافتراضي]]=""),"",AB151+AD151)</f>
        <v>91118.424657534255</v>
      </c>
      <c r="AF151" s="47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الشراء-الاستلام]]&gt;DATE(2017,12,31),0,X151-AE151))</f>
        <v>71381.575342465745</v>
      </c>
    </row>
    <row r="152" spans="1:32" s="456" customFormat="1" ht="57.75" hidden="1" customHeight="1">
      <c r="A152" s="484">
        <f>IF(B152="","",SUBTOTAL(3,$B$6:B152))</f>
        <v>47</v>
      </c>
      <c r="B152" s="443" t="s">
        <v>1542</v>
      </c>
      <c r="C152" s="480" t="s">
        <v>118</v>
      </c>
      <c r="D152" s="443" t="s">
        <v>1537</v>
      </c>
      <c r="E152" s="466" t="s">
        <v>1014</v>
      </c>
      <c r="F152" s="466"/>
      <c r="G152" s="467" t="s">
        <v>1369</v>
      </c>
      <c r="H152" s="445"/>
      <c r="I152" s="443"/>
      <c r="J152" s="485">
        <v>41475</v>
      </c>
      <c r="K152" s="486"/>
      <c r="L152" s="442">
        <v>5</v>
      </c>
      <c r="M152" s="443"/>
      <c r="N152" s="447">
        <v>7000</v>
      </c>
      <c r="O152" s="448">
        <f t="shared" si="3"/>
        <v>35000</v>
      </c>
      <c r="P152" s="449"/>
      <c r="Q152" s="447"/>
      <c r="R152" s="447"/>
      <c r="S152" s="447"/>
      <c r="T152" s="447"/>
      <c r="U152" s="450">
        <f>Table51013454[[#This Row],[العدد]]*Table51013454[[#This Row],[السعر الافرادي]]</f>
        <v>0</v>
      </c>
      <c r="V152" s="451">
        <f>Table51013454[[#This Row],[الكمية]]-Table51013454[[#This Row],[العدد]]</f>
        <v>5</v>
      </c>
      <c r="W152" s="447">
        <f>Table51013454[[#This Row],[سعر/الحبة]]</f>
        <v>7000</v>
      </c>
      <c r="X152" s="447">
        <f>Table51013454[[#This Row],[الإجمالي]]-Table51013454[[#This Row],[إجمالي المستبعد]]</f>
        <v>35000</v>
      </c>
      <c r="Y152" s="452">
        <v>0.15</v>
      </c>
      <c r="Z152" s="445"/>
      <c r="AA152" s="466" t="s">
        <v>1365</v>
      </c>
      <c r="AB152" s="453">
        <v>13822.602739726026</v>
      </c>
      <c r="AC152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الشراء-الاستلام]]&lt;DATE(2017,1,1),O152-AB152,0))</f>
        <v>21177.397260273974</v>
      </c>
      <c r="AD152" s="454">
        <f>IF(OR(Table51013454[[#This Row],[تاريخ الشراء-الاستلام]]="",Table51013454[[#This Row],[الإجمالي]]="",Table51013454[[#This Row],[العمر الافتراضي]]=""),"",IF(AND(AB152&lt;X152,AC152&gt;(X152*Y152),DATE(2016,12,31)&gt;J152),X152*Y152,IF(AND(AB152&lt;X152,DATE(2017,12,31)&gt;J152,AC152&gt;(X152*Y152)),(DATE(2017,12,31)-J152)/((100%/Y152)*365)*X152,IF(AND(AB152&lt;X152,DATE(2017,12,31)&gt;J152,AC152=0),(DATE(2017,12,31)-J152)/((100%/Y152)*365)*X152,IF(AND(AB152&lt;X152,DATE(2017,12,31)&gt;J152,AC152&lt;(X152*Y152)),AC152,0)))))</f>
        <v>5250</v>
      </c>
      <c r="AE152" s="453">
        <f>IF(OR(Table51013454[[#This Row],[تاريخ الشراء-الاستلام]]="",Table51013454[[#This Row],[الإجمالي]]="",Table51013454[[#This Row],[العمر الافتراضي]]=""),"",AB152+AD152)</f>
        <v>19072.602739726026</v>
      </c>
      <c r="AF152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الشراء-الاستلام]]&gt;DATE(2017,12,31),0,X152-AE152))</f>
        <v>15927.397260273974</v>
      </c>
    </row>
    <row r="153" spans="1:32" s="456" customFormat="1" ht="57.75" hidden="1" customHeight="1">
      <c r="A153" s="484">
        <f>IF(B153="","",SUBTOTAL(3,$B$6:B153))</f>
        <v>47</v>
      </c>
      <c r="B153" s="443" t="s">
        <v>1543</v>
      </c>
      <c r="C153" s="480" t="s">
        <v>118</v>
      </c>
      <c r="D153" s="443" t="s">
        <v>1537</v>
      </c>
      <c r="E153" s="466" t="s">
        <v>1014</v>
      </c>
      <c r="F153" s="466"/>
      <c r="G153" s="467" t="s">
        <v>1369</v>
      </c>
      <c r="H153" s="445"/>
      <c r="I153" s="443"/>
      <c r="J153" s="485">
        <v>41475</v>
      </c>
      <c r="K153" s="486"/>
      <c r="L153" s="442">
        <v>31</v>
      </c>
      <c r="M153" s="443"/>
      <c r="N153" s="447">
        <v>4500</v>
      </c>
      <c r="O153" s="448">
        <f t="shared" si="3"/>
        <v>139500</v>
      </c>
      <c r="P153" s="449"/>
      <c r="Q153" s="447"/>
      <c r="R153" s="447"/>
      <c r="S153" s="447"/>
      <c r="T153" s="447"/>
      <c r="U153" s="450">
        <f>Table51013454[[#This Row],[العدد]]*Table51013454[[#This Row],[السعر الافرادي]]</f>
        <v>0</v>
      </c>
      <c r="V153" s="451">
        <f>Table51013454[[#This Row],[الكمية]]-Table51013454[[#This Row],[العدد]]</f>
        <v>31</v>
      </c>
      <c r="W153" s="447">
        <f>Table51013454[[#This Row],[سعر/الحبة]]</f>
        <v>4500</v>
      </c>
      <c r="X153" s="447">
        <f>Table51013454[[#This Row],[الإجمالي]]-Table51013454[[#This Row],[إجمالي المستبعد]]</f>
        <v>139500</v>
      </c>
      <c r="Y153" s="452">
        <v>0.15</v>
      </c>
      <c r="Z153" s="445"/>
      <c r="AA153" s="466" t="s">
        <v>1365</v>
      </c>
      <c r="AB153" s="453">
        <v>55092.945205479453</v>
      </c>
      <c r="AC153" s="45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الشراء-الاستلام]]&lt;DATE(2017,1,1),O153-AB153,0))</f>
        <v>84407.054794520547</v>
      </c>
      <c r="AD153" s="454">
        <f>IF(OR(Table51013454[[#This Row],[تاريخ الشراء-الاستلام]]="",Table51013454[[#This Row],[الإجمالي]]="",Table51013454[[#This Row],[العمر الافتراضي]]=""),"",IF(AND(AB153&lt;X153,AC153&gt;(X153*Y153),DATE(2016,12,31)&gt;J153),X153*Y153,IF(AND(AB153&lt;X153,DATE(2017,12,31)&gt;J153,AC153&gt;(X153*Y153)),(DATE(2017,12,31)-J153)/((100%/Y153)*365)*X153,IF(AND(AB153&lt;X153,DATE(2017,12,31)&gt;J153,AC153=0),(DATE(2017,12,31)-J153)/((100%/Y153)*365)*X153,IF(AND(AB153&lt;X153,DATE(2017,12,31)&gt;J153,AC153&lt;(X153*Y153)),AC153,0)))))</f>
        <v>20925</v>
      </c>
      <c r="AE153" s="453">
        <f>IF(OR(Table51013454[[#This Row],[تاريخ الشراء-الاستلام]]="",Table51013454[[#This Row],[الإجمالي]]="",Table51013454[[#This Row],[العمر الافتراضي]]=""),"",AB153+AD153)</f>
        <v>76017.945205479453</v>
      </c>
      <c r="AF153" s="45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الشراء-الاستلام]]&gt;DATE(2017,12,31),0,X153-AE153))</f>
        <v>63482.054794520547</v>
      </c>
    </row>
    <row r="154" spans="1:32" s="456" customFormat="1" ht="57.75" hidden="1" customHeight="1">
      <c r="A154" s="483">
        <f>IF(B154="","",SUBTOTAL(3,$B$6:B154))</f>
        <v>47</v>
      </c>
      <c r="B154" s="466" t="s">
        <v>1438</v>
      </c>
      <c r="C154" s="480" t="s">
        <v>118</v>
      </c>
      <c r="D154" s="466" t="s">
        <v>1367</v>
      </c>
      <c r="E154" s="466" t="s">
        <v>1014</v>
      </c>
      <c r="F154" s="466"/>
      <c r="G154" s="467" t="s">
        <v>1369</v>
      </c>
      <c r="H154" s="467"/>
      <c r="I154" s="466"/>
      <c r="J154" s="485">
        <v>41475</v>
      </c>
      <c r="K154" s="485"/>
      <c r="L154" s="469">
        <v>60</v>
      </c>
      <c r="M154" s="466"/>
      <c r="N154" s="470">
        <v>1100</v>
      </c>
      <c r="O154" s="471">
        <f t="shared" si="3"/>
        <v>66000</v>
      </c>
      <c r="P154" s="472"/>
      <c r="Q154" s="470"/>
      <c r="R154" s="470"/>
      <c r="S154" s="470"/>
      <c r="T154" s="470"/>
      <c r="U154" s="473">
        <f>Table51013454[[#This Row],[العدد]]*Table51013454[[#This Row],[السعر الافرادي]]</f>
        <v>0</v>
      </c>
      <c r="V154" s="474">
        <f>Table51013454[[#This Row],[الكمية]]-Table51013454[[#This Row],[العدد]]</f>
        <v>60</v>
      </c>
      <c r="W154" s="470">
        <f>Table51013454[[#This Row],[سعر/الحبة]]</f>
        <v>1100</v>
      </c>
      <c r="X154" s="470">
        <f>Table51013454[[#This Row],[الإجمالي]]-Table51013454[[#This Row],[إجمالي المستبعد]]</f>
        <v>66000</v>
      </c>
      <c r="Y154" s="452">
        <v>0.15</v>
      </c>
      <c r="Z154" s="467"/>
      <c r="AA154" s="466" t="s">
        <v>1365</v>
      </c>
      <c r="AB154" s="453">
        <v>26065.479452054795</v>
      </c>
      <c r="AC154" s="47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الشراء-الاستلام]]&lt;DATE(2017,1,1),O154-AB154,0))</f>
        <v>39934.520547945205</v>
      </c>
      <c r="AD154" s="479">
        <f>IF(OR(Table51013454[[#This Row],[تاريخ الشراء-الاستلام]]="",Table51013454[[#This Row],[الإجمالي]]="",Table51013454[[#This Row],[العمر الافتراضي]]=""),"",IF(AND(AB154&lt;X154,AC154&gt;(X154*Y154),DATE(2016,12,31)&gt;J154),X154*Y154,IF(AND(AB154&lt;X154,DATE(2017,12,31)&gt;J154,AC154&gt;(X154*Y154)),(DATE(2017,12,31)-J154)/((100%/Y154)*365)*X154,IF(AND(AB154&lt;X154,DATE(2017,12,31)&gt;J154,AC154=0),(DATE(2017,12,31)-J154)/((100%/Y154)*365)*X154,IF(AND(AB154&lt;X154,DATE(2017,12,31)&gt;J154,AC154&lt;(X154*Y154)),AC154,0)))))</f>
        <v>9900</v>
      </c>
      <c r="AE154" s="475">
        <f>IF(OR(Table51013454[[#This Row],[تاريخ الشراء-الاستلام]]="",Table51013454[[#This Row],[الإجمالي]]="",Table51013454[[#This Row],[العمر الافتراضي]]=""),"",AB154+AD154)</f>
        <v>35965.479452054795</v>
      </c>
      <c r="AF154" s="47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الشراء-الاستلام]]&gt;DATE(2017,12,31),0,X154-AE154))</f>
        <v>30034.520547945205</v>
      </c>
    </row>
    <row r="155" spans="1:32" s="456" customFormat="1" ht="57.75" hidden="1" customHeight="1">
      <c r="A155" s="465" t="str">
        <f>IF(B155="","",SUBTOTAL(3,$B$6:B157))</f>
        <v/>
      </c>
      <c r="B155" s="466"/>
      <c r="C155" s="480"/>
      <c r="D155" s="466"/>
      <c r="E155" s="466"/>
      <c r="F155" s="466"/>
      <c r="G155" s="467"/>
      <c r="H155" s="467"/>
      <c r="I155" s="466"/>
      <c r="J155" s="485"/>
      <c r="K155" s="485"/>
      <c r="L155" s="469"/>
      <c r="M155" s="466"/>
      <c r="N155" s="470"/>
      <c r="O155" s="471">
        <f>N155*L155</f>
        <v>0</v>
      </c>
      <c r="P155" s="472"/>
      <c r="Q155" s="470"/>
      <c r="R155" s="470"/>
      <c r="S155" s="470"/>
      <c r="T155" s="470"/>
      <c r="U155" s="473">
        <f>Table51013454[[#This Row],[العدد]]*Table51013454[[#This Row],[السعر الافرادي]]</f>
        <v>0</v>
      </c>
      <c r="V155" s="474">
        <f>Table51013454[[#This Row],[الكمية]]-Table51013454[[#This Row],[العدد]]</f>
        <v>0</v>
      </c>
      <c r="W155" s="470">
        <f>Table51013454[[#This Row],[سعر/الحبة]]</f>
        <v>0</v>
      </c>
      <c r="X155" s="470">
        <f>Table51013454[[#This Row],[الإجمالي]]-Table51013454[[#This Row],[إجمالي المستبعد]]</f>
        <v>0</v>
      </c>
      <c r="Y155" s="481"/>
      <c r="Z155" s="467"/>
      <c r="AA155" s="466"/>
      <c r="AB155" s="475" t="s">
        <v>1544</v>
      </c>
      <c r="AC155" s="475" t="str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الشراء-الاستلام]]&lt;DATE(2017,1,1),O155-AB155,0))</f>
        <v/>
      </c>
      <c r="AD155" s="479" t="str">
        <f>IF(OR(Table51013454[[#This Row],[تاريخ الشراء-الاستلام]]="",Table51013454[[#This Row],[الإجمالي]]="",Table51013454[[#This Row],[العمر الافتراضي]]=""),"",IF(AND(AB155&lt;X155,AC155&gt;(X155*Y155),DATE(2016,12,31)&gt;J155),X155*Y155,IF(AND(AB155&lt;X155,DATE(2017,12,31)&gt;J155,AC155&gt;(X155*Y155)),(DATE(2017,12,31)-J155)/((100%/Y155)*365)*X155,IF(AND(AB155&lt;X155,DATE(2017,12,31)&gt;J155,AC155=0),(DATE(2017,12,31)-J155)/((100%/Y155)*365)*X155,IF(AND(AB155&lt;X155,DATE(2017,12,31)&gt;J155,AC155&lt;(X155*Y155)),AC155,0)))))</f>
        <v/>
      </c>
      <c r="AE155" s="475" t="str">
        <f>IF(OR(Table51013454[[#This Row],[تاريخ الشراء-الاستلام]]="",Table51013454[[#This Row],[الإجمالي]]="",Table51013454[[#This Row],[العمر الافتراضي]]=""),"",AB155+AD155)</f>
        <v/>
      </c>
      <c r="AF155" s="476" t="str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الشراء-الاستلام]]&gt;DATE(2017,12,31),0,X155-AE155))</f>
        <v/>
      </c>
    </row>
    <row r="156" spans="1:32" ht="77.25" hidden="1">
      <c r="A156" s="442" t="str">
        <f>IF(B156="","",SUBTOTAL(3,$B$6:B156))</f>
        <v/>
      </c>
      <c r="B156" s="443"/>
      <c r="C156" s="444"/>
      <c r="D156" s="443"/>
      <c r="E156" s="443"/>
      <c r="F156" s="466"/>
      <c r="G156" s="445"/>
      <c r="H156" s="445"/>
      <c r="I156" s="443"/>
      <c r="J156" s="486"/>
      <c r="K156" s="486"/>
      <c r="L156" s="442"/>
      <c r="M156" s="443"/>
      <c r="N156" s="447"/>
      <c r="O156" s="447">
        <f>N156*L156</f>
        <v>0</v>
      </c>
      <c r="P156" s="494"/>
      <c r="Q156" s="495"/>
      <c r="R156" s="495"/>
      <c r="S156" s="495"/>
      <c r="T156" s="495"/>
      <c r="U156" s="496">
        <f>Table51013454[[#This Row],[العدد]]*Table51013454[[#This Row],[السعر الافرادي]]</f>
        <v>0</v>
      </c>
      <c r="V156" s="447">
        <f>Table51013454[[#This Row],[الكمية]]-Table51013454[[#This Row],[العدد]]</f>
        <v>0</v>
      </c>
      <c r="W156" s="447">
        <f>Table51013454[[#This Row],[سعر/الحبة]]</f>
        <v>0</v>
      </c>
      <c r="X156" s="447">
        <f>Table51013454[[#This Row],[الإجمالي]]-Table51013454[[#This Row],[إجمالي المستبعد]]</f>
        <v>0</v>
      </c>
      <c r="Y156" s="457"/>
      <c r="Z156" s="445"/>
      <c r="AA156" s="443"/>
      <c r="AB156" s="453">
        <v>4338</v>
      </c>
      <c r="AC156" s="453" t="str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الشراء-الاستلام]]&lt;DATE(2017,1,1),O156-AB156,0))</f>
        <v/>
      </c>
      <c r="AD156" s="454" t="str">
        <f>IF(OR(Table51013454[[#This Row],[تاريخ الشراء-الاستلام]]="",Table51013454[[#This Row],[الإجمالي]]="",Table51013454[[#This Row],[العمر الافتراضي]]=""),"",IF(AND(AB156&lt;X156,AC156&gt;(X156*Y156),DATE(2016,12,31)&gt;J156),X156*Y156,IF(AND(AB156&lt;X156,DATE(2017,12,31)&gt;J156,AC156&gt;(X156*Y156)),(DATE(2017,12,31)-J156)/((100%/Y156)*365)*X156,IF(AND(AB156&lt;X156,DATE(2017,12,31)&gt;J156,AC156=0),(DATE(2017,12,31)-J156)/((100%/Y156)*365)*X156,IF(AND(AB156&lt;X156,DATE(2017,12,31)&gt;J156,AC156&lt;(X156*Y156)),AC156,0)))))</f>
        <v/>
      </c>
      <c r="AE156" s="453" t="str">
        <f>IF(OR(Table51013454[[#This Row],[تاريخ الشراء-الاستلام]]="",Table51013454[[#This Row],[الإجمالي]]="",Table51013454[[#This Row],[العمر الافتراضي]]=""),"",AB156+AD156)</f>
        <v/>
      </c>
      <c r="AF156" s="455" t="str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الشراء-الاستلام]]&gt;DATE(2017,12,31),0,X156-AE156))</f>
        <v/>
      </c>
    </row>
    <row r="157" spans="1:32" ht="77.25" hidden="1">
      <c r="A157" s="442" t="str">
        <f>IF(B157="","",SUBTOTAL(3,$B$6:B157))</f>
        <v/>
      </c>
      <c r="B157" s="443"/>
      <c r="C157" s="444"/>
      <c r="D157" s="443"/>
      <c r="E157" s="443"/>
      <c r="F157" s="497"/>
      <c r="G157" s="445"/>
      <c r="H157" s="445"/>
      <c r="I157" s="443"/>
      <c r="J157" s="486"/>
      <c r="K157" s="486"/>
      <c r="L157" s="442"/>
      <c r="M157" s="443"/>
      <c r="N157" s="447"/>
      <c r="O157" s="447">
        <f>N157*L157</f>
        <v>0</v>
      </c>
      <c r="P157" s="494"/>
      <c r="Q157" s="495"/>
      <c r="R157" s="495"/>
      <c r="S157" s="495"/>
      <c r="T157" s="495"/>
      <c r="U157" s="496">
        <f>Table51013454[[#This Row],[العدد]]*Table51013454[[#This Row],[السعر الافرادي]]</f>
        <v>0</v>
      </c>
      <c r="V157" s="447">
        <f>Table51013454[[#This Row],[الكمية]]-Table51013454[[#This Row],[العدد]]</f>
        <v>0</v>
      </c>
      <c r="W157" s="447">
        <f>Table51013454[[#This Row],[سعر/الحبة]]</f>
        <v>0</v>
      </c>
      <c r="X157" s="447">
        <f>Table51013454[[#This Row],[الإجمالي]]-Table51013454[[#This Row],[إجمالي المستبعد]]</f>
        <v>0</v>
      </c>
      <c r="Y157" s="457"/>
      <c r="Z157" s="445"/>
      <c r="AA157" s="443"/>
      <c r="AB157" s="453">
        <v>79047</v>
      </c>
      <c r="AC157" s="453" t="str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الشراء-الاستلام]]&lt;DATE(2017,1,1),O157-AB157,0))</f>
        <v/>
      </c>
      <c r="AD157" s="454" t="str">
        <f>IF(OR(Table51013454[[#This Row],[تاريخ الشراء-الاستلام]]="",Table51013454[[#This Row],[الإجمالي]]="",Table51013454[[#This Row],[العمر الافتراضي]]=""),"",IF(AND(AB157&lt;X157,AC157&gt;(X157*Y157),DATE(2016,12,31)&gt;J157),X157*Y157,IF(AND(AB157&lt;X157,DATE(2017,12,31)&gt;J157,AC157&gt;(X157*Y157)),(DATE(2017,12,31)-J157)/((100%/Y157)*365)*X157,IF(AND(AB157&lt;X157,DATE(2017,12,31)&gt;J157,AC157=0),(DATE(2017,12,31)-J157)/((100%/Y157)*365)*X157,IF(AND(AB157&lt;X157,DATE(2017,12,31)&gt;J157,AC157&lt;(X157*Y157)),AC157,0)))))</f>
        <v/>
      </c>
      <c r="AE157" s="453" t="str">
        <f>IF(OR(Table51013454[[#This Row],[تاريخ الشراء-الاستلام]]="",Table51013454[[#This Row],[الإجمالي]]="",Table51013454[[#This Row],[العمر الافتراضي]]=""),"",AB157+AD157)</f>
        <v/>
      </c>
      <c r="AF157" s="455" t="str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الشراء-الاستلام]]&gt;DATE(2017,12,31),0,X157-AE157))</f>
        <v/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M5:M145 M147:M1280 S5" name="Range6"/>
    <protectedRange sqref="Z6:AA1290" name="Range4"/>
    <protectedRange sqref="Y6:Y1290" name="Range3"/>
    <protectedRange sqref="B118:N118 B115:M117 I146 B119:M120 B147:N1290 B6:N114 B121:N145" name="Range2"/>
    <protectedRange sqref="B5:C14 B137:C138" name="Range1"/>
    <protectedRange sqref="N115:N117 N119:N120" name="Range2_1"/>
    <protectedRange sqref="B146:H146" name="Range2_5"/>
    <protectedRange sqref="M146" name="Range6_2"/>
    <protectedRange sqref="J146:N146" name="Range2_6"/>
  </protectedRanges>
  <mergeCells count="3">
    <mergeCell ref="L4:O4"/>
    <mergeCell ref="P4:U4"/>
    <mergeCell ref="V4:X4"/>
  </mergeCells>
  <dataValidations count="4">
    <dataValidation type="list" allowBlank="1" showInputMessage="1" showErrorMessage="1" sqref="G146:H146 H6:H145" xr:uid="{00000000-0002-0000-0300-000000000000}">
      <formula1>المستخدم</formula1>
    </dataValidation>
    <dataValidation type="list" allowBlank="1" showInputMessage="1" showErrorMessage="1" sqref="F146 G6:G145" xr:uid="{00000000-0002-0000-0300-000001000000}">
      <formula1>الإدارة</formula1>
    </dataValidation>
    <dataValidation type="list" allowBlank="1" showInputMessage="1" showErrorMessage="1" sqref="D6:D157" xr:uid="{00000000-0002-0000-0300-000002000000}">
      <formula1>مجموعة_الاصول</formula1>
    </dataValidation>
    <dataValidation type="list" allowBlank="1" showInputMessage="1" showErrorMessage="1" sqref="E6:E157" xr:uid="{00000000-0002-0000-0300-000003000000}">
      <formula1>المشروع</formula1>
    </dataValidation>
  </dataValidations>
  <printOptions horizontalCentered="1"/>
  <pageMargins left="0" right="0" top="0.15748031496062992" bottom="0.15748031496062992" header="0.31496062992125984" footer="0.31496062992125984"/>
  <pageSetup scale="40" orientation="portrait" r:id="rId1"/>
  <colBreaks count="1" manualBreakCount="1">
    <brk id="32" max="156" man="1"/>
  </colBreaks>
  <drawing r:id="rId2"/>
  <legacyDrawing r:id="rId3"/>
  <controls>
    <mc:AlternateContent xmlns:mc="http://schemas.openxmlformats.org/markup-compatibility/2006">
      <mc:Choice Requires="x14">
        <control shapeId="6151" r:id="rId4" name="CommandButton3">
          <controlPr defaultSize="0" autoLine="0" r:id="rId5">
            <anchor moveWithCells="1">
              <from>
                <xdr:col>15847</xdr:col>
                <xdr:colOff>571500</xdr:colOff>
                <xdr:row>0</xdr:row>
                <xdr:rowOff>9525</xdr:rowOff>
              </from>
              <to>
                <xdr:col>15848</xdr:col>
                <xdr:colOff>0</xdr:colOff>
                <xdr:row>0</xdr:row>
                <xdr:rowOff>28575</xdr:rowOff>
              </to>
            </anchor>
          </controlPr>
        </control>
      </mc:Choice>
      <mc:Fallback>
        <control shapeId="6151" r:id="rId4" name="CommandButton3"/>
      </mc:Fallback>
    </mc:AlternateContent>
    <mc:AlternateContent xmlns:mc="http://schemas.openxmlformats.org/markup-compatibility/2006">
      <mc:Choice Requires="x14">
        <control shapeId="6150" r:id="rId6" name="Image4">
          <controlPr defaultSize="0" autoLine="0" r:id="rId7">
            <anchor moveWithCells="1">
              <from>
                <xdr:col>15847</xdr:col>
                <xdr:colOff>390525</xdr:colOff>
                <xdr:row>0</xdr:row>
                <xdr:rowOff>0</xdr:rowOff>
              </from>
              <to>
                <xdr:col>15847</xdr:col>
                <xdr:colOff>447675</xdr:colOff>
                <xdr:row>0</xdr:row>
                <xdr:rowOff>47625</xdr:rowOff>
              </to>
            </anchor>
          </controlPr>
        </control>
      </mc:Choice>
      <mc:Fallback>
        <control shapeId="6150" r:id="rId6" name="Image4"/>
      </mc:Fallback>
    </mc:AlternateContent>
    <mc:AlternateContent xmlns:mc="http://schemas.openxmlformats.org/markup-compatibility/2006">
      <mc:Choice Requires="x14">
        <control shapeId="6149" r:id="rId8" name="Image3">
          <controlPr defaultSize="0" autoLine="0" r:id="rId9">
            <anchor moveWithCells="1">
              <from>
                <xdr:col>16216</xdr:col>
                <xdr:colOff>333375</xdr:colOff>
                <xdr:row>0</xdr:row>
                <xdr:rowOff>0</xdr:rowOff>
              </from>
              <to>
                <xdr:col>16216</xdr:col>
                <xdr:colOff>361950</xdr:colOff>
                <xdr:row>0</xdr:row>
                <xdr:rowOff>19050</xdr:rowOff>
              </to>
            </anchor>
          </controlPr>
        </control>
      </mc:Choice>
      <mc:Fallback>
        <control shapeId="6149" r:id="rId8" name="Image3"/>
      </mc:Fallback>
    </mc:AlternateContent>
    <mc:AlternateContent xmlns:mc="http://schemas.openxmlformats.org/markup-compatibility/2006">
      <mc:Choice Requires="x14">
        <control shapeId="6148" r:id="rId10" name="CommandButton2">
          <controlPr defaultSize="0" autoLine="0" r:id="rId11">
            <anchor moveWithCells="1">
              <from>
                <xdr:col>16216</xdr:col>
                <xdr:colOff>352425</xdr:colOff>
                <xdr:row>0</xdr:row>
                <xdr:rowOff>9525</xdr:rowOff>
              </from>
              <to>
                <xdr:col>16216</xdr:col>
                <xdr:colOff>361950</xdr:colOff>
                <xdr:row>0</xdr:row>
                <xdr:rowOff>19050</xdr:rowOff>
              </to>
            </anchor>
          </controlPr>
        </control>
      </mc:Choice>
      <mc:Fallback>
        <control shapeId="6148" r:id="rId10" name="CommandButton2"/>
      </mc:Fallback>
    </mc:AlternateContent>
    <mc:AlternateContent xmlns:mc="http://schemas.openxmlformats.org/markup-compatibility/2006">
      <mc:Choice Requires="x14">
        <control shapeId="6147" r:id="rId12" name="Image2">
          <controlPr defaultSize="0" autoLine="0" r:id="rId13">
            <anchor moveWithCells="1">
              <from>
                <xdr:col>16216</xdr:col>
                <xdr:colOff>314325</xdr:colOff>
                <xdr:row>0</xdr:row>
                <xdr:rowOff>0</xdr:rowOff>
              </from>
              <to>
                <xdr:col>16216</xdr:col>
                <xdr:colOff>333375</xdr:colOff>
                <xdr:row>0</xdr:row>
                <xdr:rowOff>19050</xdr:rowOff>
              </to>
            </anchor>
          </controlPr>
        </control>
      </mc:Choice>
      <mc:Fallback>
        <control shapeId="6147" r:id="rId12" name="Image2"/>
      </mc:Fallback>
    </mc:AlternateContent>
    <mc:AlternateContent xmlns:mc="http://schemas.openxmlformats.org/markup-compatibility/2006">
      <mc:Choice Requires="x14">
        <control shapeId="6146" r:id="rId14" name="CommandButton1">
          <controlPr defaultSize="0" autoFill="0" autoLine="0" r:id="rId15">
            <anchor moveWithCells="1">
              <from>
                <xdr:col>16217</xdr:col>
                <xdr:colOff>38100</xdr:colOff>
                <xdr:row>0</xdr:row>
                <xdr:rowOff>0</xdr:rowOff>
              </from>
              <to>
                <xdr:col>16217</xdr:col>
                <xdr:colOff>57150</xdr:colOff>
                <xdr:row>0</xdr:row>
                <xdr:rowOff>9525</xdr:rowOff>
              </to>
            </anchor>
          </controlPr>
        </control>
      </mc:Choice>
      <mc:Fallback>
        <control shapeId="6146" r:id="rId14" name="CommandButton1"/>
      </mc:Fallback>
    </mc:AlternateContent>
    <mc:AlternateContent xmlns:mc="http://schemas.openxmlformats.org/markup-compatibility/2006">
      <mc:Choice Requires="x14">
        <control shapeId="6145" r:id="rId16" name="Image1">
          <controlPr defaultSize="0" autoLine="0" r:id="rId13">
            <anchor moveWithCells="1">
              <from>
                <xdr:col>16217</xdr:col>
                <xdr:colOff>9525</xdr:colOff>
                <xdr:row>0</xdr:row>
                <xdr:rowOff>0</xdr:rowOff>
              </from>
              <to>
                <xdr:col>16217</xdr:col>
                <xdr:colOff>28575</xdr:colOff>
                <xdr:row>0</xdr:row>
                <xdr:rowOff>19050</xdr:rowOff>
              </to>
            </anchor>
          </controlPr>
        </control>
      </mc:Choice>
      <mc:Fallback>
        <control shapeId="6145" r:id="rId16" name="Image1"/>
      </mc:Fallback>
    </mc:AlternateContent>
  </controls>
  <tableParts count="1"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L588"/>
  <sheetViews>
    <sheetView rightToLeft="1" view="pageBreakPreview" zoomScale="70" zoomScaleNormal="80" zoomScaleSheetLayoutView="70" workbookViewId="0">
      <pane ySplit="7" topLeftCell="A19" activePane="bottomLeft" state="frozen"/>
      <selection pane="bottomLeft" activeCell="D311" sqref="D311"/>
    </sheetView>
  </sheetViews>
  <sheetFormatPr defaultRowHeight="21"/>
  <cols>
    <col min="1" max="1" width="9" style="386" customWidth="1"/>
    <col min="2" max="2" width="35.85546875" style="379" bestFit="1" customWidth="1"/>
    <col min="3" max="3" width="20.5703125" style="376" customWidth="1"/>
    <col min="4" max="4" width="26.5703125" style="376" customWidth="1"/>
    <col min="5" max="5" width="43.7109375" style="376" bestFit="1" customWidth="1"/>
    <col min="6" max="6" width="22.140625" style="376" bestFit="1" customWidth="1"/>
    <col min="7" max="7" width="29.85546875" style="386" bestFit="1" customWidth="1"/>
    <col min="8" max="8" width="54.5703125" style="376" customWidth="1"/>
    <col min="9" max="9" width="48" style="376" customWidth="1"/>
    <col min="10" max="10" width="20.5703125" style="383" customWidth="1"/>
    <col min="11" max="11" width="20.7109375" style="384" customWidth="1"/>
    <col min="12" max="12" width="21.42578125" style="384" bestFit="1" customWidth="1"/>
    <col min="13" max="13" width="17.42578125" style="381" bestFit="1" customWidth="1"/>
    <col min="14" max="16384" width="9.140625" style="381"/>
  </cols>
  <sheetData>
    <row r="1" spans="1:12" ht="26.25">
      <c r="B1" s="79" t="s">
        <v>902</v>
      </c>
      <c r="C1" s="80" t="s">
        <v>158</v>
      </c>
      <c r="D1" s="626" t="s">
        <v>159</v>
      </c>
      <c r="E1" s="80" t="s">
        <v>160</v>
      </c>
      <c r="H1" s="79" t="s">
        <v>902</v>
      </c>
      <c r="I1" s="80" t="s">
        <v>158</v>
      </c>
      <c r="J1" s="626" t="s">
        <v>159</v>
      </c>
      <c r="K1" s="80" t="s">
        <v>160</v>
      </c>
    </row>
    <row r="2" spans="1:12" ht="24" thickBot="1">
      <c r="B2" s="83" t="s">
        <v>903</v>
      </c>
      <c r="C2" s="648">
        <v>407254.17</v>
      </c>
      <c r="D2" s="649"/>
      <c r="E2" s="86">
        <f>Table21011[[#This Row],[مدين]]</f>
        <v>407254.17</v>
      </c>
      <c r="H2" s="83" t="s">
        <v>903</v>
      </c>
      <c r="I2" s="648">
        <v>407254.17</v>
      </c>
      <c r="J2" s="649"/>
      <c r="K2" s="86">
        <f>Table210[[#This Row],[مدين]]</f>
        <v>407254.17</v>
      </c>
    </row>
    <row r="3" spans="1:12" ht="24" thickBot="1">
      <c r="B3" s="87" t="s">
        <v>904</v>
      </c>
      <c r="C3" s="87">
        <f>SUMIF(Table16[المطابقة],"ok",Table16[المدين (إيداع)])</f>
        <v>4064283</v>
      </c>
      <c r="D3" s="623">
        <f>SUMIF(Table16[المطابقة],"ok",Table16[الدائن (السحب)])</f>
        <v>4618019.17</v>
      </c>
      <c r="E3" s="87">
        <f>E2+Table21011[[#This Row],[مدين]]-Table21011[[#This Row],[دائن]]</f>
        <v>-146482</v>
      </c>
      <c r="H3" s="87" t="s">
        <v>904</v>
      </c>
      <c r="I3" s="87">
        <f>SUBTOTAL(9,Table16[المدين (إيداع)])</f>
        <v>343020</v>
      </c>
      <c r="J3" s="623">
        <f>SUBTOTAL(9,Table16[الدائن (السحب)])</f>
        <v>503083</v>
      </c>
      <c r="K3" s="87">
        <f>K2+Table210[[#This Row],[مدين]]-Table210[[#This Row],[دائن]]</f>
        <v>247191.16999999993</v>
      </c>
    </row>
    <row r="4" spans="1:12" ht="23.25">
      <c r="B4" s="89"/>
      <c r="C4" s="650"/>
      <c r="D4" s="651"/>
      <c r="E4" s="650"/>
      <c r="H4" s="89"/>
      <c r="I4" s="650"/>
      <c r="J4" s="651"/>
      <c r="K4" s="650"/>
    </row>
    <row r="5" spans="1:12" ht="23.25">
      <c r="B5" s="90" t="s">
        <v>905</v>
      </c>
      <c r="C5" s="91">
        <f>SUM(C2:C3)</f>
        <v>4471537.17</v>
      </c>
      <c r="D5" s="91">
        <f>SUM(D2:D3)</f>
        <v>4618019.17</v>
      </c>
      <c r="E5" s="91">
        <f>Table21011[[#This Row],[مدين]]-Table21011[[#This Row],[دائن]]+1800</f>
        <v>-144682</v>
      </c>
      <c r="H5" s="90" t="s">
        <v>905</v>
      </c>
      <c r="I5" s="91">
        <f>SUM(I2:I3)</f>
        <v>750274.16999999993</v>
      </c>
      <c r="J5" s="91">
        <f>SUM(J2:J3)</f>
        <v>503083</v>
      </c>
      <c r="K5" s="91">
        <f>Table210[[#This Row],[مدين]]-Table210[[#This Row],[دائن]]</f>
        <v>247191.16999999993</v>
      </c>
    </row>
    <row r="7" spans="1:12" s="374" customFormat="1" ht="27" customHeight="1">
      <c r="A7" s="676" t="s">
        <v>72</v>
      </c>
      <c r="B7" s="372" t="s">
        <v>151</v>
      </c>
      <c r="C7" s="371" t="s">
        <v>1143</v>
      </c>
      <c r="D7" s="371" t="s">
        <v>153</v>
      </c>
      <c r="E7" s="371" t="s">
        <v>1144</v>
      </c>
      <c r="F7" s="371" t="s">
        <v>1145</v>
      </c>
      <c r="G7" s="385" t="s">
        <v>1146</v>
      </c>
      <c r="H7" s="371" t="s">
        <v>1147</v>
      </c>
      <c r="I7" s="371" t="s">
        <v>157</v>
      </c>
      <c r="J7" s="373" t="s">
        <v>1148</v>
      </c>
      <c r="K7" s="373" t="s">
        <v>1149</v>
      </c>
      <c r="L7" s="374" t="s">
        <v>160</v>
      </c>
    </row>
    <row r="8" spans="1:12" s="374" customFormat="1" ht="27" hidden="1" customHeight="1">
      <c r="A8" s="676">
        <f>SUBTOTAL(3,$E$8:E8)</f>
        <v>0</v>
      </c>
      <c r="B8" s="372"/>
      <c r="C8" s="371" t="s">
        <v>1800</v>
      </c>
      <c r="D8" s="375" t="s">
        <v>42</v>
      </c>
      <c r="E8" s="371" t="s">
        <v>1150</v>
      </c>
      <c r="F8" s="371" t="s">
        <v>1151</v>
      </c>
      <c r="G8" s="676"/>
      <c r="H8" s="376"/>
      <c r="I8" s="376" t="s">
        <v>1876</v>
      </c>
      <c r="J8" s="377"/>
      <c r="K8" s="378"/>
      <c r="L8" s="653">
        <v>407254.17</v>
      </c>
    </row>
    <row r="9" spans="1:12" ht="27" hidden="1" customHeight="1">
      <c r="A9" s="676">
        <f>SUBTOTAL(3,$E$8:E9)</f>
        <v>0</v>
      </c>
      <c r="B9" s="379">
        <v>42736</v>
      </c>
      <c r="C9" s="376" t="s">
        <v>1800</v>
      </c>
      <c r="D9" s="375" t="s">
        <v>2039</v>
      </c>
      <c r="E9" s="376" t="s">
        <v>1152</v>
      </c>
      <c r="F9" s="376" t="s">
        <v>1152</v>
      </c>
      <c r="G9" s="678"/>
      <c r="H9" s="376" t="s">
        <v>1153</v>
      </c>
      <c r="I9" s="376" t="s">
        <v>1899</v>
      </c>
      <c r="J9" s="377">
        <v>50001</v>
      </c>
      <c r="K9" s="378"/>
      <c r="L9" s="380">
        <f>L8+Table16[[#This Row],[المدين (إيداع)]]-Table16[[#This Row],[الدائن (السحب)]]</f>
        <v>457255.17</v>
      </c>
    </row>
    <row r="10" spans="1:12" ht="27" hidden="1" customHeight="1">
      <c r="A10" s="676">
        <f>SUBTOTAL(3,$E$8:E10)</f>
        <v>0</v>
      </c>
      <c r="B10" s="379">
        <v>42737</v>
      </c>
      <c r="D10" s="375" t="s">
        <v>2102</v>
      </c>
      <c r="E10" s="376" t="s">
        <v>1152</v>
      </c>
      <c r="F10" s="376" t="s">
        <v>1152</v>
      </c>
      <c r="G10" s="678"/>
      <c r="H10" s="376" t="s">
        <v>1155</v>
      </c>
      <c r="I10" s="376" t="s">
        <v>2087</v>
      </c>
      <c r="J10" s="377">
        <v>30000</v>
      </c>
      <c r="K10" s="378"/>
      <c r="L10" s="380">
        <f>L9+Table16[[#This Row],[المدين (إيداع)]]-Table16[[#This Row],[الدائن (السحب)]]</f>
        <v>487255.17</v>
      </c>
    </row>
    <row r="11" spans="1:12" ht="27" hidden="1" customHeight="1">
      <c r="A11" s="676">
        <f>SUBTOTAL(3,$E$8:E11)</f>
        <v>0</v>
      </c>
      <c r="B11" s="379">
        <v>42737</v>
      </c>
      <c r="C11" s="376" t="s">
        <v>1800</v>
      </c>
      <c r="D11" s="375" t="s">
        <v>1930</v>
      </c>
      <c r="E11" s="376" t="s">
        <v>1156</v>
      </c>
      <c r="F11" s="376" t="s">
        <v>1157</v>
      </c>
      <c r="G11" s="678"/>
      <c r="H11" s="376" t="s">
        <v>1158</v>
      </c>
      <c r="I11" s="376" t="s">
        <v>1157</v>
      </c>
      <c r="J11" s="377"/>
      <c r="K11" s="378">
        <v>25</v>
      </c>
      <c r="L11" s="380">
        <f>L10+Table16[[#This Row],[المدين (إيداع)]]-Table16[[#This Row],[الدائن (السحب)]]</f>
        <v>487230.17</v>
      </c>
    </row>
    <row r="12" spans="1:12" ht="27" hidden="1" customHeight="1">
      <c r="A12" s="676">
        <f>SUBTOTAL(3,$E$8:E12)</f>
        <v>0</v>
      </c>
      <c r="B12" s="379">
        <v>42739</v>
      </c>
      <c r="C12" s="376" t="s">
        <v>1800</v>
      </c>
      <c r="D12" s="375" t="s">
        <v>1159</v>
      </c>
      <c r="E12" s="376" t="s">
        <v>1160</v>
      </c>
      <c r="F12" s="376" t="s">
        <v>1161</v>
      </c>
      <c r="G12" s="678"/>
      <c r="H12" s="376" t="s">
        <v>1162</v>
      </c>
      <c r="I12" s="376" t="s">
        <v>1163</v>
      </c>
      <c r="J12" s="652">
        <v>900</v>
      </c>
      <c r="K12" s="378"/>
      <c r="L12" s="380">
        <f>L11+Table16[[#This Row],[المدين (إيداع)]]-Table16[[#This Row],[الدائن (السحب)]]</f>
        <v>488130.17</v>
      </c>
    </row>
    <row r="13" spans="1:12" ht="27" hidden="1" customHeight="1">
      <c r="A13" s="676">
        <f>SUBTOTAL(3,$E$8:E13)</f>
        <v>0</v>
      </c>
      <c r="B13" s="379">
        <v>42740</v>
      </c>
      <c r="C13" s="376" t="s">
        <v>1800</v>
      </c>
      <c r="D13" s="375" t="s">
        <v>2039</v>
      </c>
      <c r="E13" s="376" t="s">
        <v>1164</v>
      </c>
      <c r="F13" s="376" t="s">
        <v>1165</v>
      </c>
      <c r="G13" s="678">
        <v>5810</v>
      </c>
      <c r="H13" s="376" t="s">
        <v>1900</v>
      </c>
      <c r="I13" s="376" t="s">
        <v>1899</v>
      </c>
      <c r="J13" s="377">
        <v>2400</v>
      </c>
      <c r="K13" s="378"/>
      <c r="L13" s="380">
        <f>L12+Table16[[#This Row],[المدين (إيداع)]]-Table16[[#This Row],[الدائن (السحب)]]</f>
        <v>490530.17</v>
      </c>
    </row>
    <row r="14" spans="1:12" ht="27" hidden="1" customHeight="1">
      <c r="A14" s="676">
        <f>SUBTOTAL(3,$E$8:E14)</f>
        <v>0</v>
      </c>
      <c r="B14" s="379">
        <v>42740</v>
      </c>
      <c r="C14" s="376" t="s">
        <v>1800</v>
      </c>
      <c r="D14" s="375" t="s">
        <v>2039</v>
      </c>
      <c r="E14" s="376" t="s">
        <v>1164</v>
      </c>
      <c r="F14" s="376" t="s">
        <v>1165</v>
      </c>
      <c r="G14" s="678">
        <v>1790</v>
      </c>
      <c r="H14" s="376" t="s">
        <v>1153</v>
      </c>
      <c r="I14" s="376" t="s">
        <v>1899</v>
      </c>
      <c r="J14" s="377">
        <v>1800</v>
      </c>
      <c r="K14" s="378"/>
      <c r="L14" s="380">
        <f>L13+Table16[[#This Row],[المدين (إيداع)]]-Table16[[#This Row],[الدائن (السحب)]]</f>
        <v>492330.17</v>
      </c>
    </row>
    <row r="15" spans="1:12" ht="27" hidden="1" customHeight="1">
      <c r="A15" s="676">
        <f>SUBTOTAL(3,$E$8:E15)</f>
        <v>0</v>
      </c>
      <c r="B15" s="379">
        <v>42740</v>
      </c>
      <c r="C15" s="376" t="s">
        <v>1800</v>
      </c>
      <c r="D15" s="375" t="s">
        <v>2039</v>
      </c>
      <c r="E15" s="376" t="s">
        <v>1164</v>
      </c>
      <c r="F15" s="376" t="s">
        <v>1165</v>
      </c>
      <c r="G15" s="678">
        <v>106</v>
      </c>
      <c r="H15" s="376" t="s">
        <v>1153</v>
      </c>
      <c r="I15" s="376" t="s">
        <v>1899</v>
      </c>
      <c r="J15" s="377">
        <v>1000</v>
      </c>
      <c r="K15" s="378"/>
      <c r="L15" s="380">
        <f>L14+Table16[[#This Row],[المدين (إيداع)]]-Table16[[#This Row],[الدائن (السحب)]]</f>
        <v>493330.17</v>
      </c>
    </row>
    <row r="16" spans="1:12" ht="27" hidden="1" customHeight="1">
      <c r="A16" s="676">
        <f>SUBTOTAL(3,$E$8:E16)</f>
        <v>0</v>
      </c>
      <c r="B16" s="379">
        <v>42740</v>
      </c>
      <c r="C16" s="376" t="s">
        <v>1800</v>
      </c>
      <c r="D16" s="375" t="s">
        <v>2039</v>
      </c>
      <c r="E16" s="376" t="s">
        <v>1164</v>
      </c>
      <c r="F16" s="376" t="s">
        <v>1165</v>
      </c>
      <c r="G16" s="678">
        <v>76216</v>
      </c>
      <c r="H16" s="376" t="s">
        <v>1904</v>
      </c>
      <c r="I16" s="376" t="s">
        <v>1899</v>
      </c>
      <c r="J16" s="377">
        <v>1500</v>
      </c>
      <c r="K16" s="378"/>
      <c r="L16" s="380">
        <f>L15+Table16[[#This Row],[المدين (إيداع)]]-Table16[[#This Row],[الدائن (السحب)]]</f>
        <v>494830.17</v>
      </c>
    </row>
    <row r="17" spans="1:12" ht="27" hidden="1" customHeight="1">
      <c r="A17" s="676">
        <f>SUBTOTAL(3,$E$8:E17)</f>
        <v>0</v>
      </c>
      <c r="B17" s="379">
        <v>42740</v>
      </c>
      <c r="C17" s="376" t="s">
        <v>1800</v>
      </c>
      <c r="D17" s="375" t="s">
        <v>2039</v>
      </c>
      <c r="E17" s="376" t="s">
        <v>1164</v>
      </c>
      <c r="F17" s="376" t="s">
        <v>1165</v>
      </c>
      <c r="G17" s="678">
        <v>66518101</v>
      </c>
      <c r="H17" s="376" t="s">
        <v>1870</v>
      </c>
      <c r="I17" s="376" t="s">
        <v>1899</v>
      </c>
      <c r="J17" s="377">
        <v>25600</v>
      </c>
      <c r="K17" s="378"/>
      <c r="L17" s="380">
        <f>L16+Table16[[#This Row],[المدين (إيداع)]]-Table16[[#This Row],[الدائن (السحب)]]</f>
        <v>520430.17</v>
      </c>
    </row>
    <row r="18" spans="1:12" ht="27" hidden="1" customHeight="1">
      <c r="A18" s="676">
        <f>SUBTOTAL(3,$E$8:E18)</f>
        <v>0</v>
      </c>
      <c r="B18" s="379">
        <v>42740</v>
      </c>
      <c r="C18" s="376" t="s">
        <v>1800</v>
      </c>
      <c r="D18" s="375" t="s">
        <v>2039</v>
      </c>
      <c r="E18" s="376" t="s">
        <v>1164</v>
      </c>
      <c r="F18" s="376" t="s">
        <v>1165</v>
      </c>
      <c r="G18" s="678">
        <v>550</v>
      </c>
      <c r="H18" s="376" t="s">
        <v>1901</v>
      </c>
      <c r="I18" s="376" t="s">
        <v>1899</v>
      </c>
      <c r="J18" s="377">
        <v>3600</v>
      </c>
      <c r="K18" s="378"/>
      <c r="L18" s="380">
        <f>L17+Table16[[#This Row],[المدين (إيداع)]]-Table16[[#This Row],[الدائن (السحب)]]</f>
        <v>524030.17</v>
      </c>
    </row>
    <row r="19" spans="1:12" ht="27" customHeight="1">
      <c r="A19" s="676">
        <f>SUBTOTAL(3,$E$8:E19)</f>
        <v>1</v>
      </c>
      <c r="B19" s="379">
        <v>42740</v>
      </c>
      <c r="D19" s="375"/>
      <c r="E19" s="376" t="s">
        <v>1160</v>
      </c>
      <c r="F19" s="376" t="s">
        <v>1161</v>
      </c>
      <c r="G19" s="678"/>
      <c r="H19" s="376" t="s">
        <v>1166</v>
      </c>
      <c r="I19" s="376" t="s">
        <v>1212</v>
      </c>
      <c r="J19" s="377">
        <v>570</v>
      </c>
      <c r="K19" s="378"/>
      <c r="L19" s="380">
        <f>L18+Table16[[#This Row],[المدين (إيداع)]]-Table16[[#This Row],[الدائن (السحب)]]</f>
        <v>524600.16999999993</v>
      </c>
    </row>
    <row r="20" spans="1:12" ht="27" customHeight="1">
      <c r="A20" s="676">
        <f>SUBTOTAL(3,$E$8:E20)</f>
        <v>2</v>
      </c>
      <c r="B20" s="379">
        <v>42744</v>
      </c>
      <c r="D20" s="375"/>
      <c r="E20" s="376" t="s">
        <v>1160</v>
      </c>
      <c r="F20" s="376" t="s">
        <v>1161</v>
      </c>
      <c r="G20" s="678"/>
      <c r="H20" s="376" t="s">
        <v>1167</v>
      </c>
      <c r="I20" s="376" t="s">
        <v>1212</v>
      </c>
      <c r="J20" s="377">
        <v>400</v>
      </c>
      <c r="K20" s="378"/>
      <c r="L20" s="380">
        <f>L19+Table16[[#This Row],[المدين (إيداع)]]-Table16[[#This Row],[الدائن (السحب)]]</f>
        <v>525000.16999999993</v>
      </c>
    </row>
    <row r="21" spans="1:12" ht="27" hidden="1" customHeight="1">
      <c r="A21" s="676">
        <f>SUBTOTAL(3,$E$8:E21)</f>
        <v>2</v>
      </c>
      <c r="B21" s="379">
        <v>42745</v>
      </c>
      <c r="C21" s="376" t="s">
        <v>1800</v>
      </c>
      <c r="D21" s="375" t="s">
        <v>1168</v>
      </c>
      <c r="E21" s="376" t="s">
        <v>1169</v>
      </c>
      <c r="F21" s="376" t="s">
        <v>1169</v>
      </c>
      <c r="G21" s="678">
        <v>269</v>
      </c>
      <c r="H21" s="376" t="s">
        <v>1170</v>
      </c>
      <c r="J21" s="377"/>
      <c r="K21" s="378">
        <v>100000</v>
      </c>
      <c r="L21" s="380">
        <f>L20+Table16[[#This Row],[المدين (إيداع)]]-Table16[[#This Row],[الدائن (السحب)]]</f>
        <v>425000.16999999993</v>
      </c>
    </row>
    <row r="22" spans="1:12" ht="27" customHeight="1">
      <c r="A22" s="676">
        <f>SUBTOTAL(3,$E$8:E22)</f>
        <v>3</v>
      </c>
      <c r="B22" s="379">
        <v>42746</v>
      </c>
      <c r="D22" s="375"/>
      <c r="E22" s="376" t="s">
        <v>1160</v>
      </c>
      <c r="F22" s="376" t="s">
        <v>1161</v>
      </c>
      <c r="G22" s="678"/>
      <c r="H22" s="376" t="s">
        <v>1171</v>
      </c>
      <c r="I22" s="376" t="s">
        <v>1212</v>
      </c>
      <c r="J22" s="377">
        <v>600</v>
      </c>
      <c r="K22" s="378"/>
      <c r="L22" s="380">
        <f>L21+Table16[[#This Row],[المدين (إيداع)]]-Table16[[#This Row],[الدائن (السحب)]]</f>
        <v>425600.16999999993</v>
      </c>
    </row>
    <row r="23" spans="1:12" ht="27" hidden="1" customHeight="1">
      <c r="A23" s="676">
        <f>SUBTOTAL(3,$E$8:E23)</f>
        <v>3</v>
      </c>
      <c r="B23" s="379">
        <v>42746</v>
      </c>
      <c r="C23" s="376" t="s">
        <v>1800</v>
      </c>
      <c r="D23" s="375" t="s">
        <v>1710</v>
      </c>
      <c r="E23" s="376" t="s">
        <v>1254</v>
      </c>
      <c r="F23" s="376" t="s">
        <v>1161</v>
      </c>
      <c r="G23" s="678"/>
      <c r="H23" s="376" t="s">
        <v>1172</v>
      </c>
      <c r="I23" s="376" t="s">
        <v>1711</v>
      </c>
      <c r="J23" s="377">
        <v>3200</v>
      </c>
      <c r="K23" s="378"/>
      <c r="L23" s="380">
        <f>L22+Table16[[#This Row],[المدين (إيداع)]]-Table16[[#This Row],[الدائن (السحب)]]</f>
        <v>428800.16999999993</v>
      </c>
    </row>
    <row r="24" spans="1:12" ht="27" hidden="1" customHeight="1">
      <c r="A24" s="676">
        <f>SUBTOTAL(3,$E$8:E24)</f>
        <v>3</v>
      </c>
      <c r="B24" s="379">
        <v>42746</v>
      </c>
      <c r="C24" s="376" t="s">
        <v>1800</v>
      </c>
      <c r="D24" s="375" t="s">
        <v>1173</v>
      </c>
      <c r="E24" s="376" t="s">
        <v>1160</v>
      </c>
      <c r="F24" s="376" t="s">
        <v>1161</v>
      </c>
      <c r="G24" s="678"/>
      <c r="H24" s="376" t="s">
        <v>1174</v>
      </c>
      <c r="I24" s="376" t="s">
        <v>1175</v>
      </c>
      <c r="J24" s="377">
        <v>6000</v>
      </c>
      <c r="K24" s="378"/>
      <c r="L24" s="380">
        <f>L23+Table16[[#This Row],[المدين (إيداع)]]-Table16[[#This Row],[الدائن (السحب)]]</f>
        <v>434800.16999999993</v>
      </c>
    </row>
    <row r="25" spans="1:12" ht="27" hidden="1" customHeight="1">
      <c r="A25" s="676">
        <f>SUBTOTAL(3,$E$8:E25)</f>
        <v>3</v>
      </c>
      <c r="B25" s="379">
        <v>42747</v>
      </c>
      <c r="C25" s="376" t="s">
        <v>1800</v>
      </c>
      <c r="D25" s="375" t="s">
        <v>1159</v>
      </c>
      <c r="E25" s="376" t="s">
        <v>1160</v>
      </c>
      <c r="F25" s="376" t="s">
        <v>1161</v>
      </c>
      <c r="G25" s="678"/>
      <c r="H25" s="382" t="s">
        <v>1176</v>
      </c>
      <c r="I25" s="382" t="s">
        <v>1163</v>
      </c>
      <c r="J25" s="652">
        <v>1500</v>
      </c>
      <c r="K25" s="378"/>
      <c r="L25" s="380">
        <f>L24+Table16[[#This Row],[المدين (إيداع)]]-Table16[[#This Row],[الدائن (السحب)]]</f>
        <v>436300.16999999993</v>
      </c>
    </row>
    <row r="26" spans="1:12" ht="27" hidden="1" customHeight="1">
      <c r="A26" s="676">
        <f>SUBTOTAL(3,$E$8:E26)</f>
        <v>3</v>
      </c>
      <c r="B26" s="379">
        <v>42747</v>
      </c>
      <c r="C26" s="376" t="s">
        <v>1800</v>
      </c>
      <c r="D26" s="375" t="s">
        <v>1159</v>
      </c>
      <c r="E26" s="376" t="s">
        <v>1160</v>
      </c>
      <c r="F26" s="376" t="s">
        <v>1161</v>
      </c>
      <c r="G26" s="678"/>
      <c r="H26" s="376" t="s">
        <v>1176</v>
      </c>
      <c r="I26" s="376" t="s">
        <v>1163</v>
      </c>
      <c r="J26" s="652">
        <v>3500</v>
      </c>
      <c r="K26" s="378"/>
      <c r="L26" s="380">
        <f>L25+Table16[[#This Row],[المدين (إيداع)]]-Table16[[#This Row],[الدائن (السحب)]]</f>
        <v>439800.16999999993</v>
      </c>
    </row>
    <row r="27" spans="1:12" ht="27" hidden="1" customHeight="1">
      <c r="A27" s="676">
        <f>SUBTOTAL(3,$E$8:E27)</f>
        <v>3</v>
      </c>
      <c r="B27" s="379">
        <v>42747</v>
      </c>
      <c r="C27" s="376" t="s">
        <v>1800</v>
      </c>
      <c r="D27" s="375" t="s">
        <v>1159</v>
      </c>
      <c r="E27" s="376" t="s">
        <v>1160</v>
      </c>
      <c r="F27" s="376" t="s">
        <v>1161</v>
      </c>
      <c r="G27" s="678"/>
      <c r="H27" s="376" t="s">
        <v>1177</v>
      </c>
      <c r="I27" s="376" t="s">
        <v>1163</v>
      </c>
      <c r="J27" s="652">
        <v>900</v>
      </c>
      <c r="K27" s="378"/>
      <c r="L27" s="380">
        <f>L26+Table16[[#This Row],[المدين (إيداع)]]-Table16[[#This Row],[الدائن (السحب)]]</f>
        <v>440700.16999999993</v>
      </c>
    </row>
    <row r="28" spans="1:12" ht="27" hidden="1" customHeight="1">
      <c r="A28" s="676">
        <f>SUBTOTAL(3,$E$8:E28)</f>
        <v>3</v>
      </c>
      <c r="B28" s="379">
        <v>42750</v>
      </c>
      <c r="C28" s="376" t="s">
        <v>1800</v>
      </c>
      <c r="D28" s="375" t="s">
        <v>1159</v>
      </c>
      <c r="E28" s="376" t="s">
        <v>1160</v>
      </c>
      <c r="F28" s="376" t="s">
        <v>1161</v>
      </c>
      <c r="G28" s="678"/>
      <c r="H28" s="376" t="s">
        <v>1177</v>
      </c>
      <c r="I28" s="376" t="s">
        <v>1163</v>
      </c>
      <c r="J28" s="652">
        <v>10200</v>
      </c>
      <c r="K28" s="378"/>
      <c r="L28" s="380">
        <f>L27+Table16[[#This Row],[المدين (إيداع)]]-Table16[[#This Row],[الدائن (السحب)]]</f>
        <v>450900.16999999993</v>
      </c>
    </row>
    <row r="29" spans="1:12" ht="27" hidden="1" customHeight="1">
      <c r="A29" s="676">
        <f>SUBTOTAL(3,$E$8:E29)</f>
        <v>3</v>
      </c>
      <c r="B29" s="379">
        <v>42750</v>
      </c>
      <c r="C29" s="376" t="s">
        <v>1800</v>
      </c>
      <c r="D29" s="375" t="s">
        <v>1930</v>
      </c>
      <c r="E29" s="376" t="s">
        <v>1160</v>
      </c>
      <c r="F29" s="376" t="s">
        <v>1178</v>
      </c>
      <c r="G29" s="678"/>
      <c r="H29" s="376" t="s">
        <v>1179</v>
      </c>
      <c r="I29" s="376" t="s">
        <v>1180</v>
      </c>
      <c r="J29" s="377"/>
      <c r="K29" s="378">
        <v>16200</v>
      </c>
      <c r="L29" s="380">
        <f>L28+Table16[[#This Row],[المدين (إيداع)]]-Table16[[#This Row],[الدائن (السحب)]]</f>
        <v>434700.16999999993</v>
      </c>
    </row>
    <row r="30" spans="1:12" ht="27" hidden="1" customHeight="1">
      <c r="A30" s="676">
        <f>SUBTOTAL(3,$E$8:E30)</f>
        <v>3</v>
      </c>
      <c r="B30" s="379">
        <v>42750</v>
      </c>
      <c r="C30" s="376" t="s">
        <v>1800</v>
      </c>
      <c r="D30" s="375" t="s">
        <v>1930</v>
      </c>
      <c r="E30" s="376" t="s">
        <v>1160</v>
      </c>
      <c r="F30" s="376" t="s">
        <v>1178</v>
      </c>
      <c r="G30" s="678"/>
      <c r="H30" s="376" t="s">
        <v>1179</v>
      </c>
      <c r="I30" s="376" t="s">
        <v>1180</v>
      </c>
      <c r="J30" s="377"/>
      <c r="K30" s="378">
        <v>18725</v>
      </c>
      <c r="L30" s="380">
        <f>L29+Table16[[#This Row],[المدين (إيداع)]]-Table16[[#This Row],[الدائن (السحب)]]</f>
        <v>415975.16999999993</v>
      </c>
    </row>
    <row r="31" spans="1:12" ht="27" hidden="1" customHeight="1">
      <c r="A31" s="676">
        <f>SUBTOTAL(3,$E$8:E31)</f>
        <v>3</v>
      </c>
      <c r="B31" s="379">
        <v>42750</v>
      </c>
      <c r="C31" s="376" t="s">
        <v>1800</v>
      </c>
      <c r="D31" s="375" t="s">
        <v>2003</v>
      </c>
      <c r="E31" s="376" t="s">
        <v>1243</v>
      </c>
      <c r="F31" s="376" t="s">
        <v>1161</v>
      </c>
      <c r="G31" s="678"/>
      <c r="H31" s="376" t="s">
        <v>1181</v>
      </c>
      <c r="I31" s="376" t="s">
        <v>1182</v>
      </c>
      <c r="J31" s="377">
        <v>55250</v>
      </c>
      <c r="K31" s="378"/>
      <c r="L31" s="380">
        <f>L30+Table16[[#This Row],[المدين (إيداع)]]-Table16[[#This Row],[الدائن (السحب)]]</f>
        <v>471225.16999999993</v>
      </c>
    </row>
    <row r="32" spans="1:12" ht="27" hidden="1" customHeight="1">
      <c r="A32" s="676">
        <f>SUBTOTAL(3,$E$8:E32)</f>
        <v>3</v>
      </c>
      <c r="B32" s="379">
        <v>42750</v>
      </c>
      <c r="C32" s="376" t="s">
        <v>1800</v>
      </c>
      <c r="D32" s="375" t="s">
        <v>2003</v>
      </c>
      <c r="E32" s="376" t="s">
        <v>1243</v>
      </c>
      <c r="F32" s="376" t="s">
        <v>1161</v>
      </c>
      <c r="G32" s="678"/>
      <c r="H32" s="376" t="s">
        <v>1181</v>
      </c>
      <c r="I32" s="376" t="s">
        <v>1182</v>
      </c>
      <c r="J32" s="377">
        <v>48000</v>
      </c>
      <c r="K32" s="378"/>
      <c r="L32" s="380">
        <f>L31+Table16[[#This Row],[المدين (إيداع)]]-Table16[[#This Row],[الدائن (السحب)]]</f>
        <v>519225.16999999993</v>
      </c>
    </row>
    <row r="33" spans="1:12" ht="27" hidden="1" customHeight="1">
      <c r="A33" s="676">
        <f>SUBTOTAL(3,$E$8:E33)</f>
        <v>3</v>
      </c>
      <c r="B33" s="379">
        <v>42752</v>
      </c>
      <c r="C33" s="376" t="s">
        <v>1800</v>
      </c>
      <c r="D33" s="375" t="s">
        <v>1159</v>
      </c>
      <c r="E33" s="376" t="s">
        <v>1160</v>
      </c>
      <c r="F33" s="376" t="s">
        <v>1161</v>
      </c>
      <c r="G33" s="678"/>
      <c r="H33" s="376" t="s">
        <v>1183</v>
      </c>
      <c r="I33" s="376" t="s">
        <v>1163</v>
      </c>
      <c r="J33" s="652">
        <v>900</v>
      </c>
      <c r="K33" s="378"/>
      <c r="L33" s="380">
        <f>L32+Table16[[#This Row],[المدين (إيداع)]]-Table16[[#This Row],[الدائن (السحب)]]</f>
        <v>520125.16999999993</v>
      </c>
    </row>
    <row r="34" spans="1:12" ht="27" hidden="1" customHeight="1">
      <c r="A34" s="676">
        <f>SUBTOTAL(3,$E$8:E34)</f>
        <v>3</v>
      </c>
      <c r="B34" s="379">
        <v>42753</v>
      </c>
      <c r="C34" s="376" t="s">
        <v>1800</v>
      </c>
      <c r="D34" s="375" t="s">
        <v>2024</v>
      </c>
      <c r="E34" s="376" t="s">
        <v>1160</v>
      </c>
      <c r="F34" s="376" t="s">
        <v>1161</v>
      </c>
      <c r="G34" s="678"/>
      <c r="H34" s="376" t="s">
        <v>1184</v>
      </c>
      <c r="I34" s="376" t="s">
        <v>1212</v>
      </c>
      <c r="J34" s="377">
        <v>350</v>
      </c>
      <c r="K34" s="378"/>
      <c r="L34" s="380">
        <f>L33+Table16[[#This Row],[المدين (إيداع)]]-Table16[[#This Row],[الدائن (السحب)]]</f>
        <v>520475.16999999993</v>
      </c>
    </row>
    <row r="35" spans="1:12" ht="27" hidden="1" customHeight="1">
      <c r="A35" s="676">
        <f>SUBTOTAL(3,$E$8:E35)</f>
        <v>3</v>
      </c>
      <c r="B35" s="379">
        <v>42754</v>
      </c>
      <c r="C35" s="376" t="s">
        <v>1800</v>
      </c>
      <c r="D35" s="375" t="s">
        <v>2039</v>
      </c>
      <c r="E35" s="376" t="s">
        <v>1164</v>
      </c>
      <c r="F35" s="376" t="s">
        <v>1165</v>
      </c>
      <c r="G35" s="678">
        <v>274</v>
      </c>
      <c r="H35" s="376" t="s">
        <v>1185</v>
      </c>
      <c r="I35" s="376" t="s">
        <v>1899</v>
      </c>
      <c r="J35" s="377">
        <v>4760</v>
      </c>
      <c r="K35" s="378"/>
      <c r="L35" s="380">
        <f>L34+Table16[[#This Row],[المدين (إيداع)]]-Table16[[#This Row],[الدائن (السحب)]]</f>
        <v>525235.16999999993</v>
      </c>
    </row>
    <row r="36" spans="1:12" ht="27" hidden="1" customHeight="1">
      <c r="A36" s="676">
        <f>SUBTOTAL(3,$E$8:E36)</f>
        <v>3</v>
      </c>
      <c r="B36" s="379">
        <v>42754</v>
      </c>
      <c r="C36" s="376" t="s">
        <v>1800</v>
      </c>
      <c r="D36" s="375" t="s">
        <v>2039</v>
      </c>
      <c r="E36" s="376" t="s">
        <v>1164</v>
      </c>
      <c r="F36" s="376" t="s">
        <v>1165</v>
      </c>
      <c r="G36" s="678">
        <v>2699</v>
      </c>
      <c r="H36" s="376" t="s">
        <v>1903</v>
      </c>
      <c r="I36" s="376" t="s">
        <v>1899</v>
      </c>
      <c r="J36" s="377">
        <v>4800</v>
      </c>
      <c r="K36" s="378"/>
      <c r="L36" s="380">
        <f>L35+Table16[[#This Row],[المدين (إيداع)]]-Table16[[#This Row],[الدائن (السحب)]]</f>
        <v>530035.16999999993</v>
      </c>
    </row>
    <row r="37" spans="1:12" ht="27" hidden="1" customHeight="1">
      <c r="A37" s="676">
        <f>SUBTOTAL(3,$E$8:E37)</f>
        <v>3</v>
      </c>
      <c r="B37" s="379">
        <v>42754</v>
      </c>
      <c r="C37" s="376" t="s">
        <v>1800</v>
      </c>
      <c r="D37" s="375" t="s">
        <v>1159</v>
      </c>
      <c r="E37" s="376" t="s">
        <v>1164</v>
      </c>
      <c r="F37" s="376" t="s">
        <v>1165</v>
      </c>
      <c r="G37" s="678">
        <v>5362</v>
      </c>
      <c r="H37" s="376" t="s">
        <v>1185</v>
      </c>
      <c r="I37" s="376" t="s">
        <v>1163</v>
      </c>
      <c r="J37" s="652">
        <v>1500</v>
      </c>
      <c r="K37" s="378"/>
      <c r="L37" s="380">
        <f>L36+Table16[[#This Row],[المدين (إيداع)]]-Table16[[#This Row],[الدائن (السحب)]]</f>
        <v>531535.16999999993</v>
      </c>
    </row>
    <row r="38" spans="1:12" ht="27" hidden="1" customHeight="1">
      <c r="A38" s="676">
        <f>SUBTOTAL(3,$E$8:E38)</f>
        <v>3</v>
      </c>
      <c r="B38" s="379">
        <v>42754</v>
      </c>
      <c r="C38" s="376" t="s">
        <v>1800</v>
      </c>
      <c r="D38" s="375" t="s">
        <v>2039</v>
      </c>
      <c r="E38" s="376" t="s">
        <v>1164</v>
      </c>
      <c r="F38" s="376" t="s">
        <v>1165</v>
      </c>
      <c r="G38" s="678">
        <v>7673</v>
      </c>
      <c r="H38" s="376" t="s">
        <v>1902</v>
      </c>
      <c r="I38" s="376" t="s">
        <v>1899</v>
      </c>
      <c r="J38" s="377">
        <v>2100</v>
      </c>
      <c r="K38" s="378"/>
      <c r="L38" s="380">
        <f>L37+Table16[[#This Row],[المدين (إيداع)]]-Table16[[#This Row],[الدائن (السحب)]]</f>
        <v>533635.16999999993</v>
      </c>
    </row>
    <row r="39" spans="1:12" ht="27" hidden="1" customHeight="1">
      <c r="A39" s="676">
        <f>SUBTOTAL(3,$E$8:E39)</f>
        <v>3</v>
      </c>
      <c r="B39" s="379">
        <v>42754</v>
      </c>
      <c r="C39" s="376" t="s">
        <v>1800</v>
      </c>
      <c r="D39" s="375" t="s">
        <v>1159</v>
      </c>
      <c r="E39" s="376" t="s">
        <v>1164</v>
      </c>
      <c r="F39" s="376" t="s">
        <v>1165</v>
      </c>
      <c r="G39" s="678">
        <v>76409</v>
      </c>
      <c r="H39" s="376" t="s">
        <v>1185</v>
      </c>
      <c r="I39" s="376" t="s">
        <v>1163</v>
      </c>
      <c r="J39" s="652">
        <v>1200</v>
      </c>
      <c r="K39" s="378"/>
      <c r="L39" s="380">
        <f>L38+Table16[[#This Row],[المدين (إيداع)]]-Table16[[#This Row],[الدائن (السحب)]]</f>
        <v>534835.16999999993</v>
      </c>
    </row>
    <row r="40" spans="1:12" ht="27" hidden="1" customHeight="1">
      <c r="A40" s="676">
        <f>SUBTOTAL(3,$E$8:E40)</f>
        <v>3</v>
      </c>
      <c r="B40" s="379">
        <v>42754</v>
      </c>
      <c r="C40" s="376" t="s">
        <v>1800</v>
      </c>
      <c r="D40" s="375" t="s">
        <v>1159</v>
      </c>
      <c r="E40" s="376" t="s">
        <v>1164</v>
      </c>
      <c r="F40" s="376" t="s">
        <v>1165</v>
      </c>
      <c r="G40" s="678">
        <v>76410</v>
      </c>
      <c r="H40" s="376" t="s">
        <v>1185</v>
      </c>
      <c r="I40" s="376" t="s">
        <v>1163</v>
      </c>
      <c r="J40" s="652">
        <v>1200</v>
      </c>
      <c r="K40" s="378"/>
      <c r="L40" s="380">
        <f>L39+Table16[[#This Row],[المدين (إيداع)]]-Table16[[#This Row],[الدائن (السحب)]]</f>
        <v>536035.16999999993</v>
      </c>
    </row>
    <row r="41" spans="1:12" ht="27" hidden="1" customHeight="1">
      <c r="A41" s="676">
        <f>SUBTOTAL(3,$E$8:E41)</f>
        <v>3</v>
      </c>
      <c r="B41" s="379">
        <v>42754</v>
      </c>
      <c r="C41" s="376" t="s">
        <v>1800</v>
      </c>
      <c r="D41" s="375" t="s">
        <v>1186</v>
      </c>
      <c r="E41" s="376" t="s">
        <v>1164</v>
      </c>
      <c r="F41" s="376" t="s">
        <v>1165</v>
      </c>
      <c r="G41" s="678">
        <v>340</v>
      </c>
      <c r="H41" s="376" t="s">
        <v>1185</v>
      </c>
      <c r="I41" s="376" t="s">
        <v>1154</v>
      </c>
      <c r="J41" s="377">
        <v>6000</v>
      </c>
      <c r="K41" s="378"/>
      <c r="L41" s="380">
        <f>L40+Table16[[#This Row],[المدين (إيداع)]]-Table16[[#This Row],[الدائن (السحب)]]</f>
        <v>542035.16999999993</v>
      </c>
    </row>
    <row r="42" spans="1:12" ht="27" customHeight="1">
      <c r="A42" s="676">
        <f>SUBTOTAL(3,$E$8:E42)</f>
        <v>4</v>
      </c>
      <c r="B42" s="379">
        <v>42754</v>
      </c>
      <c r="D42" s="375"/>
      <c r="E42" s="376" t="s">
        <v>1164</v>
      </c>
      <c r="F42" s="376" t="s">
        <v>1165</v>
      </c>
      <c r="G42" s="678">
        <v>4342</v>
      </c>
      <c r="H42" s="376" t="s">
        <v>1185</v>
      </c>
      <c r="J42" s="377">
        <v>900</v>
      </c>
      <c r="K42" s="378"/>
      <c r="L42" s="380">
        <f>L41+Table16[[#This Row],[المدين (إيداع)]]-Table16[[#This Row],[الدائن (السحب)]]</f>
        <v>542935.16999999993</v>
      </c>
    </row>
    <row r="43" spans="1:12" ht="27" hidden="1" customHeight="1">
      <c r="A43" s="676">
        <f>SUBTOTAL(3,$E$8:E43)</f>
        <v>4</v>
      </c>
      <c r="B43" s="379">
        <v>42755</v>
      </c>
      <c r="C43" s="376" t="s">
        <v>1800</v>
      </c>
      <c r="D43" s="375" t="s">
        <v>2055</v>
      </c>
      <c r="E43" s="376" t="s">
        <v>1160</v>
      </c>
      <c r="F43" s="376" t="s">
        <v>1161</v>
      </c>
      <c r="G43" s="678"/>
      <c r="H43" s="376" t="s">
        <v>1187</v>
      </c>
      <c r="I43" s="376" t="s">
        <v>1212</v>
      </c>
      <c r="J43" s="377">
        <v>855</v>
      </c>
      <c r="K43" s="378"/>
      <c r="L43" s="380">
        <f>L42+Table16[[#This Row],[المدين (إيداع)]]-Table16[[#This Row],[الدائن (السحب)]]</f>
        <v>543790.16999999993</v>
      </c>
    </row>
    <row r="44" spans="1:12" ht="27" hidden="1" customHeight="1">
      <c r="A44" s="676">
        <f>SUBTOTAL(3,$E$8:E44)</f>
        <v>4</v>
      </c>
      <c r="B44" s="379">
        <v>42759</v>
      </c>
      <c r="C44" s="376" t="s">
        <v>1800</v>
      </c>
      <c r="D44" s="375" t="s">
        <v>1186</v>
      </c>
      <c r="E44" s="376" t="s">
        <v>1254</v>
      </c>
      <c r="F44" s="376" t="s">
        <v>1161</v>
      </c>
      <c r="G44" s="678"/>
      <c r="H44" s="376" t="s">
        <v>1172</v>
      </c>
      <c r="I44" s="376" t="s">
        <v>1154</v>
      </c>
      <c r="J44" s="377">
        <v>1000</v>
      </c>
      <c r="K44" s="378"/>
      <c r="L44" s="380">
        <f>L43+Table16[[#This Row],[المدين (إيداع)]]-Table16[[#This Row],[الدائن (السحب)]]</f>
        <v>544790.16999999993</v>
      </c>
    </row>
    <row r="45" spans="1:12" ht="27" hidden="1" customHeight="1">
      <c r="A45" s="676">
        <f>SUBTOTAL(3,$E$8:E45)</f>
        <v>4</v>
      </c>
      <c r="B45" s="379">
        <v>42759</v>
      </c>
      <c r="C45" s="376" t="s">
        <v>1800</v>
      </c>
      <c r="D45" s="375" t="s">
        <v>1173</v>
      </c>
      <c r="E45" s="376" t="s">
        <v>1160</v>
      </c>
      <c r="F45" s="376" t="s">
        <v>1161</v>
      </c>
      <c r="G45" s="678"/>
      <c r="H45" s="376" t="s">
        <v>1801</v>
      </c>
      <c r="I45" s="376" t="s">
        <v>1175</v>
      </c>
      <c r="J45" s="377">
        <v>5400</v>
      </c>
      <c r="K45" s="378"/>
      <c r="L45" s="380">
        <f>L44+Table16[[#This Row],[المدين (إيداع)]]-Table16[[#This Row],[الدائن (السحب)]]</f>
        <v>550190.16999999993</v>
      </c>
    </row>
    <row r="46" spans="1:12" ht="27" hidden="1" customHeight="1">
      <c r="A46" s="676">
        <f>SUBTOTAL(3,$E$8:E46)</f>
        <v>4</v>
      </c>
      <c r="B46" s="379">
        <v>42760</v>
      </c>
      <c r="C46" s="376" t="s">
        <v>1800</v>
      </c>
      <c r="D46" s="375" t="s">
        <v>1188</v>
      </c>
      <c r="E46" s="376" t="s">
        <v>1152</v>
      </c>
      <c r="F46" s="376" t="s">
        <v>1152</v>
      </c>
      <c r="G46" s="678"/>
      <c r="H46" s="376" t="s">
        <v>1189</v>
      </c>
      <c r="I46" s="376" t="s">
        <v>1190</v>
      </c>
      <c r="J46" s="377">
        <v>97000</v>
      </c>
      <c r="K46" s="378"/>
      <c r="L46" s="380">
        <f>L45+Table16[[#This Row],[المدين (إيداع)]]-Table16[[#This Row],[الدائن (السحب)]]</f>
        <v>647190.16999999993</v>
      </c>
    </row>
    <row r="47" spans="1:12" ht="27" hidden="1" customHeight="1">
      <c r="A47" s="676">
        <f>SUBTOTAL(3,$E$8:E47)</f>
        <v>4</v>
      </c>
      <c r="B47" s="379">
        <v>42760</v>
      </c>
      <c r="C47" s="376" t="s">
        <v>1800</v>
      </c>
      <c r="D47" s="375" t="s">
        <v>1173</v>
      </c>
      <c r="E47" s="376" t="s">
        <v>1160</v>
      </c>
      <c r="F47" s="376" t="s">
        <v>1161</v>
      </c>
      <c r="G47" s="678">
        <v>91523</v>
      </c>
      <c r="H47" s="376" t="s">
        <v>1802</v>
      </c>
      <c r="I47" s="376" t="s">
        <v>1175</v>
      </c>
      <c r="J47" s="377">
        <v>2400</v>
      </c>
      <c r="K47" s="378"/>
      <c r="L47" s="380">
        <f>L46+Table16[[#This Row],[المدين (إيداع)]]-Table16[[#This Row],[الدائن (السحب)]]</f>
        <v>649590.16999999993</v>
      </c>
    </row>
    <row r="48" spans="1:12" ht="27" hidden="1" customHeight="1">
      <c r="A48" s="676">
        <f>SUBTOTAL(3,$E$8:E48)</f>
        <v>4</v>
      </c>
      <c r="B48" s="379">
        <v>42760</v>
      </c>
      <c r="C48" s="376" t="s">
        <v>1800</v>
      </c>
      <c r="D48" s="375" t="s">
        <v>2041</v>
      </c>
      <c r="E48" s="376" t="s">
        <v>1243</v>
      </c>
      <c r="F48" s="376" t="s">
        <v>1161</v>
      </c>
      <c r="G48" s="678"/>
      <c r="H48" s="376" t="s">
        <v>1181</v>
      </c>
      <c r="I48" s="376" t="s">
        <v>1182</v>
      </c>
      <c r="J48" s="377">
        <v>5300</v>
      </c>
      <c r="K48" s="378"/>
      <c r="L48" s="380">
        <f>L47+Table16[[#This Row],[المدين (إيداع)]]-Table16[[#This Row],[الدائن (السحب)]]</f>
        <v>654890.16999999993</v>
      </c>
    </row>
    <row r="49" spans="1:12" ht="27" hidden="1" customHeight="1">
      <c r="A49" s="676">
        <f>SUBTOTAL(3,$E$8:E49)</f>
        <v>4</v>
      </c>
      <c r="B49" s="379">
        <v>42760</v>
      </c>
      <c r="C49" s="376" t="s">
        <v>1800</v>
      </c>
      <c r="D49" s="375" t="s">
        <v>1159</v>
      </c>
      <c r="E49" s="376" t="s">
        <v>1160</v>
      </c>
      <c r="F49" s="376" t="s">
        <v>1161</v>
      </c>
      <c r="G49" s="678">
        <v>91652</v>
      </c>
      <c r="H49" s="376" t="s">
        <v>1161</v>
      </c>
      <c r="I49" s="376" t="s">
        <v>1163</v>
      </c>
      <c r="J49" s="652">
        <v>980</v>
      </c>
      <c r="K49" s="378"/>
      <c r="L49" s="380">
        <f>L48+Table16[[#This Row],[المدين (إيداع)]]-Table16[[#This Row],[الدائن (السحب)]]</f>
        <v>655870.16999999993</v>
      </c>
    </row>
    <row r="50" spans="1:12" ht="27" hidden="1" customHeight="1">
      <c r="A50" s="676">
        <f>SUBTOTAL(3,$E$8:E50)</f>
        <v>4</v>
      </c>
      <c r="B50" s="379">
        <v>42761</v>
      </c>
      <c r="C50" s="376" t="s">
        <v>1800</v>
      </c>
      <c r="D50" s="375" t="s">
        <v>1191</v>
      </c>
      <c r="E50" s="376" t="s">
        <v>1169</v>
      </c>
      <c r="F50" s="376" t="s">
        <v>1169</v>
      </c>
      <c r="G50" s="678">
        <v>401</v>
      </c>
      <c r="H50" s="376" t="s">
        <v>1192</v>
      </c>
      <c r="I50" s="376" t="s">
        <v>1192</v>
      </c>
      <c r="J50" s="377"/>
      <c r="K50" s="378">
        <v>30000</v>
      </c>
      <c r="L50" s="380">
        <f>L49+Table16[[#This Row],[المدين (إيداع)]]-Table16[[#This Row],[الدائن (السحب)]]</f>
        <v>625870.16999999993</v>
      </c>
    </row>
    <row r="51" spans="1:12" ht="27" hidden="1" customHeight="1">
      <c r="A51" s="676">
        <f>SUBTOTAL(3,$E$8:E51)</f>
        <v>4</v>
      </c>
      <c r="B51" s="379">
        <v>42761</v>
      </c>
      <c r="C51" s="376" t="s">
        <v>1800</v>
      </c>
      <c r="D51" s="375" t="s">
        <v>1930</v>
      </c>
      <c r="E51" s="376" t="s">
        <v>1156</v>
      </c>
      <c r="F51" s="376" t="s">
        <v>1157</v>
      </c>
      <c r="G51" s="678"/>
      <c r="H51" s="376" t="s">
        <v>1158</v>
      </c>
      <c r="I51" s="376" t="s">
        <v>1157</v>
      </c>
      <c r="J51" s="377"/>
      <c r="K51" s="378">
        <v>25</v>
      </c>
      <c r="L51" s="380">
        <f>L50+Table16[[#This Row],[المدين (إيداع)]]-Table16[[#This Row],[الدائن (السحب)]]</f>
        <v>625845.16999999993</v>
      </c>
    </row>
    <row r="52" spans="1:12" ht="27" customHeight="1">
      <c r="A52" s="676">
        <f>SUBTOTAL(3,$E$8:E52)</f>
        <v>5</v>
      </c>
      <c r="B52" s="379">
        <v>42761</v>
      </c>
      <c r="D52" s="375"/>
      <c r="E52" s="376" t="s">
        <v>1160</v>
      </c>
      <c r="F52" s="376" t="s">
        <v>1161</v>
      </c>
      <c r="G52" s="678"/>
      <c r="H52" s="376" t="s">
        <v>1193</v>
      </c>
      <c r="I52" s="376" t="s">
        <v>1193</v>
      </c>
      <c r="J52" s="377">
        <v>250</v>
      </c>
      <c r="K52" s="378"/>
      <c r="L52" s="380">
        <f>L51+Table16[[#This Row],[المدين (إيداع)]]-Table16[[#This Row],[الدائن (السحب)]]</f>
        <v>626095.16999999993</v>
      </c>
    </row>
    <row r="53" spans="1:12" ht="27" hidden="1" customHeight="1">
      <c r="A53" s="676">
        <f>SUBTOTAL(3,$E$8:E53)</f>
        <v>5</v>
      </c>
      <c r="B53" s="379">
        <v>42763</v>
      </c>
      <c r="C53" s="376" t="s">
        <v>1800</v>
      </c>
      <c r="D53" s="375" t="s">
        <v>2024</v>
      </c>
      <c r="E53" s="376" t="s">
        <v>1160</v>
      </c>
      <c r="F53" s="376" t="s">
        <v>1161</v>
      </c>
      <c r="G53" s="678"/>
      <c r="H53" s="376" t="s">
        <v>1194</v>
      </c>
      <c r="I53" s="376" t="s">
        <v>1212</v>
      </c>
      <c r="J53" s="377">
        <v>350</v>
      </c>
      <c r="K53" s="378"/>
      <c r="L53" s="380">
        <f>L52+Table16[[#This Row],[المدين (إيداع)]]-Table16[[#This Row],[الدائن (السحب)]]</f>
        <v>626445.16999999993</v>
      </c>
    </row>
    <row r="54" spans="1:12" ht="27" hidden="1" customHeight="1">
      <c r="A54" s="676">
        <f>SUBTOTAL(3,$E$8:E54)</f>
        <v>5</v>
      </c>
      <c r="B54" s="379">
        <v>42764</v>
      </c>
      <c r="C54" s="376" t="s">
        <v>1800</v>
      </c>
      <c r="D54" s="375" t="s">
        <v>1710</v>
      </c>
      <c r="E54" s="376" t="s">
        <v>1195</v>
      </c>
      <c r="F54" s="376" t="s">
        <v>1161</v>
      </c>
      <c r="G54" s="678"/>
      <c r="H54" s="376" t="s">
        <v>1196</v>
      </c>
      <c r="I54" s="376" t="s">
        <v>1711</v>
      </c>
      <c r="J54" s="377">
        <v>3200</v>
      </c>
      <c r="K54" s="378"/>
      <c r="L54" s="380">
        <f>L53+Table16[[#This Row],[المدين (إيداع)]]-Table16[[#This Row],[الدائن (السحب)]]</f>
        <v>629645.16999999993</v>
      </c>
    </row>
    <row r="55" spans="1:12" ht="27" hidden="1" customHeight="1">
      <c r="A55" s="676">
        <f>SUBTOTAL(3,$E$8:E55)</f>
        <v>5</v>
      </c>
      <c r="B55" s="379">
        <v>42764</v>
      </c>
      <c r="C55" s="376" t="s">
        <v>1800</v>
      </c>
      <c r="D55" s="375" t="s">
        <v>1173</v>
      </c>
      <c r="E55" s="376" t="s">
        <v>1160</v>
      </c>
      <c r="F55" s="376" t="s">
        <v>1161</v>
      </c>
      <c r="G55" s="678"/>
      <c r="H55" s="376" t="s">
        <v>1197</v>
      </c>
      <c r="I55" s="376" t="s">
        <v>1175</v>
      </c>
      <c r="J55" s="377">
        <v>2400</v>
      </c>
      <c r="K55" s="378"/>
      <c r="L55" s="380">
        <f>L54+Table16[[#This Row],[المدين (إيداع)]]-Table16[[#This Row],[الدائن (السحب)]]</f>
        <v>632045.16999999993</v>
      </c>
    </row>
    <row r="56" spans="1:12" ht="27" hidden="1" customHeight="1">
      <c r="A56" s="676">
        <f>SUBTOTAL(3,$E$8:E56)</f>
        <v>5</v>
      </c>
      <c r="B56" s="379">
        <v>42765</v>
      </c>
      <c r="C56" s="376" t="s">
        <v>1800</v>
      </c>
      <c r="D56" s="375" t="s">
        <v>1198</v>
      </c>
      <c r="E56" s="376" t="s">
        <v>1160</v>
      </c>
      <c r="F56" s="376" t="s">
        <v>1161</v>
      </c>
      <c r="G56" s="678"/>
      <c r="H56" s="376" t="s">
        <v>1199</v>
      </c>
      <c r="I56" s="376" t="s">
        <v>1163</v>
      </c>
      <c r="J56" s="377">
        <v>1800</v>
      </c>
      <c r="K56" s="378"/>
      <c r="L56" s="380">
        <f>L55+Table16[[#This Row],[المدين (إيداع)]]-Table16[[#This Row],[الدائن (السحب)]]</f>
        <v>633845.16999999993</v>
      </c>
    </row>
    <row r="57" spans="1:12" ht="27" hidden="1" customHeight="1">
      <c r="A57" s="676">
        <f>SUBTOTAL(3,$E$8:E57)</f>
        <v>5</v>
      </c>
      <c r="B57" s="379">
        <v>42765</v>
      </c>
      <c r="C57" s="376" t="s">
        <v>1800</v>
      </c>
      <c r="D57" s="375" t="s">
        <v>2060</v>
      </c>
      <c r="E57" s="376" t="s">
        <v>1160</v>
      </c>
      <c r="F57" s="376" t="s">
        <v>1161</v>
      </c>
      <c r="G57" s="678"/>
      <c r="H57" s="376" t="s">
        <v>1200</v>
      </c>
      <c r="I57" s="376" t="s">
        <v>1200</v>
      </c>
      <c r="J57" s="377">
        <v>3200</v>
      </c>
      <c r="K57" s="378"/>
      <c r="L57" s="380">
        <f>L56+Table16[[#This Row],[المدين (إيداع)]]-Table16[[#This Row],[الدائن (السحب)]]</f>
        <v>637045.16999999993</v>
      </c>
    </row>
    <row r="58" spans="1:12" ht="27" hidden="1" customHeight="1">
      <c r="A58" s="676">
        <f>SUBTOTAL(3,$E$8:E58)</f>
        <v>5</v>
      </c>
      <c r="B58" s="379">
        <v>42765</v>
      </c>
      <c r="C58" s="376" t="s">
        <v>1811</v>
      </c>
      <c r="D58" s="375" t="s">
        <v>2024</v>
      </c>
      <c r="E58" s="376" t="s">
        <v>1160</v>
      </c>
      <c r="F58" s="376" t="s">
        <v>1161</v>
      </c>
      <c r="G58" s="678"/>
      <c r="H58" s="376" t="s">
        <v>1201</v>
      </c>
      <c r="I58" s="376" t="s">
        <v>1212</v>
      </c>
      <c r="J58" s="377">
        <v>700</v>
      </c>
      <c r="K58" s="378"/>
      <c r="L58" s="380">
        <f>L57+Table16[[#This Row],[المدين (إيداع)]]-Table16[[#This Row],[الدائن (السحب)]]</f>
        <v>637745.16999999993</v>
      </c>
    </row>
    <row r="59" spans="1:12" ht="27" hidden="1" customHeight="1">
      <c r="A59" s="676">
        <f>SUBTOTAL(3,$E$8:E59)</f>
        <v>5</v>
      </c>
      <c r="B59" s="379">
        <v>42766</v>
      </c>
      <c r="D59" s="375" t="s">
        <v>2062</v>
      </c>
      <c r="E59" s="376" t="s">
        <v>1164</v>
      </c>
      <c r="F59" s="376" t="s">
        <v>1165</v>
      </c>
      <c r="G59" s="678">
        <v>277</v>
      </c>
      <c r="H59" s="376" t="s">
        <v>2031</v>
      </c>
      <c r="I59" s="376" t="s">
        <v>2025</v>
      </c>
      <c r="J59" s="377">
        <v>7280</v>
      </c>
      <c r="K59" s="378"/>
      <c r="L59" s="380">
        <f>L58+Table16[[#This Row],[المدين (إيداع)]]-Table16[[#This Row],[الدائن (السحب)]]</f>
        <v>645025.16999999993</v>
      </c>
    </row>
    <row r="60" spans="1:12" ht="27" hidden="1" customHeight="1">
      <c r="A60" s="676">
        <f>SUBTOTAL(3,$E$8:E60)</f>
        <v>5</v>
      </c>
      <c r="B60" s="379">
        <v>42766</v>
      </c>
      <c r="C60" s="376" t="s">
        <v>1800</v>
      </c>
      <c r="D60" s="375" t="s">
        <v>1159</v>
      </c>
      <c r="E60" s="376" t="s">
        <v>1164</v>
      </c>
      <c r="F60" s="376" t="s">
        <v>1165</v>
      </c>
      <c r="G60" s="678">
        <v>7</v>
      </c>
      <c r="H60" s="376" t="s">
        <v>1185</v>
      </c>
      <c r="I60" s="376" t="s">
        <v>1163</v>
      </c>
      <c r="J60" s="652">
        <v>7000</v>
      </c>
      <c r="K60" s="378"/>
      <c r="L60" s="380">
        <f>L59+Table16[[#This Row],[المدين (إيداع)]]-Table16[[#This Row],[الدائن (السحب)]]</f>
        <v>652025.16999999993</v>
      </c>
    </row>
    <row r="61" spans="1:12" ht="27" hidden="1" customHeight="1">
      <c r="A61" s="676">
        <f>SUBTOTAL(3,$E$8:E61)</f>
        <v>5</v>
      </c>
      <c r="B61" s="379">
        <v>42766</v>
      </c>
      <c r="C61" s="376" t="s">
        <v>1800</v>
      </c>
      <c r="D61" s="375" t="s">
        <v>2039</v>
      </c>
      <c r="E61" s="376" t="s">
        <v>1164</v>
      </c>
      <c r="F61" s="376" t="s">
        <v>1165</v>
      </c>
      <c r="G61" s="678">
        <v>13</v>
      </c>
      <c r="H61" s="376" t="s">
        <v>1185</v>
      </c>
      <c r="I61" s="376" t="s">
        <v>1899</v>
      </c>
      <c r="J61" s="377">
        <v>6000</v>
      </c>
      <c r="K61" s="378"/>
      <c r="L61" s="380">
        <f>L60+Table16[[#This Row],[المدين (إيداع)]]-Table16[[#This Row],[الدائن (السحب)]]</f>
        <v>658025.16999999993</v>
      </c>
    </row>
    <row r="62" spans="1:12" ht="27" hidden="1" customHeight="1">
      <c r="A62" s="676">
        <f>SUBTOTAL(3,$E$8:E62)</f>
        <v>5</v>
      </c>
      <c r="B62" s="379">
        <v>42766</v>
      </c>
      <c r="D62" s="375" t="s">
        <v>66</v>
      </c>
      <c r="E62" s="376" t="s">
        <v>1164</v>
      </c>
      <c r="F62" s="376" t="s">
        <v>1165</v>
      </c>
      <c r="G62" s="678">
        <v>91</v>
      </c>
      <c r="H62" s="376" t="s">
        <v>2052</v>
      </c>
      <c r="J62" s="377">
        <v>41610</v>
      </c>
      <c r="K62" s="378"/>
      <c r="L62" s="380">
        <f>L61+Table16[[#This Row],[المدين (إيداع)]]-Table16[[#This Row],[الدائن (السحب)]]</f>
        <v>699635.16999999993</v>
      </c>
    </row>
    <row r="63" spans="1:12" ht="27" hidden="1" customHeight="1">
      <c r="A63" s="676">
        <f>SUBTOTAL(3,$E$8:E63)</f>
        <v>5</v>
      </c>
      <c r="B63" s="379">
        <v>42766</v>
      </c>
      <c r="C63" s="376" t="s">
        <v>1800</v>
      </c>
      <c r="D63" s="375" t="s">
        <v>1930</v>
      </c>
      <c r="E63" s="376" t="s">
        <v>1156</v>
      </c>
      <c r="F63" s="376" t="s">
        <v>1157</v>
      </c>
      <c r="G63" s="678"/>
      <c r="H63" s="376" t="s">
        <v>1158</v>
      </c>
      <c r="I63" s="376" t="s">
        <v>1157</v>
      </c>
      <c r="J63" s="377"/>
      <c r="K63" s="378">
        <v>30</v>
      </c>
      <c r="L63" s="380">
        <f>L62+Table16[[#This Row],[المدين (إيداع)]]-Table16[[#This Row],[الدائن (السحب)]]</f>
        <v>699605.16999999993</v>
      </c>
    </row>
    <row r="64" spans="1:12" ht="27" hidden="1" customHeight="1">
      <c r="A64" s="676">
        <f>SUBTOTAL(3,$E$8:E64)</f>
        <v>5</v>
      </c>
      <c r="B64" s="379">
        <v>42768</v>
      </c>
      <c r="C64" s="376" t="s">
        <v>1800</v>
      </c>
      <c r="D64" s="375" t="s">
        <v>1186</v>
      </c>
      <c r="E64" s="376" t="s">
        <v>1152</v>
      </c>
      <c r="F64" s="376" t="s">
        <v>1152</v>
      </c>
      <c r="G64" s="678"/>
      <c r="H64" s="376" t="s">
        <v>1153</v>
      </c>
      <c r="I64" s="376" t="s">
        <v>1154</v>
      </c>
      <c r="J64" s="377">
        <v>49246</v>
      </c>
      <c r="K64" s="378"/>
      <c r="L64" s="380">
        <f>L63+Table16[[#This Row],[المدين (إيداع)]]-Table16[[#This Row],[الدائن (السحب)]]</f>
        <v>748851.16999999993</v>
      </c>
    </row>
    <row r="65" spans="1:12" ht="23.25" hidden="1">
      <c r="A65" s="676">
        <f>SUBTOTAL(3,$E$8:E65)</f>
        <v>5</v>
      </c>
      <c r="B65" s="379">
        <v>42768</v>
      </c>
      <c r="C65" s="376" t="s">
        <v>1800</v>
      </c>
      <c r="D65" s="375" t="s">
        <v>2060</v>
      </c>
      <c r="E65" s="376" t="s">
        <v>1160</v>
      </c>
      <c r="F65" s="376" t="s">
        <v>1161</v>
      </c>
      <c r="G65" s="678"/>
      <c r="H65" s="376" t="s">
        <v>1202</v>
      </c>
      <c r="I65" s="376" t="s">
        <v>1202</v>
      </c>
      <c r="J65" s="377">
        <v>350</v>
      </c>
      <c r="K65" s="378"/>
      <c r="L65" s="380">
        <f>L64+Table16[[#This Row],[المدين (إيداع)]]-Table16[[#This Row],[الدائن (السحب)]]</f>
        <v>749201.16999999993</v>
      </c>
    </row>
    <row r="66" spans="1:12" ht="23.25" hidden="1">
      <c r="A66" s="676">
        <f>SUBTOTAL(3,$E$8:E66)</f>
        <v>5</v>
      </c>
      <c r="B66" s="379">
        <v>42768</v>
      </c>
      <c r="C66" s="376" t="s">
        <v>1800</v>
      </c>
      <c r="D66" s="375" t="s">
        <v>1952</v>
      </c>
      <c r="E66" s="376" t="s">
        <v>1203</v>
      </c>
      <c r="F66" s="376" t="s">
        <v>1152</v>
      </c>
      <c r="G66" s="678"/>
      <c r="H66" s="376" t="s">
        <v>1950</v>
      </c>
      <c r="I66" s="376" t="s">
        <v>1205</v>
      </c>
      <c r="J66" s="377">
        <v>19000</v>
      </c>
      <c r="K66" s="378"/>
      <c r="L66" s="380">
        <f>L65+Table16[[#This Row],[المدين (إيداع)]]-Table16[[#This Row],[الدائن (السحب)]]</f>
        <v>768201.16999999993</v>
      </c>
    </row>
    <row r="67" spans="1:12" ht="23.25" hidden="1">
      <c r="A67" s="676">
        <f>SUBTOTAL(3,$E$8:E67)</f>
        <v>5</v>
      </c>
      <c r="B67" s="379">
        <v>42771</v>
      </c>
      <c r="C67" s="376" t="s">
        <v>1800</v>
      </c>
      <c r="D67" s="375" t="s">
        <v>1168</v>
      </c>
      <c r="E67" s="376" t="s">
        <v>1169</v>
      </c>
      <c r="F67" s="376" t="s">
        <v>1169</v>
      </c>
      <c r="G67" s="678">
        <v>402</v>
      </c>
      <c r="H67" s="376" t="s">
        <v>992</v>
      </c>
      <c r="I67" s="376" t="s">
        <v>1206</v>
      </c>
      <c r="J67" s="377"/>
      <c r="K67" s="378">
        <v>100000</v>
      </c>
      <c r="L67" s="380">
        <f>L66+Table16[[#This Row],[المدين (إيداع)]]-Table16[[#This Row],[الدائن (السحب)]]</f>
        <v>668201.16999999993</v>
      </c>
    </row>
    <row r="68" spans="1:12" ht="23.25" hidden="1">
      <c r="A68" s="676">
        <f>SUBTOTAL(3,$E$8:E68)</f>
        <v>5</v>
      </c>
      <c r="B68" s="379">
        <v>42771</v>
      </c>
      <c r="C68" s="376" t="s">
        <v>1800</v>
      </c>
      <c r="D68" s="375" t="s">
        <v>1207</v>
      </c>
      <c r="E68" s="376" t="s">
        <v>1208</v>
      </c>
      <c r="F68" s="376" t="s">
        <v>1161</v>
      </c>
      <c r="G68" s="678"/>
      <c r="H68" s="376" t="s">
        <v>1209</v>
      </c>
      <c r="I68" s="376" t="s">
        <v>1224</v>
      </c>
      <c r="J68" s="377">
        <v>8000</v>
      </c>
      <c r="K68" s="378"/>
      <c r="L68" s="380">
        <f>L67+Table16[[#This Row],[المدين (إيداع)]]-Table16[[#This Row],[الدائن (السحب)]]</f>
        <v>676201.16999999993</v>
      </c>
    </row>
    <row r="69" spans="1:12" ht="23.25" hidden="1">
      <c r="A69" s="676">
        <f>SUBTOTAL(3,$E$8:E69)</f>
        <v>5</v>
      </c>
      <c r="B69" s="379">
        <v>42771</v>
      </c>
      <c r="C69" s="376" t="s">
        <v>1800</v>
      </c>
      <c r="D69" s="375" t="s">
        <v>1712</v>
      </c>
      <c r="E69" s="376" t="s">
        <v>1254</v>
      </c>
      <c r="F69" s="376" t="s">
        <v>1161</v>
      </c>
      <c r="G69" s="678"/>
      <c r="H69" s="376" t="s">
        <v>1172</v>
      </c>
      <c r="I69" s="376" t="s">
        <v>1713</v>
      </c>
      <c r="J69" s="377">
        <v>2800</v>
      </c>
      <c r="K69" s="378"/>
      <c r="L69" s="380">
        <f>L68+Table16[[#This Row],[المدين (إيداع)]]-Table16[[#This Row],[الدائن (السحب)]]</f>
        <v>679001.16999999993</v>
      </c>
    </row>
    <row r="70" spans="1:12" ht="23.25" hidden="1">
      <c r="A70" s="676">
        <f>SUBTOTAL(3,$E$8:E70)</f>
        <v>5</v>
      </c>
      <c r="B70" s="379">
        <v>42772</v>
      </c>
      <c r="C70" s="376" t="s">
        <v>1800</v>
      </c>
      <c r="D70" s="375" t="s">
        <v>1173</v>
      </c>
      <c r="E70" s="376" t="s">
        <v>1164</v>
      </c>
      <c r="F70" s="376" t="s">
        <v>1165</v>
      </c>
      <c r="G70" s="678">
        <v>3827</v>
      </c>
      <c r="H70" s="376" t="s">
        <v>1803</v>
      </c>
      <c r="I70" s="376" t="s">
        <v>1175</v>
      </c>
      <c r="J70" s="377">
        <v>10000</v>
      </c>
      <c r="K70" s="378"/>
      <c r="L70" s="380">
        <f>L69+Table16[[#This Row],[المدين (إيداع)]]-Table16[[#This Row],[الدائن (السحب)]]</f>
        <v>689001.16999999993</v>
      </c>
    </row>
    <row r="71" spans="1:12" ht="23.25" hidden="1">
      <c r="A71" s="676">
        <f>SUBTOTAL(3,$E$8:E71)</f>
        <v>5</v>
      </c>
      <c r="B71" s="379">
        <v>42773</v>
      </c>
      <c r="C71" s="376" t="s">
        <v>1800</v>
      </c>
      <c r="D71" s="375" t="s">
        <v>1952</v>
      </c>
      <c r="E71" s="376" t="s">
        <v>1203</v>
      </c>
      <c r="F71" s="376" t="s">
        <v>1152</v>
      </c>
      <c r="G71" s="678"/>
      <c r="H71" s="376" t="s">
        <v>1950</v>
      </c>
      <c r="I71" s="376" t="s">
        <v>1205</v>
      </c>
      <c r="J71" s="377">
        <v>20000</v>
      </c>
      <c r="K71" s="378"/>
      <c r="L71" s="380">
        <f>L70+Table16[[#This Row],[المدين (إيداع)]]-Table16[[#This Row],[الدائن (السحب)]]</f>
        <v>709001.16999999993</v>
      </c>
    </row>
    <row r="72" spans="1:12" ht="23.25" hidden="1">
      <c r="A72" s="676">
        <f>SUBTOTAL(3,$E$8:E72)</f>
        <v>5</v>
      </c>
      <c r="B72" s="379">
        <v>42775</v>
      </c>
      <c r="C72" s="376" t="s">
        <v>1800</v>
      </c>
      <c r="D72" s="375" t="s">
        <v>1210</v>
      </c>
      <c r="E72" s="376" t="s">
        <v>1169</v>
      </c>
      <c r="F72" s="376" t="s">
        <v>1169</v>
      </c>
      <c r="G72" s="678">
        <v>270</v>
      </c>
      <c r="H72" s="376" t="s">
        <v>1170</v>
      </c>
      <c r="I72" s="376" t="s">
        <v>1211</v>
      </c>
      <c r="J72" s="377"/>
      <c r="K72" s="378">
        <v>281500</v>
      </c>
      <c r="L72" s="380">
        <f>L71+Table16[[#This Row],[المدين (إيداع)]]-Table16[[#This Row],[الدائن (السحب)]]</f>
        <v>427501.16999999993</v>
      </c>
    </row>
    <row r="73" spans="1:12" ht="23.25" hidden="1">
      <c r="A73" s="676">
        <f>SUBTOTAL(3,$E$8:E73)</f>
        <v>5</v>
      </c>
      <c r="B73" s="379">
        <v>42775</v>
      </c>
      <c r="C73" s="376" t="s">
        <v>1800</v>
      </c>
      <c r="D73" s="375" t="s">
        <v>1186</v>
      </c>
      <c r="E73" s="376" t="s">
        <v>1169</v>
      </c>
      <c r="F73" s="376" t="s">
        <v>1169</v>
      </c>
      <c r="G73" s="678">
        <v>2213</v>
      </c>
      <c r="I73" s="376" t="s">
        <v>1154</v>
      </c>
      <c r="J73" s="377">
        <v>1000</v>
      </c>
      <c r="K73" s="378"/>
      <c r="L73" s="380">
        <f>L72+Table16[[#This Row],[المدين (إيداع)]]-Table16[[#This Row],[الدائن (السحب)]]</f>
        <v>428501.16999999993</v>
      </c>
    </row>
    <row r="74" spans="1:12" ht="23.25" hidden="1">
      <c r="A74" s="676">
        <f>SUBTOTAL(3,$E$8:E74)</f>
        <v>5</v>
      </c>
      <c r="B74" s="379">
        <v>42775</v>
      </c>
      <c r="C74" s="376" t="s">
        <v>1800</v>
      </c>
      <c r="D74" s="375" t="s">
        <v>2057</v>
      </c>
      <c r="E74" s="376" t="s">
        <v>1160</v>
      </c>
      <c r="F74" s="376" t="s">
        <v>1161</v>
      </c>
      <c r="G74" s="678"/>
      <c r="I74" s="376" t="s">
        <v>1212</v>
      </c>
      <c r="J74" s="377">
        <v>600</v>
      </c>
      <c r="K74" s="378"/>
      <c r="L74" s="380">
        <f>L73+Table16[[#This Row],[المدين (إيداع)]]-Table16[[#This Row],[الدائن (السحب)]]</f>
        <v>429101.16999999993</v>
      </c>
    </row>
    <row r="75" spans="1:12" ht="23.25" hidden="1">
      <c r="A75" s="676">
        <f>SUBTOTAL(3,$E$8:E75)</f>
        <v>5</v>
      </c>
      <c r="B75" s="379">
        <v>42779</v>
      </c>
      <c r="C75" s="376" t="s">
        <v>1800</v>
      </c>
      <c r="D75" s="375" t="s">
        <v>1930</v>
      </c>
      <c r="E75" s="376" t="s">
        <v>1156</v>
      </c>
      <c r="F75" s="376" t="s">
        <v>1157</v>
      </c>
      <c r="G75" s="678"/>
      <c r="H75" s="376" t="s">
        <v>1158</v>
      </c>
      <c r="I75" s="376" t="s">
        <v>1157</v>
      </c>
      <c r="J75" s="377"/>
      <c r="K75" s="378">
        <v>25</v>
      </c>
      <c r="L75" s="380">
        <f>L74+Table16[[#This Row],[المدين (إيداع)]]-Table16[[#This Row],[الدائن (السحب)]]</f>
        <v>429076.16999999993</v>
      </c>
    </row>
    <row r="76" spans="1:12" ht="23.25" hidden="1">
      <c r="A76" s="676">
        <f>SUBTOTAL(3,$E$8:E76)</f>
        <v>5</v>
      </c>
      <c r="B76" s="379">
        <v>42781</v>
      </c>
      <c r="C76" s="376" t="s">
        <v>1800</v>
      </c>
      <c r="D76" s="375" t="s">
        <v>1213</v>
      </c>
      <c r="E76" s="376" t="s">
        <v>1214</v>
      </c>
      <c r="F76" s="376" t="s">
        <v>1161</v>
      </c>
      <c r="G76" s="678"/>
      <c r="H76" s="376" t="s">
        <v>1215</v>
      </c>
      <c r="I76" s="376" t="s">
        <v>1163</v>
      </c>
      <c r="J76" s="377">
        <v>6600</v>
      </c>
      <c r="K76" s="378"/>
      <c r="L76" s="380">
        <f>L75+Table16[[#This Row],[المدين (إيداع)]]-Table16[[#This Row],[الدائن (السحب)]]</f>
        <v>435676.16999999993</v>
      </c>
    </row>
    <row r="77" spans="1:12" ht="23.25" hidden="1">
      <c r="A77" s="676">
        <f>SUBTOTAL(3,$E$8:E77)</f>
        <v>5</v>
      </c>
      <c r="B77" s="379">
        <v>42782</v>
      </c>
      <c r="C77" s="376" t="s">
        <v>1811</v>
      </c>
      <c r="D77" s="375" t="s">
        <v>2020</v>
      </c>
      <c r="E77" s="376" t="s">
        <v>1160</v>
      </c>
      <c r="F77" s="376" t="s">
        <v>1161</v>
      </c>
      <c r="G77" s="678"/>
      <c r="H77" s="376" t="s">
        <v>1201</v>
      </c>
      <c r="I77" s="376" t="s">
        <v>1212</v>
      </c>
      <c r="J77" s="377">
        <v>350</v>
      </c>
      <c r="K77" s="378"/>
      <c r="L77" s="380">
        <f>L76+Table16[[#This Row],[المدين (إيداع)]]-Table16[[#This Row],[الدائن (السحب)]]</f>
        <v>436026.16999999993</v>
      </c>
    </row>
    <row r="78" spans="1:12" ht="23.25" hidden="1">
      <c r="A78" s="676">
        <f>SUBTOTAL(3,$E$8:E78)</f>
        <v>5</v>
      </c>
      <c r="B78" s="379">
        <v>42782</v>
      </c>
      <c r="C78" s="376" t="s">
        <v>1800</v>
      </c>
      <c r="D78" s="375" t="s">
        <v>2057</v>
      </c>
      <c r="E78" s="376" t="s">
        <v>1160</v>
      </c>
      <c r="F78" s="376" t="s">
        <v>1161</v>
      </c>
      <c r="G78" s="678"/>
      <c r="H78" s="376" t="s">
        <v>1171</v>
      </c>
      <c r="I78" s="376" t="s">
        <v>1212</v>
      </c>
      <c r="J78" s="377">
        <v>300</v>
      </c>
      <c r="K78" s="378"/>
      <c r="L78" s="380">
        <f>L77+Table16[[#This Row],[المدين (إيداع)]]-Table16[[#This Row],[الدائن (السحب)]]</f>
        <v>436326.16999999993</v>
      </c>
    </row>
    <row r="79" spans="1:12" ht="42" customHeight="1">
      <c r="A79" s="676">
        <f>SUBTOTAL(3,$E$8:E79)</f>
        <v>6</v>
      </c>
      <c r="B79" s="379">
        <v>42782</v>
      </c>
      <c r="D79" s="375"/>
      <c r="E79" s="376" t="s">
        <v>1216</v>
      </c>
      <c r="F79" s="376" t="s">
        <v>1217</v>
      </c>
      <c r="G79" s="679" t="s">
        <v>1218</v>
      </c>
      <c r="H79" s="376" t="s">
        <v>1158</v>
      </c>
      <c r="J79" s="377"/>
      <c r="K79" s="378">
        <v>750</v>
      </c>
      <c r="L79" s="380">
        <f>L78+Table16[[#This Row],[المدين (إيداع)]]-Table16[[#This Row],[الدائن (السحب)]]</f>
        <v>435576.16999999993</v>
      </c>
    </row>
    <row r="80" spans="1:12" ht="42" customHeight="1">
      <c r="A80" s="676">
        <f>SUBTOTAL(3,$E$8:E80)</f>
        <v>7</v>
      </c>
      <c r="B80" s="379">
        <v>42782</v>
      </c>
      <c r="D80" s="375"/>
      <c r="E80" s="376" t="s">
        <v>1217</v>
      </c>
      <c r="F80" s="376" t="s">
        <v>1217</v>
      </c>
      <c r="G80" s="679" t="s">
        <v>1218</v>
      </c>
      <c r="H80" s="376" t="s">
        <v>1158</v>
      </c>
      <c r="J80" s="377"/>
      <c r="K80" s="378">
        <v>10000</v>
      </c>
      <c r="L80" s="380">
        <f>L79+Table16[[#This Row],[المدين (إيداع)]]-Table16[[#This Row],[الدائن (السحب)]]</f>
        <v>425576.16999999993</v>
      </c>
    </row>
    <row r="81" spans="1:12" ht="23.25" hidden="1">
      <c r="A81" s="676">
        <f>SUBTOTAL(3,$E$8:E81)</f>
        <v>7</v>
      </c>
      <c r="B81" s="379">
        <v>42783</v>
      </c>
      <c r="C81" s="376" t="s">
        <v>1800</v>
      </c>
      <c r="D81" s="375" t="s">
        <v>1159</v>
      </c>
      <c r="E81" s="376" t="s">
        <v>1164</v>
      </c>
      <c r="F81" s="376" t="s">
        <v>1165</v>
      </c>
      <c r="G81" s="678">
        <v>1335</v>
      </c>
      <c r="H81" s="376" t="s">
        <v>1530</v>
      </c>
      <c r="I81" s="376" t="s">
        <v>1163</v>
      </c>
      <c r="J81" s="652">
        <v>22050</v>
      </c>
      <c r="K81" s="378"/>
      <c r="L81" s="380">
        <f>L80+Table16[[#This Row],[المدين (إيداع)]]-Table16[[#This Row],[الدائن (السحب)]]</f>
        <v>447626.16999999993</v>
      </c>
    </row>
    <row r="82" spans="1:12" ht="23.25" hidden="1">
      <c r="A82" s="676">
        <f>SUBTOTAL(3,$E$8:E82)</f>
        <v>7</v>
      </c>
      <c r="B82" s="379">
        <v>42783</v>
      </c>
      <c r="C82" s="376" t="s">
        <v>1800</v>
      </c>
      <c r="D82" s="375" t="s">
        <v>1213</v>
      </c>
      <c r="E82" s="376" t="s">
        <v>1164</v>
      </c>
      <c r="F82" s="376" t="s">
        <v>1165</v>
      </c>
      <c r="G82" s="678">
        <v>5394</v>
      </c>
      <c r="H82" s="376" t="s">
        <v>2036</v>
      </c>
      <c r="I82" s="376" t="s">
        <v>1163</v>
      </c>
      <c r="J82" s="377">
        <v>1500</v>
      </c>
      <c r="K82" s="378"/>
      <c r="L82" s="380">
        <f>L81+Table16[[#This Row],[المدين (إيداع)]]-Table16[[#This Row],[الدائن (السحب)]]</f>
        <v>449126.16999999993</v>
      </c>
    </row>
    <row r="83" spans="1:12" ht="23.25" hidden="1">
      <c r="A83" s="676">
        <f>SUBTOTAL(3,$E$8:E83)</f>
        <v>7</v>
      </c>
      <c r="B83" s="379">
        <v>42783</v>
      </c>
      <c r="C83" s="376" t="s">
        <v>1800</v>
      </c>
      <c r="D83" s="375" t="s">
        <v>1213</v>
      </c>
      <c r="E83" s="376" t="s">
        <v>1164</v>
      </c>
      <c r="F83" s="376" t="s">
        <v>1165</v>
      </c>
      <c r="G83" s="678">
        <v>38045</v>
      </c>
      <c r="H83" s="376" t="s">
        <v>2038</v>
      </c>
      <c r="I83" s="376" t="s">
        <v>1163</v>
      </c>
      <c r="J83" s="377">
        <v>35000</v>
      </c>
      <c r="K83" s="378"/>
      <c r="L83" s="380">
        <f>L82+Table16[[#This Row],[المدين (إيداع)]]-Table16[[#This Row],[الدائن (السحب)]]</f>
        <v>484126.16999999993</v>
      </c>
    </row>
    <row r="84" spans="1:12" ht="23.25" hidden="1">
      <c r="A84" s="676">
        <f>SUBTOTAL(3,$E$8:E84)</f>
        <v>7</v>
      </c>
      <c r="B84" s="379">
        <v>42783</v>
      </c>
      <c r="C84" s="376" t="s">
        <v>1800</v>
      </c>
      <c r="D84" s="375" t="s">
        <v>1159</v>
      </c>
      <c r="E84" s="376" t="s">
        <v>1164</v>
      </c>
      <c r="F84" s="376" t="s">
        <v>1165</v>
      </c>
      <c r="G84" s="678">
        <v>76449</v>
      </c>
      <c r="H84" s="376" t="s">
        <v>2037</v>
      </c>
      <c r="I84" s="376" t="s">
        <v>1163</v>
      </c>
      <c r="J84" s="652">
        <v>1200</v>
      </c>
      <c r="K84" s="378"/>
      <c r="L84" s="380">
        <f>L83+Table16[[#This Row],[المدين (إيداع)]]-Table16[[#This Row],[الدائن (السحب)]]</f>
        <v>485326.16999999993</v>
      </c>
    </row>
    <row r="85" spans="1:12" ht="23.25" hidden="1">
      <c r="A85" s="676">
        <f>SUBTOTAL(3,$E$8:E85)</f>
        <v>7</v>
      </c>
      <c r="B85" s="379">
        <v>42783</v>
      </c>
      <c r="C85" s="376" t="s">
        <v>1800</v>
      </c>
      <c r="D85" s="375" t="s">
        <v>1213</v>
      </c>
      <c r="E85" s="376" t="s">
        <v>1164</v>
      </c>
      <c r="F85" s="376" t="s">
        <v>1165</v>
      </c>
      <c r="G85" s="678">
        <v>76655</v>
      </c>
      <c r="H85" s="376" t="s">
        <v>2037</v>
      </c>
      <c r="I85" s="376" t="s">
        <v>1163</v>
      </c>
      <c r="J85" s="377">
        <v>4800</v>
      </c>
      <c r="K85" s="378"/>
      <c r="L85" s="380">
        <f>L84+Table16[[#This Row],[المدين (إيداع)]]-Table16[[#This Row],[الدائن (السحب)]]</f>
        <v>490126.16999999993</v>
      </c>
    </row>
    <row r="86" spans="1:12" ht="23.25" hidden="1">
      <c r="A86" s="676">
        <f>SUBTOTAL(3,$E$8:E86)</f>
        <v>7</v>
      </c>
      <c r="B86" s="379">
        <v>42783</v>
      </c>
      <c r="C86" s="376" t="s">
        <v>1800</v>
      </c>
      <c r="D86" s="375" t="s">
        <v>2039</v>
      </c>
      <c r="E86" s="376" t="s">
        <v>1164</v>
      </c>
      <c r="F86" s="376" t="s">
        <v>1165</v>
      </c>
      <c r="G86" s="678">
        <v>232</v>
      </c>
      <c r="H86" s="376" t="s">
        <v>1905</v>
      </c>
      <c r="I86" s="376" t="s">
        <v>1899</v>
      </c>
      <c r="J86" s="377">
        <v>2700</v>
      </c>
      <c r="K86" s="378"/>
      <c r="L86" s="380">
        <f>L85+Table16[[#This Row],[المدين (إيداع)]]-Table16[[#This Row],[الدائن (السحب)]]</f>
        <v>492826.16999999993</v>
      </c>
    </row>
    <row r="87" spans="1:12" ht="23.25" hidden="1">
      <c r="A87" s="676">
        <f>SUBTOTAL(3,$E$8:E87)</f>
        <v>7</v>
      </c>
      <c r="B87" s="379">
        <v>42783</v>
      </c>
      <c r="C87" s="376" t="s">
        <v>1800</v>
      </c>
      <c r="D87" s="375" t="s">
        <v>1213</v>
      </c>
      <c r="E87" s="376" t="s">
        <v>1164</v>
      </c>
      <c r="F87" s="376" t="s">
        <v>1165</v>
      </c>
      <c r="G87" s="678">
        <v>66518181</v>
      </c>
      <c r="H87" s="376" t="s">
        <v>1870</v>
      </c>
      <c r="I87" s="376" t="s">
        <v>1163</v>
      </c>
      <c r="J87" s="377">
        <v>12800</v>
      </c>
      <c r="K87" s="378"/>
      <c r="L87" s="380">
        <f>L86+Table16[[#This Row],[المدين (إيداع)]]-Table16[[#This Row],[الدائن (السحب)]]</f>
        <v>505626.16999999993</v>
      </c>
    </row>
    <row r="88" spans="1:12" ht="23.25" hidden="1">
      <c r="A88" s="676">
        <f>SUBTOTAL(3,$E$8:E88)</f>
        <v>7</v>
      </c>
      <c r="B88" s="379">
        <v>42785</v>
      </c>
      <c r="C88" s="376" t="s">
        <v>1800</v>
      </c>
      <c r="D88" s="375" t="s">
        <v>1952</v>
      </c>
      <c r="E88" s="376" t="s">
        <v>1219</v>
      </c>
      <c r="F88" s="376" t="s">
        <v>1161</v>
      </c>
      <c r="G88" s="678"/>
      <c r="H88" s="376" t="s">
        <v>1950</v>
      </c>
      <c r="I88" s="376" t="s">
        <v>1205</v>
      </c>
      <c r="J88" s="377">
        <v>1036</v>
      </c>
      <c r="K88" s="378"/>
      <c r="L88" s="380">
        <f>L87+Table16[[#This Row],[المدين (إيداع)]]-Table16[[#This Row],[الدائن (السحب)]]</f>
        <v>506662.16999999993</v>
      </c>
    </row>
    <row r="89" spans="1:12" ht="23.25" hidden="1">
      <c r="A89" s="676">
        <f>SUBTOTAL(3,$E$8:E89)</f>
        <v>7</v>
      </c>
      <c r="B89" s="379">
        <v>42785</v>
      </c>
      <c r="C89" s="376" t="s">
        <v>1800</v>
      </c>
      <c r="D89" s="375" t="s">
        <v>1952</v>
      </c>
      <c r="E89" s="376" t="s">
        <v>1219</v>
      </c>
      <c r="F89" s="376" t="s">
        <v>1161</v>
      </c>
      <c r="G89" s="678"/>
      <c r="H89" s="376" t="s">
        <v>1949</v>
      </c>
      <c r="I89" s="376" t="s">
        <v>1205</v>
      </c>
      <c r="J89" s="377">
        <v>18964</v>
      </c>
      <c r="K89" s="378"/>
      <c r="L89" s="380">
        <f>L88+Table16[[#This Row],[المدين (إيداع)]]-Table16[[#This Row],[الدائن (السحب)]]</f>
        <v>525626.16999999993</v>
      </c>
    </row>
    <row r="90" spans="1:12" ht="23.25" hidden="1">
      <c r="A90" s="676">
        <f>SUBTOTAL(3,$E$8:E90)</f>
        <v>7</v>
      </c>
      <c r="B90" s="379">
        <v>42786</v>
      </c>
      <c r="C90" s="376" t="s">
        <v>1800</v>
      </c>
      <c r="D90" s="375" t="s">
        <v>1952</v>
      </c>
      <c r="E90" s="376" t="s">
        <v>1219</v>
      </c>
      <c r="F90" s="376" t="s">
        <v>1161</v>
      </c>
      <c r="G90" s="678"/>
      <c r="H90" s="376" t="s">
        <v>1949</v>
      </c>
      <c r="I90" s="376" t="s">
        <v>1205</v>
      </c>
      <c r="J90" s="377">
        <v>20000</v>
      </c>
      <c r="K90" s="378"/>
      <c r="L90" s="380">
        <f>L89+Table16[[#This Row],[المدين (إيداع)]]-Table16[[#This Row],[الدائن (السحب)]]</f>
        <v>545626.16999999993</v>
      </c>
    </row>
    <row r="91" spans="1:12" ht="23.25" hidden="1">
      <c r="A91" s="676">
        <f>SUBTOTAL(3,$E$8:E91)</f>
        <v>7</v>
      </c>
      <c r="B91" s="379">
        <v>42786</v>
      </c>
      <c r="C91" s="376" t="s">
        <v>1800</v>
      </c>
      <c r="D91" s="375" t="s">
        <v>49</v>
      </c>
      <c r="E91" s="376" t="s">
        <v>1220</v>
      </c>
      <c r="F91" s="376" t="s">
        <v>1169</v>
      </c>
      <c r="G91" s="678">
        <v>271</v>
      </c>
      <c r="H91" s="376" t="s">
        <v>1221</v>
      </c>
      <c r="I91" s="376" t="s">
        <v>1221</v>
      </c>
      <c r="J91" s="377"/>
      <c r="K91" s="378">
        <v>190000</v>
      </c>
      <c r="L91" s="380">
        <f>L90+Table16[[#This Row],[المدين (إيداع)]]-Table16[[#This Row],[الدائن (السحب)]]</f>
        <v>355626.16999999993</v>
      </c>
    </row>
    <row r="92" spans="1:12" ht="23.25" hidden="1">
      <c r="A92" s="676">
        <f>SUBTOTAL(3,$E$8:E92)</f>
        <v>7</v>
      </c>
      <c r="B92" s="379">
        <v>42787</v>
      </c>
      <c r="C92" s="376" t="s">
        <v>1800</v>
      </c>
      <c r="D92" s="375" t="s">
        <v>2004</v>
      </c>
      <c r="E92" s="376" t="s">
        <v>1243</v>
      </c>
      <c r="F92" s="376" t="s">
        <v>1161</v>
      </c>
      <c r="G92" s="678"/>
      <c r="H92" s="376" t="s">
        <v>1181</v>
      </c>
      <c r="I92" s="376" t="s">
        <v>1182</v>
      </c>
      <c r="J92" s="377">
        <v>1960</v>
      </c>
      <c r="K92" s="378"/>
      <c r="L92" s="380">
        <f>L91+Table16[[#This Row],[المدين (إيداع)]]-Table16[[#This Row],[الدائن (السحب)]]</f>
        <v>357586.16999999993</v>
      </c>
    </row>
    <row r="93" spans="1:12" ht="23.25" hidden="1">
      <c r="A93" s="676">
        <f>SUBTOTAL(3,$E$8:E93)</f>
        <v>7</v>
      </c>
      <c r="B93" s="379">
        <v>42787</v>
      </c>
      <c r="C93" s="376" t="s">
        <v>1800</v>
      </c>
      <c r="D93" s="376" t="s">
        <v>1724</v>
      </c>
      <c r="E93" s="376" t="s">
        <v>1160</v>
      </c>
      <c r="F93" s="376" t="s">
        <v>1161</v>
      </c>
      <c r="G93" s="678"/>
      <c r="H93" s="376" t="s">
        <v>1222</v>
      </c>
      <c r="I93" s="376" t="s">
        <v>1725</v>
      </c>
      <c r="J93" s="377">
        <v>7200</v>
      </c>
      <c r="K93" s="378"/>
      <c r="L93" s="380">
        <f>L92+Table16[[#This Row],[المدين (إيداع)]]-Table16[[#This Row],[الدائن (السحب)]]</f>
        <v>364786.16999999993</v>
      </c>
    </row>
    <row r="94" spans="1:12" ht="23.25" hidden="1">
      <c r="A94" s="676">
        <f>SUBTOTAL(3,$E$8:E94)</f>
        <v>7</v>
      </c>
      <c r="B94" s="379">
        <v>42787</v>
      </c>
      <c r="C94" s="376" t="s">
        <v>1800</v>
      </c>
      <c r="D94" s="375" t="s">
        <v>1223</v>
      </c>
      <c r="E94" s="376" t="s">
        <v>1160</v>
      </c>
      <c r="F94" s="376" t="s">
        <v>1161</v>
      </c>
      <c r="G94" s="678"/>
      <c r="I94" s="376" t="s">
        <v>1192</v>
      </c>
      <c r="J94" s="377">
        <v>1200</v>
      </c>
      <c r="K94" s="378"/>
      <c r="L94" s="380">
        <f>L93+Table16[[#This Row],[المدين (إيداع)]]-Table16[[#This Row],[الدائن (السحب)]]</f>
        <v>365986.16999999993</v>
      </c>
    </row>
    <row r="95" spans="1:12" ht="23.25" hidden="1">
      <c r="A95" s="676">
        <f>SUBTOTAL(3,$E$8:E95)</f>
        <v>7</v>
      </c>
      <c r="B95" s="379">
        <v>42788</v>
      </c>
      <c r="C95" s="376" t="s">
        <v>1800</v>
      </c>
      <c r="D95" s="375" t="s">
        <v>1952</v>
      </c>
      <c r="E95" s="376" t="s">
        <v>1219</v>
      </c>
      <c r="F95" s="376" t="s">
        <v>1161</v>
      </c>
      <c r="G95" s="678"/>
      <c r="H95" s="376" t="s">
        <v>1949</v>
      </c>
      <c r="I95" s="376" t="s">
        <v>1205</v>
      </c>
      <c r="J95" s="377">
        <v>20000</v>
      </c>
      <c r="K95" s="378"/>
      <c r="L95" s="380">
        <f>L94+Table16[[#This Row],[المدين (إيداع)]]-Table16[[#This Row],[الدائن (السحب)]]</f>
        <v>385986.16999999993</v>
      </c>
    </row>
    <row r="96" spans="1:12" ht="23.25" hidden="1">
      <c r="A96" s="676">
        <f>SUBTOTAL(3,$E$8:E96)</f>
        <v>7</v>
      </c>
      <c r="B96" s="379">
        <v>42789</v>
      </c>
      <c r="D96" s="375" t="s">
        <v>2060</v>
      </c>
      <c r="E96" s="376" t="s">
        <v>1160</v>
      </c>
      <c r="F96" s="376" t="s">
        <v>1161</v>
      </c>
      <c r="G96" s="678"/>
      <c r="H96" s="376" t="s">
        <v>1202</v>
      </c>
      <c r="I96" s="376" t="s">
        <v>1212</v>
      </c>
      <c r="J96" s="377">
        <v>350</v>
      </c>
      <c r="K96" s="378"/>
      <c r="L96" s="380">
        <f>L95+Table16[[#This Row],[المدين (إيداع)]]-Table16[[#This Row],[الدائن (السحب)]]</f>
        <v>386336.16999999993</v>
      </c>
    </row>
    <row r="97" spans="1:12" ht="23.25" hidden="1">
      <c r="A97" s="676">
        <f>SUBTOTAL(3,$E$8:E97)</f>
        <v>7</v>
      </c>
      <c r="B97" s="379">
        <v>42789</v>
      </c>
      <c r="C97" s="376" t="s">
        <v>1800</v>
      </c>
      <c r="D97" s="375" t="s">
        <v>1207</v>
      </c>
      <c r="E97" s="376" t="s">
        <v>1208</v>
      </c>
      <c r="F97" s="376" t="s">
        <v>1161</v>
      </c>
      <c r="G97" s="678"/>
      <c r="H97" s="376" t="s">
        <v>1209</v>
      </c>
      <c r="I97" s="376" t="s">
        <v>1224</v>
      </c>
      <c r="J97" s="377">
        <v>8000</v>
      </c>
      <c r="K97" s="378"/>
      <c r="L97" s="380">
        <f>L96+Table16[[#This Row],[المدين (إيداع)]]-Table16[[#This Row],[الدائن (السحب)]]</f>
        <v>394336.16999999993</v>
      </c>
    </row>
    <row r="98" spans="1:12" ht="23.25" hidden="1">
      <c r="A98" s="676">
        <f>SUBTOTAL(3,$E$8:E98)</f>
        <v>7</v>
      </c>
      <c r="B98" s="379">
        <v>42789</v>
      </c>
      <c r="C98" s="376" t="s">
        <v>1800</v>
      </c>
      <c r="D98" s="375" t="s">
        <v>1952</v>
      </c>
      <c r="E98" s="376" t="s">
        <v>1219</v>
      </c>
      <c r="F98" s="376" t="s">
        <v>1161</v>
      </c>
      <c r="G98" s="678"/>
      <c r="H98" s="376" t="s">
        <v>1949</v>
      </c>
      <c r="I98" s="376" t="s">
        <v>1205</v>
      </c>
      <c r="J98" s="377">
        <v>7329</v>
      </c>
      <c r="K98" s="378"/>
      <c r="L98" s="380">
        <f>L97+Table16[[#This Row],[المدين (إيداع)]]-Table16[[#This Row],[الدائن (السحب)]]</f>
        <v>401665.16999999993</v>
      </c>
    </row>
    <row r="99" spans="1:12" ht="23.25" hidden="1">
      <c r="A99" s="676">
        <f>SUBTOTAL(3,$E$8:E99)</f>
        <v>7</v>
      </c>
      <c r="B99" s="379">
        <v>42792</v>
      </c>
      <c r="C99" s="376" t="s">
        <v>1800</v>
      </c>
      <c r="D99" s="375" t="s">
        <v>54</v>
      </c>
      <c r="E99" s="376" t="s">
        <v>1220</v>
      </c>
      <c r="F99" s="376" t="s">
        <v>1169</v>
      </c>
      <c r="G99" s="678">
        <v>272</v>
      </c>
      <c r="H99" s="376" t="s">
        <v>1221</v>
      </c>
      <c r="I99" s="376" t="s">
        <v>1221</v>
      </c>
      <c r="J99" s="377"/>
      <c r="K99" s="378">
        <v>200000</v>
      </c>
      <c r="L99" s="380">
        <f>L98+Table16[[#This Row],[المدين (إيداع)]]-Table16[[#This Row],[الدائن (السحب)]]</f>
        <v>201665.16999999993</v>
      </c>
    </row>
    <row r="100" spans="1:12" ht="23.25" hidden="1">
      <c r="A100" s="676">
        <f>SUBTOTAL(3,$E$8:E100)</f>
        <v>7</v>
      </c>
      <c r="B100" s="379">
        <v>42793</v>
      </c>
      <c r="C100" s="376" t="s">
        <v>1811</v>
      </c>
      <c r="D100" s="375" t="s">
        <v>2020</v>
      </c>
      <c r="E100" s="376" t="s">
        <v>1160</v>
      </c>
      <c r="F100" s="376" t="s">
        <v>1161</v>
      </c>
      <c r="G100" s="678"/>
      <c r="I100" s="376" t="s">
        <v>1212</v>
      </c>
      <c r="J100" s="377">
        <v>350</v>
      </c>
      <c r="K100" s="378"/>
      <c r="L100" s="380">
        <f>L99+Table16[[#This Row],[المدين (إيداع)]]-Table16[[#This Row],[الدائن (السحب)]]</f>
        <v>202015.16999999993</v>
      </c>
    </row>
    <row r="101" spans="1:12" ht="23.25" hidden="1">
      <c r="A101" s="676">
        <f>SUBTOTAL(3,$E$8:E101)</f>
        <v>7</v>
      </c>
      <c r="B101" s="379">
        <v>42793</v>
      </c>
      <c r="C101" s="376" t="s">
        <v>1800</v>
      </c>
      <c r="D101" s="375" t="s">
        <v>1225</v>
      </c>
      <c r="E101" s="376" t="s">
        <v>1160</v>
      </c>
      <c r="F101" s="376" t="s">
        <v>1161</v>
      </c>
      <c r="G101" s="678"/>
      <c r="H101" s="376" t="s">
        <v>1804</v>
      </c>
      <c r="I101" s="376" t="s">
        <v>1175</v>
      </c>
      <c r="J101" s="377">
        <v>1050</v>
      </c>
      <c r="K101" s="378"/>
      <c r="L101" s="380">
        <f>L100+Table16[[#This Row],[المدين (إيداع)]]-Table16[[#This Row],[الدائن (السحب)]]</f>
        <v>203065.16999999993</v>
      </c>
    </row>
    <row r="102" spans="1:12" ht="23.25" hidden="1">
      <c r="A102" s="676">
        <f>SUBTOTAL(3,$E$8:E102)</f>
        <v>7</v>
      </c>
      <c r="B102" s="379">
        <v>42794</v>
      </c>
      <c r="C102" s="376" t="s">
        <v>1800</v>
      </c>
      <c r="D102" s="375" t="s">
        <v>1226</v>
      </c>
      <c r="E102" s="376" t="s">
        <v>1227</v>
      </c>
      <c r="F102" s="376" t="s">
        <v>1169</v>
      </c>
      <c r="G102" s="678">
        <v>274</v>
      </c>
      <c r="H102" s="376" t="s">
        <v>1228</v>
      </c>
      <c r="I102" s="376" t="s">
        <v>67</v>
      </c>
      <c r="J102" s="377"/>
      <c r="K102" s="378">
        <v>142000</v>
      </c>
      <c r="L102" s="380">
        <f>L101+Table16[[#This Row],[المدين (إيداع)]]-Table16[[#This Row],[الدائن (السحب)]]</f>
        <v>61065.169999999925</v>
      </c>
    </row>
    <row r="103" spans="1:12" ht="23.25" hidden="1">
      <c r="A103" s="676">
        <f>SUBTOTAL(3,$E$8:E103)</f>
        <v>7</v>
      </c>
      <c r="B103" s="379">
        <v>42794</v>
      </c>
      <c r="C103" s="376" t="s">
        <v>1800</v>
      </c>
      <c r="D103" s="375" t="s">
        <v>1724</v>
      </c>
      <c r="E103" s="376" t="s">
        <v>1254</v>
      </c>
      <c r="F103" s="376" t="s">
        <v>1161</v>
      </c>
      <c r="G103" s="678"/>
      <c r="H103" s="376" t="s">
        <v>1172</v>
      </c>
      <c r="I103" s="376" t="s">
        <v>1725</v>
      </c>
      <c r="J103" s="377">
        <v>1493</v>
      </c>
      <c r="K103" s="378"/>
      <c r="L103" s="380">
        <f>L102+Table16[[#This Row],[المدين (إيداع)]]-Table16[[#This Row],[الدائن (السحب)]]</f>
        <v>62558.169999999925</v>
      </c>
    </row>
    <row r="104" spans="1:12" ht="23.25" hidden="1">
      <c r="A104" s="676">
        <f>SUBTOTAL(3,$E$8:E104)</f>
        <v>7</v>
      </c>
      <c r="B104" s="379">
        <v>42796</v>
      </c>
      <c r="C104" s="376" t="s">
        <v>1800</v>
      </c>
      <c r="D104" s="375" t="s">
        <v>1229</v>
      </c>
      <c r="E104" s="376" t="s">
        <v>1152</v>
      </c>
      <c r="F104" s="376" t="s">
        <v>1152</v>
      </c>
      <c r="G104" s="678"/>
      <c r="H104" s="376" t="s">
        <v>1153</v>
      </c>
      <c r="I104" s="376" t="s">
        <v>1154</v>
      </c>
      <c r="J104" s="377">
        <v>45912</v>
      </c>
      <c r="K104" s="378"/>
      <c r="L104" s="380">
        <f>L103+Table16[[#This Row],[المدين (إيداع)]]-Table16[[#This Row],[الدائن (السحب)]]</f>
        <v>108470.16999999993</v>
      </c>
    </row>
    <row r="105" spans="1:12" ht="23.25" hidden="1">
      <c r="A105" s="676">
        <f>SUBTOTAL(3,$E$8:E105)</f>
        <v>7</v>
      </c>
      <c r="B105" s="379">
        <v>42797</v>
      </c>
      <c r="C105" s="376" t="s">
        <v>1800</v>
      </c>
      <c r="D105" s="375" t="s">
        <v>1229</v>
      </c>
      <c r="E105" s="376" t="s">
        <v>1164</v>
      </c>
      <c r="F105" s="376" t="s">
        <v>1165</v>
      </c>
      <c r="G105" s="678">
        <v>2260</v>
      </c>
      <c r="H105" s="376" t="s">
        <v>1153</v>
      </c>
      <c r="I105" s="376" t="s">
        <v>1154</v>
      </c>
      <c r="J105" s="377">
        <v>1000</v>
      </c>
      <c r="K105" s="378"/>
      <c r="L105" s="380">
        <f>L104+Table16[[#This Row],[المدين (إيداع)]]-Table16[[#This Row],[الدائن (السحب)]]</f>
        <v>109470.16999999993</v>
      </c>
    </row>
    <row r="106" spans="1:12" ht="23.25" hidden="1">
      <c r="A106" s="676">
        <f>SUBTOTAL(3,$E$8:E106)</f>
        <v>7</v>
      </c>
      <c r="B106" s="379">
        <v>42797</v>
      </c>
      <c r="C106" s="376" t="s">
        <v>1800</v>
      </c>
      <c r="D106" s="375" t="s">
        <v>1229</v>
      </c>
      <c r="E106" s="376" t="s">
        <v>1164</v>
      </c>
      <c r="F106" s="376" t="s">
        <v>1165</v>
      </c>
      <c r="G106" s="678">
        <v>1098</v>
      </c>
      <c r="H106" s="376" t="s">
        <v>1153</v>
      </c>
      <c r="I106" s="376" t="s">
        <v>1154</v>
      </c>
      <c r="J106" s="377">
        <v>1500</v>
      </c>
      <c r="K106" s="378"/>
      <c r="L106" s="380">
        <f>L105+Table16[[#This Row],[المدين (إيداع)]]-Table16[[#This Row],[الدائن (السحب)]]</f>
        <v>110970.16999999993</v>
      </c>
    </row>
    <row r="107" spans="1:12" ht="23.25" hidden="1">
      <c r="A107" s="676">
        <f>SUBTOTAL(3,$E$8:E107)</f>
        <v>7</v>
      </c>
      <c r="B107" s="379">
        <v>42797</v>
      </c>
      <c r="C107" s="376" t="s">
        <v>1800</v>
      </c>
      <c r="D107" s="375" t="s">
        <v>1229</v>
      </c>
      <c r="E107" s="376" t="s">
        <v>1164</v>
      </c>
      <c r="F107" s="376" t="s">
        <v>1165</v>
      </c>
      <c r="G107" s="678">
        <v>1286</v>
      </c>
      <c r="H107" s="376" t="s">
        <v>1153</v>
      </c>
      <c r="I107" s="376" t="s">
        <v>1154</v>
      </c>
      <c r="J107" s="377">
        <v>3300</v>
      </c>
      <c r="K107" s="378"/>
      <c r="L107" s="380">
        <f>L106+Table16[[#This Row],[المدين (إيداع)]]-Table16[[#This Row],[الدائن (السحب)]]</f>
        <v>114270.16999999993</v>
      </c>
    </row>
    <row r="108" spans="1:12" ht="23.25" hidden="1">
      <c r="A108" s="676">
        <f>SUBTOTAL(3,$E$8:E108)</f>
        <v>7</v>
      </c>
      <c r="B108" s="379">
        <v>42797</v>
      </c>
      <c r="C108" s="376" t="s">
        <v>1800</v>
      </c>
      <c r="D108" s="375" t="s">
        <v>1229</v>
      </c>
      <c r="E108" s="376" t="s">
        <v>1164</v>
      </c>
      <c r="F108" s="376" t="s">
        <v>1165</v>
      </c>
      <c r="G108" s="678">
        <v>2217</v>
      </c>
      <c r="H108" s="376" t="s">
        <v>1153</v>
      </c>
      <c r="I108" s="376" t="s">
        <v>1154</v>
      </c>
      <c r="J108" s="377">
        <v>3000</v>
      </c>
      <c r="K108" s="378"/>
      <c r="L108" s="380">
        <f>L107+Table16[[#This Row],[المدين (إيداع)]]-Table16[[#This Row],[الدائن (السحب)]]</f>
        <v>117270.16999999993</v>
      </c>
    </row>
    <row r="109" spans="1:12" ht="23.25" hidden="1">
      <c r="A109" s="676">
        <f>SUBTOTAL(3,$E$8:E109)</f>
        <v>7</v>
      </c>
      <c r="B109" s="379">
        <v>42797</v>
      </c>
      <c r="C109" s="376" t="s">
        <v>1800</v>
      </c>
      <c r="D109" s="375" t="s">
        <v>1229</v>
      </c>
      <c r="E109" s="376" t="s">
        <v>1164</v>
      </c>
      <c r="F109" s="376" t="s">
        <v>1165</v>
      </c>
      <c r="G109" s="678">
        <v>6274</v>
      </c>
      <c r="H109" s="376" t="s">
        <v>1153</v>
      </c>
      <c r="I109" s="376" t="s">
        <v>1154</v>
      </c>
      <c r="J109" s="377">
        <v>2100</v>
      </c>
      <c r="K109" s="378"/>
      <c r="L109" s="380">
        <f>L108+Table16[[#This Row],[المدين (إيداع)]]-Table16[[#This Row],[الدائن (السحب)]]</f>
        <v>119370.16999999993</v>
      </c>
    </row>
    <row r="110" spans="1:12" ht="23.25" hidden="1">
      <c r="A110" s="676">
        <f>SUBTOTAL(3,$E$8:E110)</f>
        <v>7</v>
      </c>
      <c r="B110" s="379">
        <v>42797</v>
      </c>
      <c r="C110" s="376" t="s">
        <v>1800</v>
      </c>
      <c r="D110" s="375" t="s">
        <v>1229</v>
      </c>
      <c r="E110" s="376" t="s">
        <v>1164</v>
      </c>
      <c r="F110" s="376" t="s">
        <v>1165</v>
      </c>
      <c r="G110" s="678">
        <v>27081</v>
      </c>
      <c r="H110" s="376" t="s">
        <v>1153</v>
      </c>
      <c r="I110" s="376" t="s">
        <v>1154</v>
      </c>
      <c r="J110" s="377">
        <v>750</v>
      </c>
      <c r="K110" s="378"/>
      <c r="L110" s="380">
        <f>L109+Table16[[#This Row],[المدين (إيداع)]]-Table16[[#This Row],[الدائن (السحب)]]</f>
        <v>120120.16999999993</v>
      </c>
    </row>
    <row r="111" spans="1:12" ht="23.25" hidden="1">
      <c r="A111" s="676">
        <f>SUBTOTAL(3,$E$8:E111)</f>
        <v>7</v>
      </c>
      <c r="B111" s="379">
        <v>42800</v>
      </c>
      <c r="C111" s="376" t="s">
        <v>1800</v>
      </c>
      <c r="D111" s="375" t="s">
        <v>1712</v>
      </c>
      <c r="E111" s="376" t="s">
        <v>1160</v>
      </c>
      <c r="F111" s="376" t="s">
        <v>1161</v>
      </c>
      <c r="G111" s="678"/>
      <c r="H111" s="376" t="s">
        <v>1230</v>
      </c>
      <c r="I111" s="376" t="s">
        <v>1713</v>
      </c>
      <c r="J111" s="377">
        <v>3200</v>
      </c>
      <c r="K111" s="378"/>
      <c r="L111" s="380">
        <f>L110+Table16[[#This Row],[المدين (إيداع)]]-Table16[[#This Row],[الدائن (السحب)]]</f>
        <v>123320.16999999993</v>
      </c>
    </row>
    <row r="112" spans="1:12" ht="23.25" hidden="1">
      <c r="A112" s="676">
        <f>SUBTOTAL(3,$E$8:E112)</f>
        <v>7</v>
      </c>
      <c r="B112" s="379">
        <v>42800</v>
      </c>
      <c r="C112" s="376" t="s">
        <v>1811</v>
      </c>
      <c r="D112" s="375" t="s">
        <v>2021</v>
      </c>
      <c r="E112" s="376" t="s">
        <v>1160</v>
      </c>
      <c r="F112" s="376" t="s">
        <v>1161</v>
      </c>
      <c r="G112" s="678"/>
      <c r="I112" s="376" t="s">
        <v>1212</v>
      </c>
      <c r="J112" s="377">
        <v>350</v>
      </c>
      <c r="K112" s="378"/>
      <c r="L112" s="380">
        <f>L111+Table16[[#This Row],[المدين (إيداع)]]-Table16[[#This Row],[الدائن (السحب)]]</f>
        <v>123670.16999999993</v>
      </c>
    </row>
    <row r="113" spans="1:12" ht="23.25" hidden="1">
      <c r="A113" s="676">
        <f>SUBTOTAL(3,$E$8:E113)</f>
        <v>7</v>
      </c>
      <c r="B113" s="379">
        <v>42801</v>
      </c>
      <c r="C113" s="376" t="s">
        <v>1800</v>
      </c>
      <c r="D113" s="375" t="s">
        <v>1198</v>
      </c>
      <c r="E113" s="376" t="s">
        <v>1160</v>
      </c>
      <c r="F113" s="376" t="s">
        <v>1161</v>
      </c>
      <c r="G113" s="678"/>
      <c r="I113" s="376" t="s">
        <v>1163</v>
      </c>
      <c r="J113" s="377">
        <v>800</v>
      </c>
      <c r="K113" s="378"/>
      <c r="L113" s="380">
        <f>L112+Table16[[#This Row],[المدين (إيداع)]]-Table16[[#This Row],[الدائن (السحب)]]</f>
        <v>124470.16999999993</v>
      </c>
    </row>
    <row r="114" spans="1:12" ht="23.25" hidden="1">
      <c r="A114" s="676">
        <f>SUBTOTAL(3,$E$8:E114)</f>
        <v>7</v>
      </c>
      <c r="B114" s="379">
        <v>42801</v>
      </c>
      <c r="C114" s="376" t="s">
        <v>1811</v>
      </c>
      <c r="D114" s="375" t="s">
        <v>2021</v>
      </c>
      <c r="E114" s="376" t="s">
        <v>1160</v>
      </c>
      <c r="F114" s="376" t="s">
        <v>1161</v>
      </c>
      <c r="G114" s="678"/>
      <c r="H114" s="376" t="s">
        <v>1231</v>
      </c>
      <c r="I114" s="376" t="s">
        <v>1212</v>
      </c>
      <c r="J114" s="377">
        <v>600</v>
      </c>
      <c r="K114" s="378"/>
      <c r="L114" s="380">
        <f>L113+Table16[[#This Row],[المدين (إيداع)]]-Table16[[#This Row],[الدائن (السحب)]]</f>
        <v>125070.16999999993</v>
      </c>
    </row>
    <row r="115" spans="1:12" ht="23.25" hidden="1">
      <c r="A115" s="676">
        <f>SUBTOTAL(3,$E$8:E115)</f>
        <v>7</v>
      </c>
      <c r="B115" s="379">
        <v>42803</v>
      </c>
      <c r="C115" s="376" t="s">
        <v>1800</v>
      </c>
      <c r="D115" s="375" t="s">
        <v>1232</v>
      </c>
      <c r="E115" s="376" t="s">
        <v>1160</v>
      </c>
      <c r="F115" s="376" t="s">
        <v>1161</v>
      </c>
      <c r="G115" s="678"/>
      <c r="H115" s="376" t="s">
        <v>1153</v>
      </c>
      <c r="I115" s="376" t="s">
        <v>1154</v>
      </c>
      <c r="J115" s="377">
        <v>3000</v>
      </c>
      <c r="K115" s="378"/>
      <c r="L115" s="380">
        <f>L114+Table16[[#This Row],[المدين (إيداع)]]-Table16[[#This Row],[الدائن (السحب)]]</f>
        <v>128070.16999999993</v>
      </c>
    </row>
    <row r="116" spans="1:12" ht="23.25" hidden="1">
      <c r="A116" s="676">
        <f>SUBTOTAL(3,$E$8:E116)</f>
        <v>7</v>
      </c>
      <c r="B116" s="379">
        <v>42803</v>
      </c>
      <c r="C116" s="376" t="s">
        <v>1800</v>
      </c>
      <c r="D116" s="375" t="s">
        <v>1198</v>
      </c>
      <c r="E116" s="376" t="s">
        <v>1160</v>
      </c>
      <c r="F116" s="376" t="s">
        <v>1161</v>
      </c>
      <c r="G116" s="678"/>
      <c r="H116" s="376" t="s">
        <v>1233</v>
      </c>
      <c r="I116" s="376" t="s">
        <v>1163</v>
      </c>
      <c r="J116" s="377">
        <v>900</v>
      </c>
      <c r="K116" s="378"/>
      <c r="L116" s="380">
        <f>L115+Table16[[#This Row],[المدين (إيداع)]]-Table16[[#This Row],[الدائن (السحب)]]</f>
        <v>128970.16999999993</v>
      </c>
    </row>
    <row r="117" spans="1:12" ht="23.25" hidden="1">
      <c r="A117" s="676">
        <f>SUBTOTAL(3,$E$8:E117)</f>
        <v>7</v>
      </c>
      <c r="B117" s="379">
        <v>42806</v>
      </c>
      <c r="C117" s="376" t="s">
        <v>1800</v>
      </c>
      <c r="D117" s="375" t="s">
        <v>1234</v>
      </c>
      <c r="E117" s="376" t="s">
        <v>1235</v>
      </c>
      <c r="F117" s="376" t="s">
        <v>1169</v>
      </c>
      <c r="G117" s="678">
        <v>276</v>
      </c>
      <c r="H117" s="376" t="s">
        <v>1228</v>
      </c>
      <c r="I117" s="376" t="s">
        <v>67</v>
      </c>
      <c r="J117" s="377"/>
      <c r="K117" s="378">
        <v>122000</v>
      </c>
      <c r="L117" s="380">
        <f>L116+Table16[[#This Row],[المدين (إيداع)]]-Table16[[#This Row],[الدائن (السحب)]]</f>
        <v>6970.1699999999255</v>
      </c>
    </row>
    <row r="118" spans="1:12" ht="23.25">
      <c r="A118" s="676">
        <f>SUBTOTAL(3,$E$8:E118)</f>
        <v>8</v>
      </c>
      <c r="B118" s="379">
        <v>42806</v>
      </c>
      <c r="D118" s="375"/>
      <c r="E118" s="376" t="s">
        <v>1236</v>
      </c>
      <c r="F118" s="376" t="s">
        <v>1161</v>
      </c>
      <c r="G118" s="678"/>
      <c r="H118" s="376" t="s">
        <v>1237</v>
      </c>
      <c r="J118" s="377">
        <v>1350</v>
      </c>
      <c r="K118" s="378"/>
      <c r="L118" s="380">
        <f>L117+Table16[[#This Row],[المدين (إيداع)]]-Table16[[#This Row],[الدائن (السحب)]]</f>
        <v>8320.1699999999255</v>
      </c>
    </row>
    <row r="119" spans="1:12" ht="23.25" hidden="1">
      <c r="A119" s="676">
        <f>SUBTOTAL(3,$E$8:E119)</f>
        <v>8</v>
      </c>
      <c r="B119" s="379">
        <v>42806</v>
      </c>
      <c r="C119" s="376" t="s">
        <v>1811</v>
      </c>
      <c r="D119" s="375" t="s">
        <v>2019</v>
      </c>
      <c r="E119" s="376" t="s">
        <v>1238</v>
      </c>
      <c r="F119" s="376" t="s">
        <v>1161</v>
      </c>
      <c r="G119" s="678"/>
      <c r="H119" s="376" t="s">
        <v>1239</v>
      </c>
      <c r="I119" s="376" t="s">
        <v>1212</v>
      </c>
      <c r="J119" s="377">
        <v>900</v>
      </c>
      <c r="K119" s="378"/>
      <c r="L119" s="380">
        <f>L118+Table16[[#This Row],[المدين (إيداع)]]-Table16[[#This Row],[الدائن (السحب)]]</f>
        <v>9220.1699999999255</v>
      </c>
    </row>
    <row r="120" spans="1:12" ht="23.25" hidden="1">
      <c r="A120" s="676">
        <f>SUBTOTAL(3,$E$8:E120)</f>
        <v>8</v>
      </c>
      <c r="B120" s="379">
        <v>42807</v>
      </c>
      <c r="C120" s="376" t="s">
        <v>1800</v>
      </c>
      <c r="D120" s="375" t="s">
        <v>1240</v>
      </c>
      <c r="E120" s="376" t="s">
        <v>1241</v>
      </c>
      <c r="F120" s="376" t="s">
        <v>1169</v>
      </c>
      <c r="G120" s="678">
        <v>277</v>
      </c>
      <c r="H120" s="376" t="s">
        <v>1242</v>
      </c>
      <c r="I120" s="376" t="s">
        <v>1840</v>
      </c>
      <c r="J120" s="377"/>
      <c r="K120" s="378">
        <v>72667</v>
      </c>
      <c r="L120" s="380">
        <f>L119+Table16[[#This Row],[المدين (إيداع)]]-Table16[[#This Row],[الدائن (السحب)]]</f>
        <v>-63446.830000000075</v>
      </c>
    </row>
    <row r="121" spans="1:12" ht="23.25" hidden="1">
      <c r="A121" s="676">
        <f>SUBTOTAL(3,$E$8:E121)</f>
        <v>8</v>
      </c>
      <c r="B121" s="379">
        <v>42807</v>
      </c>
      <c r="C121" s="376" t="s">
        <v>1800</v>
      </c>
      <c r="D121" s="375" t="s">
        <v>2005</v>
      </c>
      <c r="E121" s="376" t="s">
        <v>1243</v>
      </c>
      <c r="F121" s="376" t="s">
        <v>1161</v>
      </c>
      <c r="G121" s="678"/>
      <c r="H121" s="376" t="s">
        <v>1181</v>
      </c>
      <c r="I121" s="376" t="s">
        <v>1182</v>
      </c>
      <c r="J121" s="377">
        <v>100150</v>
      </c>
      <c r="K121" s="378"/>
      <c r="L121" s="380">
        <f>L120+Table16[[#This Row],[المدين (إيداع)]]-Table16[[#This Row],[الدائن (السحب)]]</f>
        <v>36703.169999999925</v>
      </c>
    </row>
    <row r="122" spans="1:12" ht="23.25" hidden="1">
      <c r="A122" s="676">
        <f>SUBTOTAL(3,$E$8:E122)</f>
        <v>8</v>
      </c>
      <c r="B122" s="379">
        <v>42807</v>
      </c>
      <c r="C122" s="376" t="s">
        <v>1800</v>
      </c>
      <c r="D122" s="375" t="s">
        <v>1724</v>
      </c>
      <c r="E122" s="376" t="s">
        <v>1254</v>
      </c>
      <c r="F122" s="376" t="s">
        <v>1161</v>
      </c>
      <c r="G122" s="678"/>
      <c r="H122" s="376" t="s">
        <v>1172</v>
      </c>
      <c r="I122" s="376" t="s">
        <v>1725</v>
      </c>
      <c r="J122" s="377">
        <v>2800</v>
      </c>
      <c r="K122" s="378"/>
      <c r="L122" s="380">
        <f>L121+Table16[[#This Row],[المدين (إيداع)]]-Table16[[#This Row],[الدائن (السحب)]]</f>
        <v>39503.169999999925</v>
      </c>
    </row>
    <row r="123" spans="1:12" ht="23.25" hidden="1">
      <c r="A123" s="676">
        <f>SUBTOTAL(3,$E$8:E123)</f>
        <v>8</v>
      </c>
      <c r="B123" s="379">
        <v>42808</v>
      </c>
      <c r="C123" s="376" t="s">
        <v>1800</v>
      </c>
      <c r="D123" s="375" t="s">
        <v>1807</v>
      </c>
      <c r="E123" s="376" t="s">
        <v>1244</v>
      </c>
      <c r="F123" s="376" t="s">
        <v>1152</v>
      </c>
      <c r="G123" s="678"/>
      <c r="H123" s="376" t="s">
        <v>1245</v>
      </c>
      <c r="I123" s="376" t="s">
        <v>1246</v>
      </c>
      <c r="J123" s="377">
        <v>45500</v>
      </c>
      <c r="K123" s="378"/>
      <c r="L123" s="380">
        <f>L122+Table16[[#This Row],[المدين (إيداع)]]-Table16[[#This Row],[الدائن (السحب)]]</f>
        <v>85003.169999999925</v>
      </c>
    </row>
    <row r="124" spans="1:12" ht="23.25">
      <c r="A124" s="676">
        <f>SUBTOTAL(3,$E$8:E124)</f>
        <v>9</v>
      </c>
      <c r="B124" s="379">
        <v>42808</v>
      </c>
      <c r="D124" s="375"/>
      <c r="E124" s="376" t="s">
        <v>1180</v>
      </c>
      <c r="F124" s="376" t="s">
        <v>1178</v>
      </c>
      <c r="G124" s="678"/>
      <c r="H124" s="376" t="s">
        <v>1247</v>
      </c>
      <c r="J124" s="377"/>
      <c r="K124" s="378">
        <v>13298</v>
      </c>
      <c r="L124" s="380">
        <f>L123+Table16[[#This Row],[المدين (إيداع)]]-Table16[[#This Row],[الدائن (السحب)]]</f>
        <v>71705.169999999925</v>
      </c>
    </row>
    <row r="125" spans="1:12" ht="23.25" hidden="1">
      <c r="A125" s="676">
        <f>SUBTOTAL(3,$E$8:E125)</f>
        <v>9</v>
      </c>
      <c r="B125" s="379">
        <v>42808</v>
      </c>
      <c r="C125" s="376" t="s">
        <v>1800</v>
      </c>
      <c r="D125" s="375" t="s">
        <v>1930</v>
      </c>
      <c r="E125" s="376" t="s">
        <v>1156</v>
      </c>
      <c r="F125" s="376" t="s">
        <v>1157</v>
      </c>
      <c r="G125" s="678"/>
      <c r="H125" s="376" t="s">
        <v>1158</v>
      </c>
      <c r="I125" s="376" t="s">
        <v>1157</v>
      </c>
      <c r="J125" s="377"/>
      <c r="K125" s="378">
        <v>25</v>
      </c>
      <c r="L125" s="380">
        <f>L124+Table16[[#This Row],[المدين (إيداع)]]-Table16[[#This Row],[الدائن (السحب)]]</f>
        <v>71680.169999999925</v>
      </c>
    </row>
    <row r="126" spans="1:12" ht="23.25" hidden="1">
      <c r="A126" s="676">
        <f>SUBTOTAL(3,$E$8:E126)</f>
        <v>9</v>
      </c>
      <c r="B126" s="379">
        <v>42809</v>
      </c>
      <c r="C126" s="376" t="s">
        <v>1800</v>
      </c>
      <c r="D126" s="375" t="s">
        <v>1248</v>
      </c>
      <c r="E126" s="376" t="s">
        <v>1249</v>
      </c>
      <c r="F126" s="376" t="s">
        <v>1152</v>
      </c>
      <c r="G126" s="678"/>
      <c r="H126" s="376" t="s">
        <v>1250</v>
      </c>
      <c r="I126" s="376" t="s">
        <v>1190</v>
      </c>
      <c r="J126" s="377">
        <v>30000</v>
      </c>
      <c r="K126" s="378"/>
      <c r="L126" s="380">
        <f>L125+Table16[[#This Row],[المدين (إيداع)]]-Table16[[#This Row],[الدائن (السحب)]]</f>
        <v>101680.16999999993</v>
      </c>
    </row>
    <row r="127" spans="1:12" ht="23.25" hidden="1">
      <c r="A127" s="676">
        <f>SUBTOTAL(3,$E$8:E127)</f>
        <v>9</v>
      </c>
      <c r="B127" s="379">
        <v>42809</v>
      </c>
      <c r="C127" s="376" t="s">
        <v>1811</v>
      </c>
      <c r="D127" s="375" t="s">
        <v>2018</v>
      </c>
      <c r="E127" s="376" t="s">
        <v>1251</v>
      </c>
      <c r="F127" s="376" t="s">
        <v>1161</v>
      </c>
      <c r="G127" s="678"/>
      <c r="H127" s="376" t="s">
        <v>1252</v>
      </c>
      <c r="I127" s="376" t="s">
        <v>1212</v>
      </c>
      <c r="J127" s="377">
        <v>700</v>
      </c>
      <c r="K127" s="378"/>
      <c r="L127" s="380">
        <f>L126+Table16[[#This Row],[المدين (إيداع)]]-Table16[[#This Row],[الدائن (السحب)]]</f>
        <v>102380.16999999993</v>
      </c>
    </row>
    <row r="128" spans="1:12" ht="23.25" hidden="1">
      <c r="A128" s="676">
        <f>SUBTOTAL(3,$E$8:E128)</f>
        <v>9</v>
      </c>
      <c r="B128" s="379">
        <v>42810</v>
      </c>
      <c r="C128" s="376" t="s">
        <v>1800</v>
      </c>
      <c r="D128" s="375" t="s">
        <v>1232</v>
      </c>
      <c r="E128" s="376" t="s">
        <v>1253</v>
      </c>
      <c r="F128" s="376" t="s">
        <v>1161</v>
      </c>
      <c r="G128" s="678"/>
      <c r="H128" s="376" t="s">
        <v>1153</v>
      </c>
      <c r="I128" s="376" t="s">
        <v>1154</v>
      </c>
      <c r="J128" s="377">
        <v>20000</v>
      </c>
      <c r="K128" s="378"/>
      <c r="L128" s="380">
        <f>L127+Table16[[#This Row],[المدين (إيداع)]]-Table16[[#This Row],[الدائن (السحب)]]</f>
        <v>122380.16999999993</v>
      </c>
    </row>
    <row r="129" spans="1:12" ht="23.25" hidden="1">
      <c r="A129" s="676">
        <f>SUBTOTAL(3,$E$8:E129)</f>
        <v>9</v>
      </c>
      <c r="B129" s="379">
        <v>42810</v>
      </c>
      <c r="C129" s="376" t="s">
        <v>1800</v>
      </c>
      <c r="D129" s="375" t="s">
        <v>1232</v>
      </c>
      <c r="E129" s="376" t="s">
        <v>1253</v>
      </c>
      <c r="F129" s="376" t="s">
        <v>1161</v>
      </c>
      <c r="G129" s="678"/>
      <c r="H129" s="376" t="s">
        <v>1153</v>
      </c>
      <c r="I129" s="376" t="s">
        <v>1154</v>
      </c>
      <c r="J129" s="377">
        <v>5000</v>
      </c>
      <c r="K129" s="378"/>
      <c r="L129" s="380">
        <f>L128+Table16[[#This Row],[المدين (إيداع)]]-Table16[[#This Row],[الدائن (السحب)]]</f>
        <v>127380.16999999993</v>
      </c>
    </row>
    <row r="130" spans="1:12" ht="23.25" hidden="1">
      <c r="A130" s="676">
        <f>SUBTOTAL(3,$E$8:E130)</f>
        <v>9</v>
      </c>
      <c r="B130" s="379">
        <v>42810</v>
      </c>
      <c r="C130" s="376" t="s">
        <v>1800</v>
      </c>
      <c r="D130" s="375" t="s">
        <v>1229</v>
      </c>
      <c r="E130" s="376" t="s">
        <v>1254</v>
      </c>
      <c r="F130" s="376" t="s">
        <v>1161</v>
      </c>
      <c r="G130" s="678"/>
      <c r="H130" s="376" t="s">
        <v>1172</v>
      </c>
      <c r="I130" s="376" t="s">
        <v>1154</v>
      </c>
      <c r="J130" s="377">
        <v>800</v>
      </c>
      <c r="K130" s="378"/>
      <c r="L130" s="380">
        <f>L129+Table16[[#This Row],[المدين (إيداع)]]-Table16[[#This Row],[الدائن (السحب)]]</f>
        <v>128180.16999999993</v>
      </c>
    </row>
    <row r="131" spans="1:12" ht="23.25" hidden="1">
      <c r="A131" s="676">
        <f>SUBTOTAL(3,$E$8:E131)</f>
        <v>9</v>
      </c>
      <c r="B131" s="379">
        <v>42811</v>
      </c>
      <c r="D131" s="375" t="s">
        <v>2062</v>
      </c>
      <c r="E131" s="376" t="s">
        <v>1164</v>
      </c>
      <c r="F131" s="376" t="s">
        <v>1165</v>
      </c>
      <c r="G131" s="678">
        <v>279</v>
      </c>
      <c r="H131" s="376" t="s">
        <v>2031</v>
      </c>
      <c r="I131" s="376" t="s">
        <v>2025</v>
      </c>
      <c r="J131" s="377">
        <v>6720</v>
      </c>
      <c r="K131" s="378"/>
      <c r="L131" s="380">
        <f>L130+Table16[[#This Row],[المدين (إيداع)]]-Table16[[#This Row],[الدائن (السحب)]]</f>
        <v>134900.16999999993</v>
      </c>
    </row>
    <row r="132" spans="1:12" ht="23.25" hidden="1">
      <c r="A132" s="676">
        <f>SUBTOTAL(3,$E$8:E132)</f>
        <v>9</v>
      </c>
      <c r="B132" s="379">
        <v>42811</v>
      </c>
      <c r="C132" s="376" t="s">
        <v>1800</v>
      </c>
      <c r="D132" s="375" t="s">
        <v>1213</v>
      </c>
      <c r="E132" s="376" t="s">
        <v>1164</v>
      </c>
      <c r="F132" s="376" t="s">
        <v>1165</v>
      </c>
      <c r="G132" s="678">
        <v>17</v>
      </c>
      <c r="I132" s="376" t="s">
        <v>1163</v>
      </c>
      <c r="J132" s="377">
        <v>3500</v>
      </c>
      <c r="K132" s="378"/>
      <c r="L132" s="380">
        <f>L131+Table16[[#This Row],[المدين (إيداع)]]-Table16[[#This Row],[الدائن (السحب)]]</f>
        <v>138400.16999999993</v>
      </c>
    </row>
    <row r="133" spans="1:12" ht="23.25" hidden="1">
      <c r="A133" s="676">
        <f>SUBTOTAL(3,$E$8:E133)</f>
        <v>9</v>
      </c>
      <c r="B133" s="379">
        <v>42811</v>
      </c>
      <c r="C133" s="376" t="s">
        <v>1800</v>
      </c>
      <c r="D133" s="375" t="s">
        <v>1198</v>
      </c>
      <c r="E133" s="376" t="s">
        <v>1164</v>
      </c>
      <c r="F133" s="376" t="s">
        <v>1165</v>
      </c>
      <c r="G133" s="678">
        <v>4810</v>
      </c>
      <c r="I133" s="376" t="s">
        <v>1163</v>
      </c>
      <c r="J133" s="377">
        <v>22050</v>
      </c>
      <c r="K133" s="378"/>
      <c r="L133" s="380">
        <f>L132+Table16[[#This Row],[المدين (إيداع)]]-Table16[[#This Row],[الدائن (السحب)]]</f>
        <v>160450.16999999993</v>
      </c>
    </row>
    <row r="134" spans="1:12" ht="23.25" hidden="1">
      <c r="A134" s="676">
        <f>SUBTOTAL(3,$E$8:E134)</f>
        <v>9</v>
      </c>
      <c r="B134" s="379">
        <v>42811</v>
      </c>
      <c r="C134" s="376" t="s">
        <v>1800</v>
      </c>
      <c r="D134" s="375" t="s">
        <v>1198</v>
      </c>
      <c r="E134" s="376" t="s">
        <v>1164</v>
      </c>
      <c r="F134" s="376" t="s">
        <v>1165</v>
      </c>
      <c r="G134" s="678">
        <v>806727</v>
      </c>
      <c r="I134" s="376" t="s">
        <v>1163</v>
      </c>
      <c r="J134" s="377">
        <v>2400</v>
      </c>
      <c r="K134" s="378"/>
      <c r="L134" s="380">
        <f>L133+Table16[[#This Row],[المدين (إيداع)]]-Table16[[#This Row],[الدائن (السحب)]]</f>
        <v>162850.16999999993</v>
      </c>
    </row>
    <row r="135" spans="1:12" ht="23.25" hidden="1">
      <c r="A135" s="676">
        <f>SUBTOTAL(3,$E$8:E135)</f>
        <v>9</v>
      </c>
      <c r="B135" s="379">
        <v>42811</v>
      </c>
      <c r="C135" s="376" t="s">
        <v>1800</v>
      </c>
      <c r="D135" s="375" t="s">
        <v>1198</v>
      </c>
      <c r="E135" s="376" t="s">
        <v>1164</v>
      </c>
      <c r="F135" s="376" t="s">
        <v>1165</v>
      </c>
      <c r="G135" s="678">
        <v>66518225</v>
      </c>
      <c r="I135" s="376" t="s">
        <v>1163</v>
      </c>
      <c r="J135" s="377">
        <v>12800</v>
      </c>
      <c r="K135" s="378"/>
      <c r="L135" s="380">
        <f>L134+Table16[[#This Row],[المدين (إيداع)]]-Table16[[#This Row],[الدائن (السحب)]]</f>
        <v>175650.16999999993</v>
      </c>
    </row>
    <row r="136" spans="1:12" ht="23.25" hidden="1">
      <c r="A136" s="676">
        <f>SUBTOTAL(3,$E$8:E136)</f>
        <v>9</v>
      </c>
      <c r="B136" s="379">
        <v>42811</v>
      </c>
      <c r="C136" s="376" t="s">
        <v>1811</v>
      </c>
      <c r="D136" s="375" t="s">
        <v>2021</v>
      </c>
      <c r="E136" s="376" t="s">
        <v>1255</v>
      </c>
      <c r="F136" s="376" t="s">
        <v>1161</v>
      </c>
      <c r="G136" s="678"/>
      <c r="H136" s="376" t="s">
        <v>1256</v>
      </c>
      <c r="I136" s="376" t="s">
        <v>1212</v>
      </c>
      <c r="J136" s="377">
        <v>350</v>
      </c>
      <c r="K136" s="378"/>
      <c r="L136" s="380">
        <f>L135+Table16[[#This Row],[المدين (إيداع)]]-Table16[[#This Row],[الدائن (السحب)]]</f>
        <v>176000.16999999993</v>
      </c>
    </row>
    <row r="137" spans="1:12" ht="23.25">
      <c r="A137" s="676">
        <f>SUBTOTAL(3,$E$8:E137)</f>
        <v>10</v>
      </c>
      <c r="B137" s="379">
        <v>42815</v>
      </c>
      <c r="D137" s="375"/>
      <c r="E137" s="376" t="s">
        <v>1257</v>
      </c>
      <c r="F137" s="376" t="s">
        <v>1161</v>
      </c>
      <c r="G137" s="678"/>
      <c r="H137" s="376" t="s">
        <v>1176</v>
      </c>
      <c r="I137" s="376" t="s">
        <v>1163</v>
      </c>
      <c r="J137" s="377">
        <v>3500</v>
      </c>
      <c r="K137" s="378"/>
      <c r="L137" s="380">
        <f>L136+Table16[[#This Row],[المدين (إيداع)]]-Table16[[#This Row],[الدائن (السحب)]]</f>
        <v>179500.16999999993</v>
      </c>
    </row>
    <row r="138" spans="1:12" ht="23.25" hidden="1">
      <c r="A138" s="676">
        <f>SUBTOTAL(3,$E$8:E138)</f>
        <v>10</v>
      </c>
      <c r="B138" s="379">
        <v>42816</v>
      </c>
      <c r="C138" s="376" t="s">
        <v>1811</v>
      </c>
      <c r="D138" s="375" t="s">
        <v>2018</v>
      </c>
      <c r="E138" s="376" t="s">
        <v>1161</v>
      </c>
      <c r="F138" s="376" t="s">
        <v>1161</v>
      </c>
      <c r="G138" s="678"/>
      <c r="I138" s="376" t="s">
        <v>1212</v>
      </c>
      <c r="J138" s="377">
        <v>600</v>
      </c>
      <c r="K138" s="378"/>
      <c r="L138" s="380">
        <f>L137+Table16[[#This Row],[المدين (إيداع)]]-Table16[[#This Row],[الدائن (السحب)]]</f>
        <v>180100.16999999993</v>
      </c>
    </row>
    <row r="139" spans="1:12" ht="23.25">
      <c r="A139" s="676">
        <f>SUBTOTAL(3,$E$8:E139)</f>
        <v>11</v>
      </c>
      <c r="B139" s="379">
        <v>42816</v>
      </c>
      <c r="D139" s="375"/>
      <c r="E139" s="376" t="s">
        <v>1161</v>
      </c>
      <c r="F139" s="376" t="s">
        <v>1161</v>
      </c>
      <c r="G139" s="678"/>
      <c r="H139" s="376" t="s">
        <v>1176</v>
      </c>
      <c r="I139" s="376" t="s">
        <v>1163</v>
      </c>
      <c r="J139" s="377">
        <v>3500</v>
      </c>
      <c r="K139" s="378"/>
      <c r="L139" s="380">
        <f>L138+Table16[[#This Row],[المدين (إيداع)]]-Table16[[#This Row],[الدائن (السحب)]]</f>
        <v>183600.16999999993</v>
      </c>
    </row>
    <row r="140" spans="1:12" ht="23.25" hidden="1">
      <c r="A140" s="676">
        <f>SUBTOTAL(3,$E$8:E140)</f>
        <v>11</v>
      </c>
      <c r="B140" s="379">
        <v>42820</v>
      </c>
      <c r="C140" s="376" t="s">
        <v>1800</v>
      </c>
      <c r="D140" s="375" t="s">
        <v>2005</v>
      </c>
      <c r="E140" s="376" t="s">
        <v>1243</v>
      </c>
      <c r="F140" s="376" t="s">
        <v>1161</v>
      </c>
      <c r="G140" s="678"/>
      <c r="H140" s="376" t="s">
        <v>1181</v>
      </c>
      <c r="I140" s="376" t="s">
        <v>1182</v>
      </c>
      <c r="J140" s="377">
        <v>5200</v>
      </c>
      <c r="K140" s="378"/>
      <c r="L140" s="380">
        <f>L139+Table16[[#This Row],[المدين (إيداع)]]-Table16[[#This Row],[الدائن (السحب)]]</f>
        <v>188800.16999999993</v>
      </c>
    </row>
    <row r="141" spans="1:12" ht="23.25" hidden="1">
      <c r="A141" s="676">
        <f>SUBTOTAL(3,$E$8:E141)</f>
        <v>11</v>
      </c>
      <c r="B141" s="379">
        <v>42821</v>
      </c>
      <c r="C141" s="376" t="s">
        <v>1811</v>
      </c>
      <c r="D141" s="375" t="s">
        <v>2019</v>
      </c>
      <c r="E141" s="376" t="s">
        <v>1161</v>
      </c>
      <c r="F141" s="376" t="s">
        <v>1161</v>
      </c>
      <c r="G141" s="678"/>
      <c r="H141" s="376" t="s">
        <v>1258</v>
      </c>
      <c r="I141" s="376" t="s">
        <v>1212</v>
      </c>
      <c r="J141" s="377">
        <v>400</v>
      </c>
      <c r="K141" s="378"/>
      <c r="L141" s="380">
        <f>L140+Table16[[#This Row],[المدين (إيداع)]]-Table16[[#This Row],[الدائن (السحب)]]</f>
        <v>189200.16999999993</v>
      </c>
    </row>
    <row r="142" spans="1:12" ht="23.25" hidden="1">
      <c r="A142" s="676">
        <f>SUBTOTAL(3,$E$8:E142)</f>
        <v>11</v>
      </c>
      <c r="B142" s="379">
        <v>42822</v>
      </c>
      <c r="C142" s="376" t="s">
        <v>1800</v>
      </c>
      <c r="D142" s="375" t="s">
        <v>1259</v>
      </c>
      <c r="E142" s="376" t="s">
        <v>1219</v>
      </c>
      <c r="F142" s="376" t="s">
        <v>1161</v>
      </c>
      <c r="G142" s="678"/>
      <c r="H142" s="376" t="s">
        <v>1948</v>
      </c>
      <c r="I142" s="376" t="s">
        <v>1205</v>
      </c>
      <c r="J142" s="652">
        <v>20000</v>
      </c>
      <c r="K142" s="378"/>
      <c r="L142" s="380">
        <f>L141+Table16[[#This Row],[المدين (إيداع)]]-Table16[[#This Row],[الدائن (السحب)]]</f>
        <v>209200.16999999993</v>
      </c>
    </row>
    <row r="143" spans="1:12" ht="23.25" hidden="1">
      <c r="A143" s="676">
        <f>SUBTOTAL(3,$E$8:E143)</f>
        <v>11</v>
      </c>
      <c r="B143" s="379">
        <v>42822</v>
      </c>
      <c r="C143" s="376" t="s">
        <v>1811</v>
      </c>
      <c r="D143" s="375" t="s">
        <v>2019</v>
      </c>
      <c r="E143" s="376" t="s">
        <v>1161</v>
      </c>
      <c r="F143" s="376" t="s">
        <v>1161</v>
      </c>
      <c r="G143" s="678"/>
      <c r="H143" s="376" t="s">
        <v>1260</v>
      </c>
      <c r="I143" s="376" t="s">
        <v>1212</v>
      </c>
      <c r="J143" s="377">
        <v>350</v>
      </c>
      <c r="K143" s="378"/>
      <c r="L143" s="380">
        <f>L142+Table16[[#This Row],[المدين (إيداع)]]-Table16[[#This Row],[الدائن (السحب)]]</f>
        <v>209550.16999999993</v>
      </c>
    </row>
    <row r="144" spans="1:12" ht="23.25" hidden="1">
      <c r="A144" s="676">
        <f>SUBTOTAL(3,$E$8:E144)</f>
        <v>11</v>
      </c>
      <c r="B144" s="379">
        <v>42822</v>
      </c>
      <c r="C144" s="376" t="s">
        <v>1811</v>
      </c>
      <c r="D144" s="375" t="s">
        <v>2019</v>
      </c>
      <c r="E144" s="376" t="s">
        <v>1161</v>
      </c>
      <c r="F144" s="376" t="s">
        <v>1161</v>
      </c>
      <c r="G144" s="678"/>
      <c r="H144" s="376" t="s">
        <v>1261</v>
      </c>
      <c r="I144" s="376" t="s">
        <v>1212</v>
      </c>
      <c r="J144" s="377">
        <v>300</v>
      </c>
      <c r="K144" s="378"/>
      <c r="L144" s="380">
        <f>L143+Table16[[#This Row],[المدين (إيداع)]]-Table16[[#This Row],[الدائن (السحب)]]</f>
        <v>209850.16999999993</v>
      </c>
    </row>
    <row r="145" spans="1:12" ht="23.25" hidden="1">
      <c r="A145" s="676">
        <f>SUBTOTAL(3,$E$8:E145)</f>
        <v>11</v>
      </c>
      <c r="B145" s="379">
        <v>42822</v>
      </c>
      <c r="C145" s="376" t="s">
        <v>1811</v>
      </c>
      <c r="D145" s="375" t="s">
        <v>2018</v>
      </c>
      <c r="E145" s="376" t="s">
        <v>1161</v>
      </c>
      <c r="F145" s="376" t="s">
        <v>1161</v>
      </c>
      <c r="G145" s="678"/>
      <c r="H145" s="376" t="s">
        <v>1262</v>
      </c>
      <c r="I145" s="376" t="s">
        <v>1212</v>
      </c>
      <c r="J145" s="377">
        <v>300</v>
      </c>
      <c r="K145" s="378"/>
      <c r="L145" s="380">
        <f>L144+Table16[[#This Row],[المدين (إيداع)]]-Table16[[#This Row],[الدائن (السحب)]]</f>
        <v>210150.16999999993</v>
      </c>
    </row>
    <row r="146" spans="1:12" ht="23.25" hidden="1">
      <c r="A146" s="676">
        <f>SUBTOTAL(3,$E$8:E146)</f>
        <v>11</v>
      </c>
      <c r="B146" s="379">
        <v>42823</v>
      </c>
      <c r="C146" s="376" t="s">
        <v>1800</v>
      </c>
      <c r="D146" s="375" t="s">
        <v>1259</v>
      </c>
      <c r="E146" s="376" t="s">
        <v>1219</v>
      </c>
      <c r="F146" s="376" t="s">
        <v>1161</v>
      </c>
      <c r="G146" s="678"/>
      <c r="H146" s="376" t="s">
        <v>1948</v>
      </c>
      <c r="I146" s="376" t="s">
        <v>1205</v>
      </c>
      <c r="J146" s="652">
        <v>20000</v>
      </c>
      <c r="K146" s="378"/>
      <c r="L146" s="380">
        <f>L145+Table16[[#This Row],[المدين (إيداع)]]-Table16[[#This Row],[الدائن (السحب)]]</f>
        <v>230150.16999999993</v>
      </c>
    </row>
    <row r="147" spans="1:12" ht="23.25" hidden="1">
      <c r="A147" s="676">
        <f>SUBTOTAL(3,$E$8:E147)</f>
        <v>11</v>
      </c>
      <c r="B147" s="379">
        <v>42823</v>
      </c>
      <c r="C147" s="376" t="s">
        <v>1811</v>
      </c>
      <c r="D147" s="375" t="s">
        <v>2019</v>
      </c>
      <c r="E147" s="376" t="s">
        <v>1161</v>
      </c>
      <c r="F147" s="376" t="s">
        <v>1161</v>
      </c>
      <c r="G147" s="678"/>
      <c r="H147" s="376" t="s">
        <v>1263</v>
      </c>
      <c r="I147" s="376" t="s">
        <v>1212</v>
      </c>
      <c r="J147" s="377">
        <v>855</v>
      </c>
      <c r="K147" s="378"/>
      <c r="L147" s="380">
        <f>L146+Table16[[#This Row],[المدين (إيداع)]]-Table16[[#This Row],[الدائن (السحب)]]</f>
        <v>231005.16999999993</v>
      </c>
    </row>
    <row r="148" spans="1:12" ht="23.25" hidden="1">
      <c r="A148" s="676">
        <f>SUBTOTAL(3,$E$8:E148)</f>
        <v>11</v>
      </c>
      <c r="B148" s="379">
        <v>42824</v>
      </c>
      <c r="C148" s="376" t="s">
        <v>1800</v>
      </c>
      <c r="D148" s="375" t="s">
        <v>1259</v>
      </c>
      <c r="E148" s="376" t="s">
        <v>1219</v>
      </c>
      <c r="F148" s="376" t="s">
        <v>1161</v>
      </c>
      <c r="G148" s="678"/>
      <c r="H148" s="376" t="s">
        <v>1948</v>
      </c>
      <c r="I148" s="376" t="s">
        <v>1205</v>
      </c>
      <c r="J148" s="652">
        <v>20000</v>
      </c>
      <c r="K148" s="378"/>
      <c r="L148" s="380">
        <f>L147+Table16[[#This Row],[المدين (إيداع)]]-Table16[[#This Row],[الدائن (السحب)]]</f>
        <v>251005.16999999993</v>
      </c>
    </row>
    <row r="149" spans="1:12" ht="23.25" hidden="1">
      <c r="A149" s="676">
        <f>SUBTOTAL(3,$E$8:E149)</f>
        <v>11</v>
      </c>
      <c r="B149" s="379">
        <v>42825</v>
      </c>
      <c r="C149" s="376" t="s">
        <v>1800</v>
      </c>
      <c r="D149" s="375" t="s">
        <v>1259</v>
      </c>
      <c r="E149" s="376" t="s">
        <v>1219</v>
      </c>
      <c r="F149" s="376" t="s">
        <v>1161</v>
      </c>
      <c r="G149" s="678"/>
      <c r="H149" s="376" t="s">
        <v>1948</v>
      </c>
      <c r="I149" s="376" t="s">
        <v>1205</v>
      </c>
      <c r="J149" s="652">
        <v>20000</v>
      </c>
      <c r="K149" s="378"/>
      <c r="L149" s="380">
        <f>L148+Table16[[#This Row],[المدين (إيداع)]]-Table16[[#This Row],[الدائن (السحب)]]</f>
        <v>271005.16999999993</v>
      </c>
    </row>
    <row r="150" spans="1:12" ht="23.25" hidden="1">
      <c r="A150" s="676">
        <f>SUBTOTAL(3,$E$8:E150)</f>
        <v>11</v>
      </c>
      <c r="B150" s="379">
        <v>42825</v>
      </c>
      <c r="C150" s="376" t="s">
        <v>1800</v>
      </c>
      <c r="D150" s="375" t="s">
        <v>1223</v>
      </c>
      <c r="E150" s="376" t="s">
        <v>1161</v>
      </c>
      <c r="F150" s="376" t="s">
        <v>1161</v>
      </c>
      <c r="G150" s="678"/>
      <c r="H150" s="376" t="s">
        <v>1264</v>
      </c>
      <c r="I150" s="376" t="s">
        <v>1192</v>
      </c>
      <c r="J150" s="377">
        <v>400</v>
      </c>
      <c r="K150" s="378"/>
      <c r="L150" s="380">
        <f>L149+Table16[[#This Row],[المدين (إيداع)]]-Table16[[#This Row],[الدائن (السحب)]]</f>
        <v>271405.16999999993</v>
      </c>
    </row>
    <row r="151" spans="1:12" ht="23.25" hidden="1">
      <c r="A151" s="676">
        <f>SUBTOTAL(3,$E$8:E151)</f>
        <v>11</v>
      </c>
      <c r="B151" s="379">
        <v>42827</v>
      </c>
      <c r="C151" s="376" t="s">
        <v>1800</v>
      </c>
      <c r="D151" s="375" t="s">
        <v>1232</v>
      </c>
      <c r="E151" s="376" t="s">
        <v>1265</v>
      </c>
      <c r="F151" s="376" t="s">
        <v>1152</v>
      </c>
      <c r="G151" s="678"/>
      <c r="H151" s="376" t="s">
        <v>1153</v>
      </c>
      <c r="I151" s="376" t="s">
        <v>1154</v>
      </c>
      <c r="J151" s="377">
        <v>40617</v>
      </c>
      <c r="K151" s="378"/>
      <c r="L151" s="380">
        <f>L150+Table16[[#This Row],[المدين (إيداع)]]-Table16[[#This Row],[الدائن (السحب)]]</f>
        <v>312022.16999999993</v>
      </c>
    </row>
    <row r="152" spans="1:12" ht="23.25" hidden="1">
      <c r="A152" s="676">
        <f>SUBTOTAL(3,$E$8:E152)</f>
        <v>11</v>
      </c>
      <c r="B152" s="379">
        <v>42827</v>
      </c>
      <c r="C152" s="376" t="s">
        <v>1800</v>
      </c>
      <c r="D152" s="375" t="s">
        <v>1198</v>
      </c>
      <c r="E152" s="376" t="s">
        <v>1161</v>
      </c>
      <c r="F152" s="376" t="s">
        <v>1161</v>
      </c>
      <c r="G152" s="678"/>
      <c r="H152" s="376" t="s">
        <v>1237</v>
      </c>
      <c r="I152" s="376" t="s">
        <v>1163</v>
      </c>
      <c r="J152" s="377">
        <v>1300</v>
      </c>
      <c r="K152" s="378"/>
      <c r="L152" s="380">
        <f>L151+Table16[[#This Row],[المدين (إيداع)]]-Table16[[#This Row],[الدائن (السحب)]]</f>
        <v>313322.16999999993</v>
      </c>
    </row>
    <row r="153" spans="1:12" ht="23.25" hidden="1">
      <c r="A153" s="676">
        <f>SUBTOTAL(3,$E$8:E153)</f>
        <v>11</v>
      </c>
      <c r="B153" s="379">
        <v>42829</v>
      </c>
      <c r="C153" s="376" t="s">
        <v>1800</v>
      </c>
      <c r="D153" s="375" t="s">
        <v>1930</v>
      </c>
      <c r="E153" s="376" t="s">
        <v>1180</v>
      </c>
      <c r="F153" s="376" t="s">
        <v>1178</v>
      </c>
      <c r="G153" s="678"/>
      <c r="H153" s="376" t="s">
        <v>1247</v>
      </c>
      <c r="I153" s="376" t="s">
        <v>1180</v>
      </c>
      <c r="J153" s="377"/>
      <c r="K153" s="378">
        <v>23936</v>
      </c>
      <c r="L153" s="380">
        <f>L152+Table16[[#This Row],[المدين (إيداع)]]-Table16[[#This Row],[الدائن (السحب)]]</f>
        <v>289386.16999999993</v>
      </c>
    </row>
    <row r="154" spans="1:12" ht="23.25" hidden="1">
      <c r="A154" s="676">
        <f>SUBTOTAL(3,$E$8:E154)</f>
        <v>11</v>
      </c>
      <c r="B154" s="379">
        <v>42829</v>
      </c>
      <c r="D154" s="375" t="s">
        <v>2062</v>
      </c>
      <c r="E154" s="376" t="s">
        <v>1164</v>
      </c>
      <c r="F154" s="376" t="s">
        <v>1165</v>
      </c>
      <c r="G154" s="678">
        <v>4223</v>
      </c>
      <c r="H154" s="376" t="s">
        <v>2027</v>
      </c>
      <c r="I154" s="376" t="s">
        <v>2025</v>
      </c>
      <c r="J154" s="377">
        <v>7935</v>
      </c>
      <c r="K154" s="378"/>
      <c r="L154" s="380">
        <f>L153+Table16[[#This Row],[المدين (إيداع)]]-Table16[[#This Row],[الدائن (السحب)]]</f>
        <v>297321.16999999993</v>
      </c>
    </row>
    <row r="155" spans="1:12" ht="23.25" hidden="1">
      <c r="A155" s="676">
        <f>SUBTOTAL(3,$E$8:E155)</f>
        <v>11</v>
      </c>
      <c r="B155" s="379">
        <v>42829</v>
      </c>
      <c r="C155" s="376" t="s">
        <v>1800</v>
      </c>
      <c r="D155" s="375" t="s">
        <v>1198</v>
      </c>
      <c r="E155" s="376" t="s">
        <v>1164</v>
      </c>
      <c r="F155" s="376" t="s">
        <v>1165</v>
      </c>
      <c r="G155" s="678">
        <v>949</v>
      </c>
      <c r="I155" s="376" t="s">
        <v>1163</v>
      </c>
      <c r="J155" s="377">
        <v>2250</v>
      </c>
      <c r="K155" s="378"/>
      <c r="L155" s="380">
        <f>L154+Table16[[#This Row],[المدين (إيداع)]]-Table16[[#This Row],[الدائن (السحب)]]</f>
        <v>299571.16999999993</v>
      </c>
    </row>
    <row r="156" spans="1:12" ht="23.25" hidden="1">
      <c r="A156" s="676">
        <f>SUBTOTAL(3,$E$8:E156)</f>
        <v>11</v>
      </c>
      <c r="B156" s="379">
        <v>42829</v>
      </c>
      <c r="C156" s="376" t="s">
        <v>1800</v>
      </c>
      <c r="D156" s="375" t="s">
        <v>1930</v>
      </c>
      <c r="E156" s="376" t="s">
        <v>1156</v>
      </c>
      <c r="F156" s="376" t="s">
        <v>1157</v>
      </c>
      <c r="G156" s="678"/>
      <c r="H156" s="376" t="s">
        <v>1158</v>
      </c>
      <c r="I156" s="376" t="s">
        <v>1157</v>
      </c>
      <c r="J156" s="377"/>
      <c r="K156" s="378">
        <v>25</v>
      </c>
      <c r="L156" s="380">
        <f>L155+Table16[[#This Row],[المدين (إيداع)]]-Table16[[#This Row],[الدائن (السحب)]]</f>
        <v>299546.16999999993</v>
      </c>
    </row>
    <row r="157" spans="1:12" ht="23.25" hidden="1">
      <c r="A157" s="676">
        <f>SUBTOTAL(3,$E$8:E157)</f>
        <v>11</v>
      </c>
      <c r="B157" s="379">
        <v>42829</v>
      </c>
      <c r="C157" s="376" t="s">
        <v>1800</v>
      </c>
      <c r="D157" s="375" t="s">
        <v>1726</v>
      </c>
      <c r="E157" s="376" t="s">
        <v>1195</v>
      </c>
      <c r="F157" s="376" t="s">
        <v>1161</v>
      </c>
      <c r="G157" s="678"/>
      <c r="H157" s="376" t="s">
        <v>1196</v>
      </c>
      <c r="I157" s="376" t="s">
        <v>1196</v>
      </c>
      <c r="J157" s="377">
        <v>3200</v>
      </c>
      <c r="K157" s="378"/>
      <c r="L157" s="380">
        <f>L156+Table16[[#This Row],[المدين (إيداع)]]-Table16[[#This Row],[الدائن (السحب)]]</f>
        <v>302746.16999999993</v>
      </c>
    </row>
    <row r="158" spans="1:12" ht="23.25" hidden="1">
      <c r="A158" s="676">
        <f>SUBTOTAL(3,$E$8:E158)</f>
        <v>11</v>
      </c>
      <c r="B158" s="379">
        <v>42829</v>
      </c>
      <c r="C158" s="376" t="s">
        <v>1800</v>
      </c>
      <c r="D158" s="375" t="s">
        <v>1266</v>
      </c>
      <c r="E158" s="376" t="s">
        <v>1267</v>
      </c>
      <c r="F158" s="376" t="s">
        <v>1161</v>
      </c>
      <c r="G158" s="678"/>
      <c r="H158" s="376" t="s">
        <v>1268</v>
      </c>
      <c r="J158" s="377">
        <v>400</v>
      </c>
      <c r="K158" s="378"/>
      <c r="L158" s="380">
        <f>L157+Table16[[#This Row],[المدين (إيداع)]]-Table16[[#This Row],[الدائن (السحب)]]</f>
        <v>303146.16999999993</v>
      </c>
    </row>
    <row r="159" spans="1:12" ht="23.25" hidden="1">
      <c r="A159" s="676">
        <f>SUBTOTAL(3,$E$8:E159)</f>
        <v>11</v>
      </c>
      <c r="B159" s="379">
        <v>42829</v>
      </c>
      <c r="C159" s="376" t="s">
        <v>1811</v>
      </c>
      <c r="D159" s="375" t="s">
        <v>2021</v>
      </c>
      <c r="E159" s="376" t="s">
        <v>1267</v>
      </c>
      <c r="F159" s="376" t="s">
        <v>1161</v>
      </c>
      <c r="G159" s="678"/>
      <c r="H159" s="376" t="s">
        <v>1268</v>
      </c>
      <c r="I159" s="376" t="s">
        <v>1212</v>
      </c>
      <c r="J159" s="377">
        <v>300</v>
      </c>
      <c r="K159" s="378"/>
      <c r="L159" s="380">
        <f>L158+Table16[[#This Row],[المدين (إيداع)]]-Table16[[#This Row],[الدائن (السحب)]]</f>
        <v>303446.16999999993</v>
      </c>
    </row>
    <row r="160" spans="1:12" ht="23.25" hidden="1">
      <c r="A160" s="676">
        <f>SUBTOTAL(3,$E$8:E160)</f>
        <v>11</v>
      </c>
      <c r="B160" s="379">
        <v>42830</v>
      </c>
      <c r="C160" s="376" t="s">
        <v>1811</v>
      </c>
      <c r="D160" s="375" t="s">
        <v>2017</v>
      </c>
      <c r="E160" s="376" t="s">
        <v>1269</v>
      </c>
      <c r="F160" s="376" t="s">
        <v>1152</v>
      </c>
      <c r="G160" s="678"/>
      <c r="H160" s="376" t="s">
        <v>1270</v>
      </c>
      <c r="I160" s="376" t="s">
        <v>1212</v>
      </c>
      <c r="J160" s="377">
        <v>900</v>
      </c>
      <c r="K160" s="378"/>
      <c r="L160" s="380">
        <f>L159+Table16[[#This Row],[المدين (إيداع)]]-Table16[[#This Row],[الدائن (السحب)]]</f>
        <v>304346.16999999993</v>
      </c>
    </row>
    <row r="161" spans="1:12" ht="23.25" hidden="1">
      <c r="A161" s="676">
        <f>SUBTOTAL(3,$E$8:E161)</f>
        <v>11</v>
      </c>
      <c r="B161" s="379">
        <v>42830</v>
      </c>
      <c r="C161" s="376" t="s">
        <v>1800</v>
      </c>
      <c r="D161" s="375" t="s">
        <v>1271</v>
      </c>
      <c r="E161" s="376" t="s">
        <v>1272</v>
      </c>
      <c r="F161" s="376" t="s">
        <v>1169</v>
      </c>
      <c r="G161" s="678">
        <v>403</v>
      </c>
      <c r="H161" s="376" t="s">
        <v>1170</v>
      </c>
      <c r="I161" s="376" t="s">
        <v>1170</v>
      </c>
      <c r="J161" s="377"/>
      <c r="K161" s="378">
        <v>80000</v>
      </c>
      <c r="L161" s="380">
        <f>L160+Table16[[#This Row],[المدين (إيداع)]]-Table16[[#This Row],[الدائن (السحب)]]</f>
        <v>224346.16999999993</v>
      </c>
    </row>
    <row r="162" spans="1:12" ht="23.25" hidden="1">
      <c r="A162" s="676">
        <f>SUBTOTAL(3,$E$8:E162)</f>
        <v>11</v>
      </c>
      <c r="B162" s="379">
        <v>42831</v>
      </c>
      <c r="C162" s="376" t="s">
        <v>1800</v>
      </c>
      <c r="D162" s="375" t="s">
        <v>1232</v>
      </c>
      <c r="E162" s="376" t="s">
        <v>1164</v>
      </c>
      <c r="F162" s="376" t="s">
        <v>1165</v>
      </c>
      <c r="G162" s="678">
        <v>2291</v>
      </c>
      <c r="H162" s="376" t="s">
        <v>1185</v>
      </c>
      <c r="I162" s="376" t="s">
        <v>1154</v>
      </c>
      <c r="J162" s="377">
        <v>1000</v>
      </c>
      <c r="K162" s="378"/>
      <c r="L162" s="380">
        <f>L161+Table16[[#This Row],[المدين (إيداع)]]-Table16[[#This Row],[الدائن (السحب)]]</f>
        <v>225346.16999999993</v>
      </c>
    </row>
    <row r="163" spans="1:12" ht="23.25" hidden="1">
      <c r="A163" s="676">
        <f>SUBTOTAL(3,$E$8:E163)</f>
        <v>11</v>
      </c>
      <c r="B163" s="379">
        <v>42831</v>
      </c>
      <c r="C163" s="376" t="s">
        <v>1800</v>
      </c>
      <c r="D163" s="375" t="s">
        <v>1232</v>
      </c>
      <c r="E163" s="376" t="s">
        <v>1164</v>
      </c>
      <c r="F163" s="376" t="s">
        <v>1165</v>
      </c>
      <c r="G163" s="678">
        <v>352</v>
      </c>
      <c r="H163" s="376" t="s">
        <v>1185</v>
      </c>
      <c r="I163" s="376" t="s">
        <v>1154</v>
      </c>
      <c r="J163" s="377">
        <v>3000</v>
      </c>
      <c r="K163" s="378"/>
      <c r="L163" s="380">
        <f>L162+Table16[[#This Row],[المدين (إيداع)]]-Table16[[#This Row],[الدائن (السحب)]]</f>
        <v>228346.16999999993</v>
      </c>
    </row>
    <row r="164" spans="1:12" ht="23.25" hidden="1">
      <c r="A164" s="676">
        <f>SUBTOTAL(3,$E$8:E164)</f>
        <v>11</v>
      </c>
      <c r="B164" s="379">
        <v>42831</v>
      </c>
      <c r="C164" s="376" t="s">
        <v>1800</v>
      </c>
      <c r="D164" s="375" t="s">
        <v>1232</v>
      </c>
      <c r="E164" s="376" t="s">
        <v>1164</v>
      </c>
      <c r="F164" s="376" t="s">
        <v>1165</v>
      </c>
      <c r="G164" s="678">
        <v>27355</v>
      </c>
      <c r="H164" s="376" t="s">
        <v>1185</v>
      </c>
      <c r="I164" s="376" t="s">
        <v>1154</v>
      </c>
      <c r="J164" s="377">
        <v>750</v>
      </c>
      <c r="K164" s="378"/>
      <c r="L164" s="380">
        <f>L163+Table16[[#This Row],[المدين (إيداع)]]-Table16[[#This Row],[الدائن (السحب)]]</f>
        <v>229096.16999999993</v>
      </c>
    </row>
    <row r="165" spans="1:12" ht="23.25" hidden="1">
      <c r="A165" s="676">
        <f>SUBTOTAL(3,$E$8:E165)</f>
        <v>11</v>
      </c>
      <c r="B165" s="379">
        <v>42831</v>
      </c>
      <c r="C165" s="376" t="s">
        <v>1800</v>
      </c>
      <c r="D165" s="375" t="s">
        <v>1232</v>
      </c>
      <c r="E165" s="376" t="s">
        <v>1164</v>
      </c>
      <c r="F165" s="376" t="s">
        <v>1165</v>
      </c>
      <c r="G165" s="678">
        <v>40</v>
      </c>
      <c r="H165" s="376" t="s">
        <v>1185</v>
      </c>
      <c r="I165" s="376" t="s">
        <v>1154</v>
      </c>
      <c r="J165" s="377">
        <v>3000</v>
      </c>
      <c r="K165" s="378"/>
      <c r="L165" s="380">
        <f>L164+Table16[[#This Row],[المدين (إيداع)]]-Table16[[#This Row],[الدائن (السحب)]]</f>
        <v>232096.16999999993</v>
      </c>
    </row>
    <row r="166" spans="1:12" ht="23.25" hidden="1">
      <c r="A166" s="676">
        <f>SUBTOTAL(3,$E$8:E166)</f>
        <v>11</v>
      </c>
      <c r="B166" s="379">
        <v>42832</v>
      </c>
      <c r="C166" s="376" t="s">
        <v>1800</v>
      </c>
      <c r="D166" s="375" t="s">
        <v>1198</v>
      </c>
      <c r="E166" s="376" t="s">
        <v>1164</v>
      </c>
      <c r="F166" s="376" t="s">
        <v>1165</v>
      </c>
      <c r="G166" s="678">
        <v>4785</v>
      </c>
      <c r="H166" s="376" t="s">
        <v>1185</v>
      </c>
      <c r="I166" s="376" t="s">
        <v>1163</v>
      </c>
      <c r="J166" s="377">
        <v>2700</v>
      </c>
      <c r="K166" s="378"/>
      <c r="L166" s="380">
        <f>L165+Table16[[#This Row],[المدين (إيداع)]]-Table16[[#This Row],[الدائن (السحب)]]</f>
        <v>234796.16999999993</v>
      </c>
    </row>
    <row r="167" spans="1:12" ht="23.25" hidden="1">
      <c r="A167" s="676">
        <f>SUBTOTAL(3,$E$8:E167)</f>
        <v>11</v>
      </c>
      <c r="B167" s="379">
        <v>42835</v>
      </c>
      <c r="C167" s="376" t="s">
        <v>1800</v>
      </c>
      <c r="D167" s="375" t="s">
        <v>55</v>
      </c>
      <c r="E167" s="376" t="s">
        <v>1273</v>
      </c>
      <c r="F167" s="376" t="s">
        <v>1169</v>
      </c>
      <c r="G167" s="678">
        <v>405</v>
      </c>
      <c r="H167" s="376" t="s">
        <v>1274</v>
      </c>
      <c r="I167" s="376" t="s">
        <v>67</v>
      </c>
      <c r="J167" s="377"/>
      <c r="K167" s="378">
        <v>36000</v>
      </c>
      <c r="L167" s="380">
        <f>L166+Table16[[#This Row],[المدين (إيداع)]]-Table16[[#This Row],[الدائن (السحب)]]</f>
        <v>198796.16999999993</v>
      </c>
    </row>
    <row r="168" spans="1:12" ht="23.25" hidden="1">
      <c r="A168" s="676">
        <f>SUBTOTAL(3,$E$8:E168)</f>
        <v>11</v>
      </c>
      <c r="B168" s="379">
        <v>42835</v>
      </c>
      <c r="C168" s="376" t="s">
        <v>1800</v>
      </c>
      <c r="D168" s="375" t="s">
        <v>1726</v>
      </c>
      <c r="E168" s="376" t="s">
        <v>1254</v>
      </c>
      <c r="F168" s="376" t="s">
        <v>1161</v>
      </c>
      <c r="G168" s="678"/>
      <c r="H168" s="376" t="s">
        <v>1172</v>
      </c>
      <c r="I168" s="376" t="s">
        <v>1727</v>
      </c>
      <c r="J168" s="377">
        <v>2800</v>
      </c>
      <c r="K168" s="378"/>
      <c r="L168" s="380">
        <f>L167+Table16[[#This Row],[المدين (إيداع)]]-Table16[[#This Row],[الدائن (السحب)]]</f>
        <v>201596.16999999993</v>
      </c>
    </row>
    <row r="169" spans="1:12" ht="23.25" hidden="1">
      <c r="A169" s="676">
        <f>SUBTOTAL(3,$E$8:E169)</f>
        <v>11</v>
      </c>
      <c r="B169" s="379">
        <v>42836</v>
      </c>
      <c r="C169" s="376" t="s">
        <v>1800</v>
      </c>
      <c r="D169" s="375" t="s">
        <v>55</v>
      </c>
      <c r="E169" s="376" t="s">
        <v>1275</v>
      </c>
      <c r="F169" s="376" t="s">
        <v>1169</v>
      </c>
      <c r="G169" s="678">
        <v>404</v>
      </c>
      <c r="H169" s="376" t="s">
        <v>1242</v>
      </c>
      <c r="I169" s="376" t="s">
        <v>1841</v>
      </c>
      <c r="J169" s="377"/>
      <c r="K169" s="378">
        <v>72667</v>
      </c>
      <c r="L169" s="380">
        <f>L168+Table16[[#This Row],[المدين (إيداع)]]-Table16[[#This Row],[الدائن (السحب)]]</f>
        <v>128929.16999999993</v>
      </c>
    </row>
    <row r="170" spans="1:12" ht="23.25" hidden="1">
      <c r="A170" s="676">
        <f>SUBTOTAL(3,$E$8:E170)</f>
        <v>11</v>
      </c>
      <c r="B170" s="379">
        <v>42836</v>
      </c>
      <c r="C170" s="376" t="s">
        <v>1800</v>
      </c>
      <c r="D170" s="375" t="s">
        <v>1266</v>
      </c>
      <c r="E170" s="376" t="s">
        <v>1276</v>
      </c>
      <c r="F170" s="376" t="s">
        <v>1161</v>
      </c>
      <c r="G170" s="678"/>
      <c r="H170" s="376" t="s">
        <v>1177</v>
      </c>
      <c r="I170" s="376" t="s">
        <v>1163</v>
      </c>
      <c r="J170" s="377">
        <v>900</v>
      </c>
      <c r="K170" s="378"/>
      <c r="L170" s="380">
        <f>L169+Table16[[#This Row],[المدين (إيداع)]]-Table16[[#This Row],[الدائن (السحب)]]</f>
        <v>129829.16999999993</v>
      </c>
    </row>
    <row r="171" spans="1:12" ht="23.25" hidden="1">
      <c r="A171" s="676">
        <f>SUBTOTAL(3,$E$8:E171)</f>
        <v>11</v>
      </c>
      <c r="B171" s="379">
        <v>42837</v>
      </c>
      <c r="C171" s="376" t="s">
        <v>1800</v>
      </c>
      <c r="D171" s="375" t="s">
        <v>1952</v>
      </c>
      <c r="E171" s="376" t="s">
        <v>1219</v>
      </c>
      <c r="F171" s="376" t="s">
        <v>1161</v>
      </c>
      <c r="G171" s="678"/>
      <c r="H171" s="376" t="s">
        <v>1946</v>
      </c>
      <c r="I171" s="376" t="s">
        <v>1205</v>
      </c>
      <c r="J171" s="652">
        <v>20000</v>
      </c>
      <c r="K171" s="378"/>
      <c r="L171" s="380">
        <f>L170+Table16[[#This Row],[المدين (إيداع)]]-Table16[[#This Row],[الدائن (السحب)]]</f>
        <v>149829.16999999993</v>
      </c>
    </row>
    <row r="172" spans="1:12" ht="23.25" hidden="1">
      <c r="A172" s="676">
        <f>SUBTOTAL(3,$E$8:E172)</f>
        <v>11</v>
      </c>
      <c r="B172" s="379">
        <v>42838</v>
      </c>
      <c r="C172" s="376" t="s">
        <v>1800</v>
      </c>
      <c r="D172" s="375" t="s">
        <v>1952</v>
      </c>
      <c r="E172" s="376" t="s">
        <v>1219</v>
      </c>
      <c r="F172" s="376" t="s">
        <v>1161</v>
      </c>
      <c r="G172" s="678"/>
      <c r="H172" s="376" t="s">
        <v>1946</v>
      </c>
      <c r="I172" s="376" t="s">
        <v>1205</v>
      </c>
      <c r="J172" s="652">
        <v>20000</v>
      </c>
      <c r="K172" s="378"/>
      <c r="L172" s="380">
        <f>L171+Table16[[#This Row],[المدين (إيداع)]]-Table16[[#This Row],[الدائن (السحب)]]</f>
        <v>169829.16999999993</v>
      </c>
    </row>
    <row r="173" spans="1:12" ht="23.25" hidden="1">
      <c r="A173" s="676">
        <f>SUBTOTAL(3,$E$8:E173)</f>
        <v>11</v>
      </c>
      <c r="B173" s="379">
        <v>42838</v>
      </c>
      <c r="C173" s="376" t="s">
        <v>1800</v>
      </c>
      <c r="D173" s="375" t="s">
        <v>1952</v>
      </c>
      <c r="E173" s="376" t="s">
        <v>1219</v>
      </c>
      <c r="F173" s="376" t="s">
        <v>1161</v>
      </c>
      <c r="G173" s="678"/>
      <c r="H173" s="376" t="s">
        <v>1946</v>
      </c>
      <c r="I173" s="376" t="s">
        <v>1205</v>
      </c>
      <c r="J173" s="652">
        <v>20000</v>
      </c>
      <c r="K173" s="378"/>
      <c r="L173" s="380">
        <f>L172+Table16[[#This Row],[المدين (إيداع)]]-Table16[[#This Row],[الدائن (السحب)]]</f>
        <v>189829.16999999993</v>
      </c>
    </row>
    <row r="174" spans="1:12" ht="23.25" hidden="1">
      <c r="A174" s="676">
        <f>SUBTOTAL(3,$E$8:E174)</f>
        <v>11</v>
      </c>
      <c r="B174" s="379">
        <v>42838</v>
      </c>
      <c r="C174" s="376" t="s">
        <v>1811</v>
      </c>
      <c r="D174" s="375" t="s">
        <v>2021</v>
      </c>
      <c r="E174" s="376" t="s">
        <v>1255</v>
      </c>
      <c r="F174" s="376" t="s">
        <v>1161</v>
      </c>
      <c r="G174" s="678"/>
      <c r="H174" s="376" t="s">
        <v>1256</v>
      </c>
      <c r="I174" s="376" t="s">
        <v>1212</v>
      </c>
      <c r="J174" s="377">
        <v>350</v>
      </c>
      <c r="K174" s="378"/>
      <c r="L174" s="380">
        <f>L173+Table16[[#This Row],[المدين (إيداع)]]-Table16[[#This Row],[الدائن (السحب)]]</f>
        <v>190179.16999999993</v>
      </c>
    </row>
    <row r="175" spans="1:12" ht="23.25" hidden="1">
      <c r="A175" s="676">
        <f>SUBTOTAL(3,$E$8:E175)</f>
        <v>11</v>
      </c>
      <c r="B175" s="379">
        <v>42838</v>
      </c>
      <c r="C175" s="376" t="s">
        <v>1800</v>
      </c>
      <c r="D175" s="375" t="s">
        <v>1829</v>
      </c>
      <c r="E175" s="376" t="s">
        <v>1277</v>
      </c>
      <c r="F175" s="376" t="s">
        <v>1161</v>
      </c>
      <c r="G175" s="678"/>
      <c r="H175" s="376" t="s">
        <v>2099</v>
      </c>
      <c r="I175" s="376" t="s">
        <v>1296</v>
      </c>
      <c r="J175" s="377">
        <v>3600</v>
      </c>
      <c r="K175" s="378"/>
      <c r="L175" s="380">
        <f>L174+Table16[[#This Row],[المدين (إيداع)]]-Table16[[#This Row],[الدائن (السحب)]]</f>
        <v>193779.16999999993</v>
      </c>
    </row>
    <row r="176" spans="1:12" ht="23.25" hidden="1">
      <c r="A176" s="676">
        <f>SUBTOTAL(3,$E$8:E176)</f>
        <v>11</v>
      </c>
      <c r="B176" s="379">
        <v>42841</v>
      </c>
      <c r="C176" s="376" t="s">
        <v>1800</v>
      </c>
      <c r="D176" s="375" t="s">
        <v>1259</v>
      </c>
      <c r="E176" s="376" t="s">
        <v>1219</v>
      </c>
      <c r="F176" s="376" t="s">
        <v>1161</v>
      </c>
      <c r="G176" s="678"/>
      <c r="H176" s="376" t="s">
        <v>1948</v>
      </c>
      <c r="I176" s="376" t="s">
        <v>1205</v>
      </c>
      <c r="J176" s="652">
        <v>16400</v>
      </c>
      <c r="K176" s="378"/>
      <c r="L176" s="380">
        <f>L175+Table16[[#This Row],[المدين (إيداع)]]-Table16[[#This Row],[الدائن (السحب)]]</f>
        <v>210179.16999999993</v>
      </c>
    </row>
    <row r="177" spans="1:12" ht="23.25" hidden="1">
      <c r="A177" s="676">
        <f>SUBTOTAL(3,$E$8:E177)</f>
        <v>11</v>
      </c>
      <c r="B177" s="379">
        <v>42841</v>
      </c>
      <c r="C177" s="376" t="s">
        <v>1800</v>
      </c>
      <c r="D177" s="375" t="s">
        <v>1266</v>
      </c>
      <c r="E177" s="376" t="s">
        <v>1276</v>
      </c>
      <c r="F177" s="376" t="s">
        <v>1161</v>
      </c>
      <c r="G177" s="678"/>
      <c r="H177" s="376" t="s">
        <v>1177</v>
      </c>
      <c r="I177" s="376" t="s">
        <v>1163</v>
      </c>
      <c r="J177" s="377">
        <v>9600</v>
      </c>
      <c r="K177" s="378"/>
      <c r="L177" s="380">
        <f>L176+Table16[[#This Row],[المدين (إيداع)]]-Table16[[#This Row],[الدائن (السحب)]]</f>
        <v>219779.16999999993</v>
      </c>
    </row>
    <row r="178" spans="1:12" ht="23.25" hidden="1">
      <c r="A178" s="676">
        <f>SUBTOTAL(3,$E$8:E178)</f>
        <v>11</v>
      </c>
      <c r="B178" s="379">
        <v>42843</v>
      </c>
      <c r="C178" s="376" t="s">
        <v>1800</v>
      </c>
      <c r="D178" s="375" t="s">
        <v>1266</v>
      </c>
      <c r="E178" s="376" t="s">
        <v>1164</v>
      </c>
      <c r="F178" s="376" t="s">
        <v>1165</v>
      </c>
      <c r="G178" s="678">
        <v>2337</v>
      </c>
      <c r="I178" s="376" t="s">
        <v>1163</v>
      </c>
      <c r="J178" s="377">
        <v>22050</v>
      </c>
      <c r="K178" s="378"/>
      <c r="L178" s="380">
        <f>L177+Table16[[#This Row],[المدين (إيداع)]]-Table16[[#This Row],[الدائن (السحب)]]</f>
        <v>241829.16999999993</v>
      </c>
    </row>
    <row r="179" spans="1:12" ht="23.25" hidden="1">
      <c r="A179" s="676">
        <f>SUBTOTAL(3,$E$8:E179)</f>
        <v>11</v>
      </c>
      <c r="B179" s="379">
        <v>42843</v>
      </c>
      <c r="C179" s="376" t="s">
        <v>1800</v>
      </c>
      <c r="D179" s="375" t="s">
        <v>1930</v>
      </c>
      <c r="E179" s="376" t="s">
        <v>1180</v>
      </c>
      <c r="F179" s="376" t="s">
        <v>1178</v>
      </c>
      <c r="G179" s="678"/>
      <c r="H179" s="376" t="s">
        <v>1247</v>
      </c>
      <c r="I179" s="376" t="s">
        <v>1180</v>
      </c>
      <c r="J179" s="377"/>
      <c r="K179" s="378">
        <v>18338</v>
      </c>
      <c r="L179" s="380">
        <f>L178+Table16[[#This Row],[المدين (إيداع)]]-Table16[[#This Row],[الدائن (السحب)]]</f>
        <v>223491.16999999993</v>
      </c>
    </row>
    <row r="180" spans="1:12" ht="23.25" hidden="1">
      <c r="A180" s="676">
        <f>SUBTOTAL(3,$E$8:E180)</f>
        <v>11</v>
      </c>
      <c r="B180" s="379">
        <v>42843</v>
      </c>
      <c r="C180" s="376" t="s">
        <v>1800</v>
      </c>
      <c r="D180" s="375" t="s">
        <v>1805</v>
      </c>
      <c r="E180" s="376" t="s">
        <v>1278</v>
      </c>
      <c r="F180" s="376" t="s">
        <v>1169</v>
      </c>
      <c r="G180" s="678">
        <v>279</v>
      </c>
      <c r="H180" s="376" t="s">
        <v>1279</v>
      </c>
      <c r="I180" s="376" t="s">
        <v>1221</v>
      </c>
      <c r="J180" s="377"/>
      <c r="K180" s="378">
        <v>50000</v>
      </c>
      <c r="L180" s="380">
        <f>L179+Table16[[#This Row],[المدين (إيداع)]]-Table16[[#This Row],[الدائن (السحب)]]</f>
        <v>173491.16999999993</v>
      </c>
    </row>
    <row r="181" spans="1:12" ht="23.25" hidden="1">
      <c r="A181" s="676">
        <f>SUBTOTAL(3,$E$8:E181)</f>
        <v>11</v>
      </c>
      <c r="B181" s="379">
        <v>42843</v>
      </c>
      <c r="C181" s="376" t="s">
        <v>1811</v>
      </c>
      <c r="D181" s="375" t="s">
        <v>2017</v>
      </c>
      <c r="E181" s="376" t="s">
        <v>1280</v>
      </c>
      <c r="F181" s="376" t="s">
        <v>1161</v>
      </c>
      <c r="G181" s="678"/>
      <c r="H181" s="376" t="s">
        <v>1171</v>
      </c>
      <c r="I181" s="376" t="s">
        <v>1212</v>
      </c>
      <c r="J181" s="377">
        <v>600</v>
      </c>
      <c r="K181" s="378"/>
      <c r="L181" s="380">
        <f>L180+Table16[[#This Row],[المدين (إيداع)]]-Table16[[#This Row],[الدائن (السحب)]]</f>
        <v>174091.16999999993</v>
      </c>
    </row>
    <row r="182" spans="1:12" ht="23.25" hidden="1">
      <c r="A182" s="676">
        <f>SUBTOTAL(3,$E$8:E182)</f>
        <v>11</v>
      </c>
      <c r="B182" s="379">
        <v>42843</v>
      </c>
      <c r="C182" s="376" t="s">
        <v>1800</v>
      </c>
      <c r="D182" s="375" t="s">
        <v>1930</v>
      </c>
      <c r="E182" s="376" t="s">
        <v>1156</v>
      </c>
      <c r="F182" s="376" t="s">
        <v>1157</v>
      </c>
      <c r="G182" s="678"/>
      <c r="H182" s="376" t="s">
        <v>1158</v>
      </c>
      <c r="I182" s="376" t="s">
        <v>1157</v>
      </c>
      <c r="J182" s="377"/>
      <c r="K182" s="378">
        <v>25</v>
      </c>
      <c r="L182" s="380">
        <f>L181+Table16[[#This Row],[المدين (إيداع)]]-Table16[[#This Row],[الدائن (السحب)]]</f>
        <v>174066.16999999993</v>
      </c>
    </row>
    <row r="183" spans="1:12" ht="23.25" hidden="1">
      <c r="A183" s="676">
        <f>SUBTOTAL(3,$E$8:E183)</f>
        <v>11</v>
      </c>
      <c r="B183" s="379">
        <v>42843</v>
      </c>
      <c r="C183" s="376" t="s">
        <v>1800</v>
      </c>
      <c r="D183" s="375" t="s">
        <v>1281</v>
      </c>
      <c r="E183" s="376" t="s">
        <v>1219</v>
      </c>
      <c r="F183" s="376" t="s">
        <v>1161</v>
      </c>
      <c r="G183" s="678"/>
      <c r="H183" s="376" t="s">
        <v>1946</v>
      </c>
      <c r="I183" s="376" t="s">
        <v>1205</v>
      </c>
      <c r="J183" s="652">
        <v>8298</v>
      </c>
      <c r="K183" s="378"/>
      <c r="L183" s="380">
        <f>L182+Table16[[#This Row],[المدين (إيداع)]]-Table16[[#This Row],[الدائن (السحب)]]</f>
        <v>182364.16999999993</v>
      </c>
    </row>
    <row r="184" spans="1:12" ht="23.25" hidden="1">
      <c r="A184" s="676">
        <f>SUBTOTAL(3,$E$8:E184)</f>
        <v>11</v>
      </c>
      <c r="B184" s="379">
        <v>42844</v>
      </c>
      <c r="C184" s="376" t="s">
        <v>1800</v>
      </c>
      <c r="D184" s="375" t="s">
        <v>1805</v>
      </c>
      <c r="E184" s="376" t="s">
        <v>1278</v>
      </c>
      <c r="F184" s="376" t="s">
        <v>1169</v>
      </c>
      <c r="G184" s="678">
        <v>280</v>
      </c>
      <c r="H184" s="376" t="s">
        <v>1282</v>
      </c>
      <c r="I184" s="376" t="s">
        <v>1221</v>
      </c>
      <c r="J184" s="377"/>
      <c r="K184" s="378">
        <v>100000</v>
      </c>
      <c r="L184" s="380">
        <f>L183+Table16[[#This Row],[المدين (إيداع)]]-Table16[[#This Row],[الدائن (السحب)]]</f>
        <v>82364.169999999925</v>
      </c>
    </row>
    <row r="185" spans="1:12" ht="23.25" hidden="1">
      <c r="A185" s="676">
        <f>SUBTOTAL(3,$E$8:E185)</f>
        <v>11</v>
      </c>
      <c r="B185" s="379">
        <v>42844</v>
      </c>
      <c r="C185" s="376" t="s">
        <v>1800</v>
      </c>
      <c r="D185" s="375" t="s">
        <v>1805</v>
      </c>
      <c r="E185" s="376" t="s">
        <v>1278</v>
      </c>
      <c r="F185" s="376" t="s">
        <v>1169</v>
      </c>
      <c r="G185" s="678">
        <v>281</v>
      </c>
      <c r="H185" s="376" t="s">
        <v>1283</v>
      </c>
      <c r="I185" s="376" t="s">
        <v>1221</v>
      </c>
      <c r="J185" s="377"/>
      <c r="K185" s="378">
        <v>78830</v>
      </c>
      <c r="L185" s="380">
        <f>L184+Table16[[#This Row],[المدين (إيداع)]]-Table16[[#This Row],[الدائن (السحب)]]</f>
        <v>3534.1699999999255</v>
      </c>
    </row>
    <row r="186" spans="1:12" ht="23.25" hidden="1">
      <c r="A186" s="676">
        <f>SUBTOTAL(3,$E$8:E186)</f>
        <v>11</v>
      </c>
      <c r="B186" s="379">
        <v>42847</v>
      </c>
      <c r="C186" s="376" t="s">
        <v>1800</v>
      </c>
      <c r="D186" s="375" t="s">
        <v>1284</v>
      </c>
      <c r="E186" s="376" t="s">
        <v>1285</v>
      </c>
      <c r="F186" s="376" t="s">
        <v>1161</v>
      </c>
      <c r="G186" s="678"/>
      <c r="H186" s="376" t="s">
        <v>1286</v>
      </c>
      <c r="I186" s="643" t="s">
        <v>1305</v>
      </c>
      <c r="J186" s="377">
        <v>900</v>
      </c>
      <c r="K186" s="378"/>
      <c r="L186" s="380">
        <f>L185+Table16[[#This Row],[المدين (إيداع)]]-Table16[[#This Row],[الدائن (السحب)]]</f>
        <v>4434.1699999999255</v>
      </c>
    </row>
    <row r="187" spans="1:12" ht="23.25" hidden="1">
      <c r="A187" s="676">
        <f>SUBTOTAL(3,$E$8:E187)</f>
        <v>11</v>
      </c>
      <c r="B187" s="379">
        <v>42848</v>
      </c>
      <c r="C187" s="376" t="s">
        <v>1800</v>
      </c>
      <c r="D187" s="375" t="s">
        <v>2006</v>
      </c>
      <c r="E187" s="376" t="s">
        <v>1243</v>
      </c>
      <c r="F187" s="376" t="s">
        <v>1161</v>
      </c>
      <c r="G187" s="678"/>
      <c r="H187" s="376" t="s">
        <v>1181</v>
      </c>
      <c r="I187" s="376" t="s">
        <v>1182</v>
      </c>
      <c r="J187" s="377">
        <v>51350</v>
      </c>
      <c r="K187" s="378"/>
      <c r="L187" s="380">
        <f>L186+Table16[[#This Row],[المدين (إيداع)]]-Table16[[#This Row],[الدائن (السحب)]]</f>
        <v>55784.169999999925</v>
      </c>
    </row>
    <row r="188" spans="1:12" ht="23.25" hidden="1">
      <c r="A188" s="676">
        <f>SUBTOTAL(3,$E$8:E188)</f>
        <v>11</v>
      </c>
      <c r="B188" s="379">
        <v>42848</v>
      </c>
      <c r="C188" s="376" t="s">
        <v>1800</v>
      </c>
      <c r="D188" s="375" t="s">
        <v>1266</v>
      </c>
      <c r="E188" s="376" t="s">
        <v>1287</v>
      </c>
      <c r="F188" s="376" t="s">
        <v>1161</v>
      </c>
      <c r="G188" s="678"/>
      <c r="H188" s="376" t="s">
        <v>1288</v>
      </c>
      <c r="I188" s="376" t="s">
        <v>1163</v>
      </c>
      <c r="J188" s="377">
        <v>900</v>
      </c>
      <c r="K188" s="378"/>
      <c r="L188" s="380">
        <f>L187+Table16[[#This Row],[المدين (إيداع)]]-Table16[[#This Row],[الدائن (السحب)]]</f>
        <v>56684.169999999925</v>
      </c>
    </row>
    <row r="189" spans="1:12" ht="23.25" hidden="1">
      <c r="A189" s="676">
        <f>SUBTOTAL(3,$E$8:E189)</f>
        <v>11</v>
      </c>
      <c r="B189" s="379">
        <v>42848</v>
      </c>
      <c r="C189" s="376" t="s">
        <v>1800</v>
      </c>
      <c r="D189" s="375" t="s">
        <v>1740</v>
      </c>
      <c r="E189" s="376" t="s">
        <v>1289</v>
      </c>
      <c r="F189" s="376" t="s">
        <v>1161</v>
      </c>
      <c r="G189" s="678"/>
      <c r="H189" s="376" t="s">
        <v>1290</v>
      </c>
      <c r="I189" s="376" t="s">
        <v>1163</v>
      </c>
      <c r="J189" s="377">
        <v>1800</v>
      </c>
      <c r="K189" s="378"/>
      <c r="L189" s="380">
        <f>L188+Table16[[#This Row],[المدين (إيداع)]]-Table16[[#This Row],[الدائن (السحب)]]</f>
        <v>58484.169999999925</v>
      </c>
    </row>
    <row r="190" spans="1:12" ht="23.25" hidden="1">
      <c r="A190" s="676">
        <f>SUBTOTAL(3,$E$8:E190)</f>
        <v>11</v>
      </c>
      <c r="B190" s="379">
        <v>42849</v>
      </c>
      <c r="C190" s="376" t="s">
        <v>1800</v>
      </c>
      <c r="D190" s="375" t="s">
        <v>1291</v>
      </c>
      <c r="E190" s="376" t="s">
        <v>1203</v>
      </c>
      <c r="F190" s="376" t="s">
        <v>1152</v>
      </c>
      <c r="G190" s="678"/>
      <c r="H190" s="376" t="s">
        <v>1153</v>
      </c>
      <c r="I190" s="376" t="s">
        <v>1154</v>
      </c>
      <c r="J190" s="377">
        <v>29500</v>
      </c>
      <c r="K190" s="378"/>
      <c r="L190" s="380">
        <f>L189+Table16[[#This Row],[المدين (إيداع)]]-Table16[[#This Row],[الدائن (السحب)]]</f>
        <v>87984.169999999925</v>
      </c>
    </row>
    <row r="191" spans="1:12" ht="23.25" hidden="1">
      <c r="A191" s="676">
        <f>SUBTOTAL(3,$E$8:E191)</f>
        <v>11</v>
      </c>
      <c r="B191" s="379">
        <v>42849</v>
      </c>
      <c r="D191" s="375" t="s">
        <v>2062</v>
      </c>
      <c r="E191" s="376" t="s">
        <v>1164</v>
      </c>
      <c r="F191" s="376" t="s">
        <v>1165</v>
      </c>
      <c r="G191" s="678">
        <v>2912</v>
      </c>
      <c r="H191" s="376" t="s">
        <v>2028</v>
      </c>
      <c r="I191" s="376" t="s">
        <v>2025</v>
      </c>
      <c r="J191" s="377">
        <v>1600</v>
      </c>
      <c r="K191" s="378"/>
      <c r="L191" s="380">
        <f>L190+Table16[[#This Row],[المدين (إيداع)]]-Table16[[#This Row],[الدائن (السحب)]]</f>
        <v>89584.169999999925</v>
      </c>
    </row>
    <row r="192" spans="1:12" ht="23.25" hidden="1">
      <c r="A192" s="676">
        <f>SUBTOTAL(3,$E$8:E192)</f>
        <v>11</v>
      </c>
      <c r="B192" s="379">
        <v>42849</v>
      </c>
      <c r="D192" s="375" t="s">
        <v>2062</v>
      </c>
      <c r="E192" s="376" t="s">
        <v>1164</v>
      </c>
      <c r="F192" s="376" t="s">
        <v>1165</v>
      </c>
      <c r="G192" s="678">
        <v>2913</v>
      </c>
      <c r="H192" s="376" t="s">
        <v>2028</v>
      </c>
      <c r="I192" s="376" t="s">
        <v>2025</v>
      </c>
      <c r="J192" s="377">
        <v>2000</v>
      </c>
      <c r="K192" s="378"/>
      <c r="L192" s="380">
        <f>L191+Table16[[#This Row],[المدين (إيداع)]]-Table16[[#This Row],[الدائن (السحب)]]</f>
        <v>91584.169999999925</v>
      </c>
    </row>
    <row r="193" spans="1:12" ht="23.25" hidden="1">
      <c r="A193" s="676">
        <f>SUBTOTAL(3,$E$8:E193)</f>
        <v>11</v>
      </c>
      <c r="B193" s="379">
        <v>42849</v>
      </c>
      <c r="C193" s="376" t="s">
        <v>1800</v>
      </c>
      <c r="D193" s="375" t="s">
        <v>1198</v>
      </c>
      <c r="E193" s="376" t="s">
        <v>1164</v>
      </c>
      <c r="F193" s="376" t="s">
        <v>1165</v>
      </c>
      <c r="G193" s="678">
        <v>45</v>
      </c>
      <c r="H193" s="376" t="s">
        <v>1185</v>
      </c>
      <c r="I193" s="376" t="s">
        <v>1163</v>
      </c>
      <c r="J193" s="377">
        <v>3000</v>
      </c>
      <c r="K193" s="378"/>
      <c r="L193" s="380">
        <f>L192+Table16[[#This Row],[المدين (إيداع)]]-Table16[[#This Row],[الدائن (السحب)]]</f>
        <v>94584.169999999925</v>
      </c>
    </row>
    <row r="194" spans="1:12" ht="23.25" hidden="1">
      <c r="A194" s="676">
        <f>SUBTOTAL(3,$E$8:E194)</f>
        <v>11</v>
      </c>
      <c r="B194" s="379">
        <v>42849</v>
      </c>
      <c r="C194" s="376" t="s">
        <v>1800</v>
      </c>
      <c r="D194" s="375" t="s">
        <v>1266</v>
      </c>
      <c r="E194" s="376" t="s">
        <v>1164</v>
      </c>
      <c r="F194" s="376" t="s">
        <v>1165</v>
      </c>
      <c r="G194" s="678">
        <v>5502</v>
      </c>
      <c r="H194" s="376" t="s">
        <v>1185</v>
      </c>
      <c r="I194" s="376" t="s">
        <v>1163</v>
      </c>
      <c r="J194" s="377">
        <v>3000</v>
      </c>
      <c r="K194" s="378"/>
      <c r="L194" s="380">
        <f>L193+Table16[[#This Row],[المدين (إيداع)]]-Table16[[#This Row],[الدائن (السحب)]]</f>
        <v>97584.169999999925</v>
      </c>
    </row>
    <row r="195" spans="1:12" ht="23.25" hidden="1">
      <c r="A195" s="676">
        <f>SUBTOTAL(3,$E$8:E195)</f>
        <v>11</v>
      </c>
      <c r="B195" s="379">
        <v>42849</v>
      </c>
      <c r="C195" s="376" t="s">
        <v>1800</v>
      </c>
      <c r="D195" s="375" t="s">
        <v>1266</v>
      </c>
      <c r="E195" s="376" t="s">
        <v>1164</v>
      </c>
      <c r="F195" s="376" t="s">
        <v>1165</v>
      </c>
      <c r="G195" s="678">
        <v>222</v>
      </c>
      <c r="H195" s="376" t="s">
        <v>1185</v>
      </c>
      <c r="I195" s="376" t="s">
        <v>1163</v>
      </c>
      <c r="J195" s="377">
        <v>8400</v>
      </c>
      <c r="K195" s="378"/>
      <c r="L195" s="380">
        <f>L194+Table16[[#This Row],[المدين (إيداع)]]-Table16[[#This Row],[الدائن (السحب)]]</f>
        <v>105984.16999999993</v>
      </c>
    </row>
    <row r="196" spans="1:12" ht="23.25" hidden="1">
      <c r="A196" s="676">
        <f>SUBTOTAL(3,$E$8:E196)</f>
        <v>11</v>
      </c>
      <c r="B196" s="379">
        <v>42849</v>
      </c>
      <c r="C196" s="376" t="s">
        <v>1800</v>
      </c>
      <c r="D196" s="375" t="s">
        <v>1292</v>
      </c>
      <c r="E196" s="376" t="s">
        <v>1164</v>
      </c>
      <c r="F196" s="376" t="s">
        <v>1165</v>
      </c>
      <c r="G196" s="678">
        <v>4447</v>
      </c>
      <c r="H196" s="376" t="s">
        <v>1185</v>
      </c>
      <c r="I196" s="376" t="s">
        <v>1224</v>
      </c>
      <c r="J196" s="377">
        <v>900</v>
      </c>
      <c r="K196" s="378"/>
      <c r="L196" s="380">
        <f>L195+Table16[[#This Row],[المدين (إيداع)]]-Table16[[#This Row],[الدائن (السحب)]]</f>
        <v>106884.16999999993</v>
      </c>
    </row>
    <row r="197" spans="1:12" ht="23.25" hidden="1">
      <c r="A197" s="676">
        <f>SUBTOTAL(3,$E$8:E197)</f>
        <v>11</v>
      </c>
      <c r="B197" s="379">
        <v>42849</v>
      </c>
      <c r="C197" s="376" t="s">
        <v>1800</v>
      </c>
      <c r="D197" s="375" t="s">
        <v>1266</v>
      </c>
      <c r="E197" s="376" t="s">
        <v>1164</v>
      </c>
      <c r="F197" s="376" t="s">
        <v>1165</v>
      </c>
      <c r="G197" s="678">
        <v>500169</v>
      </c>
      <c r="H197" s="376" t="s">
        <v>1185</v>
      </c>
      <c r="I197" s="376" t="s">
        <v>1163</v>
      </c>
      <c r="J197" s="377">
        <v>1350</v>
      </c>
      <c r="K197" s="378"/>
      <c r="L197" s="380">
        <f>L196+Table16[[#This Row],[المدين (إيداع)]]-Table16[[#This Row],[الدائن (السحب)]]</f>
        <v>108234.16999999993</v>
      </c>
    </row>
    <row r="198" spans="1:12" ht="23.25" hidden="1">
      <c r="A198" s="676">
        <f>SUBTOTAL(3,$E$8:E198)</f>
        <v>11</v>
      </c>
      <c r="B198" s="379">
        <v>42849</v>
      </c>
      <c r="C198" s="376" t="s">
        <v>1800</v>
      </c>
      <c r="D198" s="375" t="s">
        <v>1292</v>
      </c>
      <c r="E198" s="376" t="s">
        <v>1164</v>
      </c>
      <c r="F198" s="376" t="s">
        <v>1165</v>
      </c>
      <c r="G198" s="678">
        <v>1198</v>
      </c>
      <c r="H198" s="376" t="s">
        <v>1185</v>
      </c>
      <c r="I198" s="376" t="s">
        <v>1224</v>
      </c>
      <c r="J198" s="377">
        <v>2400</v>
      </c>
      <c r="K198" s="378"/>
      <c r="L198" s="380">
        <f>L197+Table16[[#This Row],[المدين (إيداع)]]-Table16[[#This Row],[الدائن (السحب)]]</f>
        <v>110634.16999999993</v>
      </c>
    </row>
    <row r="199" spans="1:12" ht="23.25" hidden="1">
      <c r="A199" s="676">
        <f>SUBTOTAL(3,$E$8:E199)</f>
        <v>11</v>
      </c>
      <c r="B199" s="379">
        <v>42849</v>
      </c>
      <c r="C199" s="376" t="s">
        <v>1800</v>
      </c>
      <c r="D199" s="375" t="s">
        <v>1266</v>
      </c>
      <c r="E199" s="376" t="s">
        <v>1164</v>
      </c>
      <c r="F199" s="376" t="s">
        <v>1165</v>
      </c>
      <c r="G199" s="678">
        <v>66519046</v>
      </c>
      <c r="H199" s="376" t="s">
        <v>1185</v>
      </c>
      <c r="I199" s="376" t="s">
        <v>1163</v>
      </c>
      <c r="J199" s="377">
        <v>12800</v>
      </c>
      <c r="K199" s="378"/>
      <c r="L199" s="380">
        <f>L198+Table16[[#This Row],[المدين (إيداع)]]-Table16[[#This Row],[الدائن (السحب)]]</f>
        <v>123434.16999999993</v>
      </c>
    </row>
    <row r="200" spans="1:12" ht="23.25" hidden="1">
      <c r="A200" s="676">
        <f>SUBTOTAL(3,$E$8:E200)</f>
        <v>11</v>
      </c>
      <c r="B200" s="379">
        <v>42849</v>
      </c>
      <c r="C200" s="376" t="s">
        <v>1811</v>
      </c>
      <c r="D200" s="375" t="s">
        <v>2017</v>
      </c>
      <c r="E200" s="376" t="s">
        <v>1293</v>
      </c>
      <c r="F200" s="376" t="s">
        <v>1161</v>
      </c>
      <c r="G200" s="678"/>
      <c r="H200" s="376" t="s">
        <v>1294</v>
      </c>
      <c r="I200" s="376" t="s">
        <v>1212</v>
      </c>
      <c r="J200" s="377">
        <v>900</v>
      </c>
      <c r="K200" s="378"/>
      <c r="L200" s="380">
        <f>L199+Table16[[#This Row],[المدين (إيداع)]]-Table16[[#This Row],[الدائن (السحب)]]</f>
        <v>124334.16999999993</v>
      </c>
    </row>
    <row r="201" spans="1:12" ht="23.25" hidden="1">
      <c r="A201" s="676">
        <f>SUBTOTAL(3,$E$8:E201)</f>
        <v>11</v>
      </c>
      <c r="B201" s="379">
        <v>42849</v>
      </c>
      <c r="C201" s="376" t="s">
        <v>1800</v>
      </c>
      <c r="D201" s="375" t="s">
        <v>1295</v>
      </c>
      <c r="E201" s="376" t="s">
        <v>1161</v>
      </c>
      <c r="F201" s="376" t="s">
        <v>1161</v>
      </c>
      <c r="G201" s="678"/>
      <c r="H201" s="376" t="s">
        <v>2094</v>
      </c>
      <c r="I201" s="376" t="s">
        <v>1296</v>
      </c>
      <c r="J201" s="377">
        <v>800</v>
      </c>
      <c r="K201" s="378"/>
      <c r="L201" s="380">
        <f>L200+Table16[[#This Row],[المدين (إيداع)]]-Table16[[#This Row],[الدائن (السحب)]]</f>
        <v>125134.16999999993</v>
      </c>
    </row>
    <row r="202" spans="1:12" ht="23.25" hidden="1">
      <c r="A202" s="676">
        <f>SUBTOTAL(3,$E$8:E202)</f>
        <v>11</v>
      </c>
      <c r="B202" s="379">
        <v>42850</v>
      </c>
      <c r="C202" s="376" t="s">
        <v>1800</v>
      </c>
      <c r="D202" s="375" t="s">
        <v>1281</v>
      </c>
      <c r="E202" s="376" t="s">
        <v>1219</v>
      </c>
      <c r="F202" s="376" t="s">
        <v>1161</v>
      </c>
      <c r="G202" s="678"/>
      <c r="H202" s="376" t="s">
        <v>1947</v>
      </c>
      <c r="I202" s="376" t="s">
        <v>1205</v>
      </c>
      <c r="J202" s="377">
        <v>20000</v>
      </c>
      <c r="K202" s="378"/>
      <c r="L202" s="380">
        <f>L201+Table16[[#This Row],[المدين (إيداع)]]-Table16[[#This Row],[الدائن (السحب)]]</f>
        <v>145134.16999999993</v>
      </c>
    </row>
    <row r="203" spans="1:12" ht="23.25" hidden="1">
      <c r="A203" s="676">
        <f>SUBTOTAL(3,$E$8:E203)</f>
        <v>11</v>
      </c>
      <c r="B203" s="379">
        <v>42850</v>
      </c>
      <c r="C203" s="376" t="s">
        <v>1800</v>
      </c>
      <c r="D203" s="375" t="s">
        <v>1297</v>
      </c>
      <c r="E203" s="376" t="s">
        <v>1298</v>
      </c>
      <c r="F203" s="376" t="s">
        <v>1161</v>
      </c>
      <c r="G203" s="678"/>
      <c r="H203" s="376" t="s">
        <v>1209</v>
      </c>
      <c r="I203" s="376" t="s">
        <v>1224</v>
      </c>
      <c r="J203" s="377">
        <v>16000</v>
      </c>
      <c r="K203" s="378"/>
      <c r="L203" s="380">
        <f>L202+Table16[[#This Row],[المدين (إيداع)]]-Table16[[#This Row],[الدائن (السحب)]]</f>
        <v>161134.16999999993</v>
      </c>
    </row>
    <row r="204" spans="1:12" ht="23.25" hidden="1">
      <c r="A204" s="676">
        <f>SUBTOTAL(3,$E$8:E204)</f>
        <v>11</v>
      </c>
      <c r="B204" s="379">
        <v>42850</v>
      </c>
      <c r="C204" s="376" t="s">
        <v>1811</v>
      </c>
      <c r="D204" s="375" t="s">
        <v>2017</v>
      </c>
      <c r="E204" s="376" t="s">
        <v>1299</v>
      </c>
      <c r="F204" s="376" t="s">
        <v>1161</v>
      </c>
      <c r="G204" s="678"/>
      <c r="H204" s="376" t="s">
        <v>1300</v>
      </c>
      <c r="I204" s="376" t="s">
        <v>1212</v>
      </c>
      <c r="J204" s="377">
        <v>300</v>
      </c>
      <c r="K204" s="378"/>
      <c r="L204" s="380">
        <f>L203+Table16[[#This Row],[المدين (إيداع)]]-Table16[[#This Row],[الدائن (السحب)]]</f>
        <v>161434.16999999993</v>
      </c>
    </row>
    <row r="205" spans="1:12" ht="23.25" hidden="1">
      <c r="A205" s="676">
        <f>SUBTOTAL(3,$E$8:E205)</f>
        <v>11</v>
      </c>
      <c r="B205" s="379">
        <v>42850</v>
      </c>
      <c r="C205" s="376" t="s">
        <v>1811</v>
      </c>
      <c r="D205" s="375" t="s">
        <v>2017</v>
      </c>
      <c r="E205" s="376" t="s">
        <v>1301</v>
      </c>
      <c r="F205" s="376" t="s">
        <v>1161</v>
      </c>
      <c r="G205" s="678"/>
      <c r="H205" s="376" t="s">
        <v>1302</v>
      </c>
      <c r="I205" s="376" t="s">
        <v>1212</v>
      </c>
      <c r="J205" s="377">
        <v>300</v>
      </c>
      <c r="K205" s="378"/>
      <c r="L205" s="380">
        <f>L204+Table16[[#This Row],[المدين (إيداع)]]-Table16[[#This Row],[الدائن (السحب)]]</f>
        <v>161734.16999999993</v>
      </c>
    </row>
    <row r="206" spans="1:12" ht="23.25" hidden="1">
      <c r="A206" s="676">
        <f>SUBTOTAL(3,$E$8:E206)</f>
        <v>11</v>
      </c>
      <c r="B206" s="379">
        <v>42851</v>
      </c>
      <c r="C206" s="376" t="s">
        <v>1800</v>
      </c>
      <c r="D206" s="375" t="s">
        <v>1952</v>
      </c>
      <c r="E206" s="376" t="s">
        <v>1219</v>
      </c>
      <c r="F206" s="376" t="s">
        <v>1161</v>
      </c>
      <c r="G206" s="678"/>
      <c r="H206" s="376" t="s">
        <v>1947</v>
      </c>
      <c r="I206" s="376" t="s">
        <v>1205</v>
      </c>
      <c r="J206" s="377">
        <v>20000</v>
      </c>
      <c r="K206" s="378"/>
      <c r="L206" s="380">
        <f>L205+Table16[[#This Row],[المدين (إيداع)]]-Table16[[#This Row],[الدائن (السحب)]]</f>
        <v>181734.16999999993</v>
      </c>
    </row>
    <row r="207" spans="1:12" ht="23.25" hidden="1">
      <c r="A207" s="676">
        <f>SUBTOTAL(3,$E$8:E207)</f>
        <v>11</v>
      </c>
      <c r="B207" s="379">
        <v>42851</v>
      </c>
      <c r="C207" s="376" t="s">
        <v>1800</v>
      </c>
      <c r="D207" s="375" t="s">
        <v>1303</v>
      </c>
      <c r="E207" s="376" t="s">
        <v>1161</v>
      </c>
      <c r="F207" s="376" t="s">
        <v>1161</v>
      </c>
      <c r="G207" s="678"/>
      <c r="H207" s="376" t="s">
        <v>1304</v>
      </c>
      <c r="I207" s="376" t="s">
        <v>1305</v>
      </c>
      <c r="J207" s="377">
        <v>6300</v>
      </c>
      <c r="K207" s="378"/>
      <c r="L207" s="380">
        <f>L206+Table16[[#This Row],[المدين (إيداع)]]-Table16[[#This Row],[الدائن (السحب)]]</f>
        <v>188034.16999999993</v>
      </c>
    </row>
    <row r="208" spans="1:12" ht="23.25" hidden="1">
      <c r="A208" s="676">
        <f>SUBTOTAL(3,$E$8:E208)</f>
        <v>11</v>
      </c>
      <c r="B208" s="379">
        <v>42852</v>
      </c>
      <c r="C208" s="376" t="s">
        <v>1800</v>
      </c>
      <c r="D208" s="375" t="s">
        <v>1952</v>
      </c>
      <c r="E208" s="376" t="s">
        <v>1219</v>
      </c>
      <c r="F208" s="376" t="s">
        <v>1161</v>
      </c>
      <c r="G208" s="678"/>
      <c r="H208" s="376" t="s">
        <v>1947</v>
      </c>
      <c r="I208" s="376" t="s">
        <v>1205</v>
      </c>
      <c r="J208" s="377">
        <v>20000</v>
      </c>
      <c r="K208" s="378"/>
      <c r="L208" s="380">
        <f>L207+Table16[[#This Row],[المدين (إيداع)]]-Table16[[#This Row],[الدائن (السحب)]]</f>
        <v>208034.16999999993</v>
      </c>
    </row>
    <row r="209" spans="1:12" ht="23.25" hidden="1">
      <c r="A209" s="676">
        <f>SUBTOTAL(3,$E$8:E209)</f>
        <v>11</v>
      </c>
      <c r="B209" s="379">
        <v>42852</v>
      </c>
      <c r="C209" s="376" t="s">
        <v>1800</v>
      </c>
      <c r="D209" s="375" t="s">
        <v>2017</v>
      </c>
      <c r="E209" s="376" t="s">
        <v>1161</v>
      </c>
      <c r="F209" s="376" t="s">
        <v>1161</v>
      </c>
      <c r="G209" s="678"/>
      <c r="H209" s="376" t="s">
        <v>1161</v>
      </c>
      <c r="I209" s="376" t="s">
        <v>1212</v>
      </c>
      <c r="J209" s="377">
        <v>900</v>
      </c>
      <c r="K209" s="378"/>
      <c r="L209" s="380">
        <f>L208+Table16[[#This Row],[المدين (إيداع)]]-Table16[[#This Row],[الدائن (السحب)]]</f>
        <v>208934.16999999993</v>
      </c>
    </row>
    <row r="210" spans="1:12" ht="23.25" hidden="1">
      <c r="A210" s="676">
        <f>SUBTOTAL(3,$E$8:E210)</f>
        <v>11</v>
      </c>
      <c r="B210" s="379">
        <v>42854</v>
      </c>
      <c r="C210" s="376" t="s">
        <v>1811</v>
      </c>
      <c r="D210" s="375" t="s">
        <v>2017</v>
      </c>
      <c r="E210" s="376" t="s">
        <v>1161</v>
      </c>
      <c r="F210" s="376" t="s">
        <v>1161</v>
      </c>
      <c r="G210" s="678"/>
      <c r="H210" s="376" t="s">
        <v>1161</v>
      </c>
      <c r="I210" s="376" t="s">
        <v>1212</v>
      </c>
      <c r="J210" s="377">
        <v>350</v>
      </c>
      <c r="K210" s="378"/>
      <c r="L210" s="380">
        <f>L209+Table16[[#This Row],[المدين (إيداع)]]-Table16[[#This Row],[الدائن (السحب)]]</f>
        <v>209284.16999999993</v>
      </c>
    </row>
    <row r="211" spans="1:12" ht="23.25" hidden="1">
      <c r="A211" s="676">
        <f>SUBTOTAL(3,$E$8:E211)</f>
        <v>11</v>
      </c>
      <c r="B211" s="379">
        <v>42855</v>
      </c>
      <c r="C211" s="376" t="s">
        <v>1800</v>
      </c>
      <c r="D211" s="375" t="s">
        <v>1281</v>
      </c>
      <c r="E211" s="376" t="s">
        <v>1219</v>
      </c>
      <c r="F211" s="376" t="s">
        <v>1161</v>
      </c>
      <c r="G211" s="678"/>
      <c r="H211" s="376" t="s">
        <v>1947</v>
      </c>
      <c r="I211" s="376" t="s">
        <v>1205</v>
      </c>
      <c r="J211" s="377">
        <v>20000</v>
      </c>
      <c r="K211" s="378"/>
      <c r="L211" s="380">
        <f>L210+Table16[[#This Row],[المدين (إيداع)]]-Table16[[#This Row],[الدائن (السحب)]]</f>
        <v>229284.16999999993</v>
      </c>
    </row>
    <row r="212" spans="1:12" ht="23.25" hidden="1">
      <c r="A212" s="676">
        <f>SUBTOTAL(3,$E$8:E212)</f>
        <v>11</v>
      </c>
      <c r="B212" s="379">
        <v>42856</v>
      </c>
      <c r="C212" s="376" t="s">
        <v>1800</v>
      </c>
      <c r="D212" s="375" t="s">
        <v>1291</v>
      </c>
      <c r="E212" s="376" t="s">
        <v>1265</v>
      </c>
      <c r="F212" s="376" t="s">
        <v>1152</v>
      </c>
      <c r="G212" s="678"/>
      <c r="H212" s="376" t="s">
        <v>1153</v>
      </c>
      <c r="I212" s="376" t="s">
        <v>1154</v>
      </c>
      <c r="J212" s="377">
        <v>14665</v>
      </c>
      <c r="K212" s="378"/>
      <c r="L212" s="380">
        <f>L211+Table16[[#This Row],[المدين (إيداع)]]-Table16[[#This Row],[الدائن (السحب)]]</f>
        <v>243949.16999999993</v>
      </c>
    </row>
    <row r="213" spans="1:12" ht="23.25">
      <c r="A213" s="676">
        <f>SUBTOTAL(3,$E$8:E213)</f>
        <v>12</v>
      </c>
      <c r="B213" s="379">
        <v>42856</v>
      </c>
      <c r="D213" s="375"/>
      <c r="E213" s="376" t="s">
        <v>1306</v>
      </c>
      <c r="F213" s="376" t="s">
        <v>1161</v>
      </c>
      <c r="G213" s="678"/>
      <c r="H213" s="376" t="s">
        <v>1307</v>
      </c>
      <c r="J213" s="377">
        <v>900</v>
      </c>
      <c r="K213" s="378"/>
      <c r="L213" s="380">
        <f>L212+Table16[[#This Row],[المدين (إيداع)]]-Table16[[#This Row],[الدائن (السحب)]]</f>
        <v>244849.16999999993</v>
      </c>
    </row>
    <row r="214" spans="1:12" ht="23.25" hidden="1">
      <c r="A214" s="676">
        <f>SUBTOTAL(3,$E$8:E214)</f>
        <v>12</v>
      </c>
      <c r="B214" s="379">
        <v>42857</v>
      </c>
      <c r="C214" s="376" t="s">
        <v>1800</v>
      </c>
      <c r="D214" s="375" t="s">
        <v>1291</v>
      </c>
      <c r="E214" s="376" t="s">
        <v>1164</v>
      </c>
      <c r="F214" s="376" t="s">
        <v>1165</v>
      </c>
      <c r="G214" s="678">
        <v>577</v>
      </c>
      <c r="H214" s="376" t="s">
        <v>1185</v>
      </c>
      <c r="I214" s="376" t="s">
        <v>1154</v>
      </c>
      <c r="J214" s="377">
        <v>2100</v>
      </c>
      <c r="K214" s="378"/>
      <c r="L214" s="380">
        <f>L213+Table16[[#This Row],[المدين (إيداع)]]-Table16[[#This Row],[الدائن (السحب)]]</f>
        <v>246949.16999999993</v>
      </c>
    </row>
    <row r="215" spans="1:12" ht="23.25" hidden="1">
      <c r="A215" s="676">
        <f>SUBTOTAL(3,$E$8:E215)</f>
        <v>12</v>
      </c>
      <c r="B215" s="379">
        <v>42857</v>
      </c>
      <c r="C215" s="376" t="s">
        <v>1800</v>
      </c>
      <c r="D215" s="375" t="s">
        <v>1291</v>
      </c>
      <c r="E215" s="376" t="s">
        <v>1164</v>
      </c>
      <c r="F215" s="376" t="s">
        <v>1165</v>
      </c>
      <c r="G215" s="678">
        <v>1826</v>
      </c>
      <c r="H215" s="376" t="s">
        <v>1185</v>
      </c>
      <c r="I215" s="376" t="s">
        <v>1154</v>
      </c>
      <c r="J215" s="377">
        <v>1575</v>
      </c>
      <c r="K215" s="378"/>
      <c r="L215" s="380">
        <f>L214+Table16[[#This Row],[المدين (إيداع)]]-Table16[[#This Row],[الدائن (السحب)]]</f>
        <v>248524.16999999993</v>
      </c>
    </row>
    <row r="216" spans="1:12" ht="23.25" hidden="1">
      <c r="A216" s="676">
        <f>SUBTOTAL(3,$E$8:E216)</f>
        <v>12</v>
      </c>
      <c r="B216" s="379">
        <v>42857</v>
      </c>
      <c r="C216" s="376" t="s">
        <v>1800</v>
      </c>
      <c r="D216" s="375" t="s">
        <v>1291</v>
      </c>
      <c r="E216" s="376" t="s">
        <v>1164</v>
      </c>
      <c r="F216" s="376" t="s">
        <v>1165</v>
      </c>
      <c r="G216" s="678">
        <v>1827</v>
      </c>
      <c r="H216" s="376" t="s">
        <v>1185</v>
      </c>
      <c r="I216" s="376" t="s">
        <v>1154</v>
      </c>
      <c r="J216" s="377">
        <v>1575</v>
      </c>
      <c r="K216" s="378"/>
      <c r="L216" s="380">
        <f>L215+Table16[[#This Row],[المدين (إيداع)]]-Table16[[#This Row],[الدائن (السحب)]]</f>
        <v>250099.16999999993</v>
      </c>
    </row>
    <row r="217" spans="1:12" ht="23.25" hidden="1">
      <c r="A217" s="676">
        <f>SUBTOTAL(3,$E$8:E217)</f>
        <v>12</v>
      </c>
      <c r="B217" s="379">
        <v>42857</v>
      </c>
      <c r="C217" s="376" t="s">
        <v>1800</v>
      </c>
      <c r="D217" s="375" t="s">
        <v>1291</v>
      </c>
      <c r="E217" s="376" t="s">
        <v>1164</v>
      </c>
      <c r="F217" s="376" t="s">
        <v>1165</v>
      </c>
      <c r="G217" s="678">
        <v>354</v>
      </c>
      <c r="H217" s="376" t="s">
        <v>1185</v>
      </c>
      <c r="I217" s="376" t="s">
        <v>1154</v>
      </c>
      <c r="J217" s="377">
        <v>1500</v>
      </c>
      <c r="K217" s="378"/>
      <c r="L217" s="380">
        <f>L216+Table16[[#This Row],[المدين (إيداع)]]-Table16[[#This Row],[الدائن (السحب)]]</f>
        <v>251599.16999999993</v>
      </c>
    </row>
    <row r="218" spans="1:12" ht="23.25" hidden="1">
      <c r="A218" s="676">
        <f>SUBTOTAL(3,$E$8:E218)</f>
        <v>12</v>
      </c>
      <c r="B218" s="379">
        <v>42857</v>
      </c>
      <c r="C218" s="376" t="s">
        <v>1800</v>
      </c>
      <c r="D218" s="375" t="s">
        <v>1291</v>
      </c>
      <c r="E218" s="376" t="s">
        <v>1164</v>
      </c>
      <c r="F218" s="376" t="s">
        <v>1165</v>
      </c>
      <c r="G218" s="678">
        <v>256</v>
      </c>
      <c r="H218" s="376" t="s">
        <v>1185</v>
      </c>
      <c r="I218" s="376" t="s">
        <v>1154</v>
      </c>
      <c r="J218" s="377">
        <v>3000</v>
      </c>
      <c r="K218" s="378"/>
      <c r="L218" s="380">
        <f>L217+Table16[[#This Row],[المدين (إيداع)]]-Table16[[#This Row],[الدائن (السحب)]]</f>
        <v>254599.16999999993</v>
      </c>
    </row>
    <row r="219" spans="1:12" ht="23.25" hidden="1">
      <c r="A219" s="676">
        <f>SUBTOTAL(3,$E$8:E219)</f>
        <v>12</v>
      </c>
      <c r="B219" s="379">
        <v>42857</v>
      </c>
      <c r="C219" s="376" t="s">
        <v>1811</v>
      </c>
      <c r="D219" s="375" t="s">
        <v>2022</v>
      </c>
      <c r="E219" s="376" t="s">
        <v>1161</v>
      </c>
      <c r="F219" s="376" t="s">
        <v>1161</v>
      </c>
      <c r="G219" s="678"/>
      <c r="H219" s="376" t="s">
        <v>1263</v>
      </c>
      <c r="I219" s="376" t="s">
        <v>1212</v>
      </c>
      <c r="J219" s="377">
        <v>855</v>
      </c>
      <c r="K219" s="378"/>
      <c r="L219" s="380">
        <f>L218+Table16[[#This Row],[المدين (إيداع)]]-Table16[[#This Row],[الدائن (السحب)]]</f>
        <v>255454.16999999993</v>
      </c>
    </row>
    <row r="220" spans="1:12" ht="23.25" hidden="1">
      <c r="A220" s="676">
        <f>SUBTOTAL(3,$E$8:E220)</f>
        <v>12</v>
      </c>
      <c r="B220" s="379">
        <v>42858</v>
      </c>
      <c r="C220" s="376" t="s">
        <v>1800</v>
      </c>
      <c r="D220" s="375" t="s">
        <v>1806</v>
      </c>
      <c r="E220" s="376" t="s">
        <v>1308</v>
      </c>
      <c r="F220" s="376" t="s">
        <v>1152</v>
      </c>
      <c r="G220" s="678"/>
      <c r="H220" s="376" t="s">
        <v>1250</v>
      </c>
      <c r="I220" s="376" t="s">
        <v>1190</v>
      </c>
      <c r="J220" s="377">
        <v>83500</v>
      </c>
      <c r="K220" s="378"/>
      <c r="L220" s="380">
        <f>L219+Table16[[#This Row],[المدين (إيداع)]]-Table16[[#This Row],[الدائن (السحب)]]</f>
        <v>338954.16999999993</v>
      </c>
    </row>
    <row r="221" spans="1:12" ht="23.25" hidden="1">
      <c r="A221" s="676">
        <f>SUBTOTAL(3,$E$8:E221)</f>
        <v>12</v>
      </c>
      <c r="B221" s="379">
        <v>42858</v>
      </c>
      <c r="C221" s="376" t="s">
        <v>1800</v>
      </c>
      <c r="D221" s="375" t="s">
        <v>1728</v>
      </c>
      <c r="E221" s="376" t="s">
        <v>1195</v>
      </c>
      <c r="F221" s="376" t="s">
        <v>1161</v>
      </c>
      <c r="G221" s="678"/>
      <c r="H221" s="376" t="s">
        <v>1196</v>
      </c>
      <c r="J221" s="377">
        <v>3200</v>
      </c>
      <c r="K221" s="378"/>
      <c r="L221" s="380">
        <f>L220+Table16[[#This Row],[المدين (إيداع)]]-Table16[[#This Row],[الدائن (السحب)]]</f>
        <v>342154.16999999993</v>
      </c>
    </row>
    <row r="222" spans="1:12" ht="23.25" hidden="1">
      <c r="A222" s="676">
        <f>SUBTOTAL(3,$E$8:E222)</f>
        <v>12</v>
      </c>
      <c r="B222" s="379">
        <v>42858</v>
      </c>
      <c r="C222" s="376" t="s">
        <v>1800</v>
      </c>
      <c r="D222" s="375" t="s">
        <v>1281</v>
      </c>
      <c r="E222" s="376" t="s">
        <v>1219</v>
      </c>
      <c r="F222" s="376" t="s">
        <v>1161</v>
      </c>
      <c r="G222" s="678"/>
      <c r="H222" s="376" t="s">
        <v>1947</v>
      </c>
      <c r="I222" s="376" t="s">
        <v>1205</v>
      </c>
      <c r="J222" s="377">
        <v>20000</v>
      </c>
      <c r="K222" s="378"/>
      <c r="L222" s="380">
        <f>L221+Table16[[#This Row],[المدين (إيداع)]]-Table16[[#This Row],[الدائن (السحب)]]</f>
        <v>362154.16999999993</v>
      </c>
    </row>
    <row r="223" spans="1:12" ht="23.25">
      <c r="A223" s="676">
        <f>SUBTOTAL(3,$E$8:E223)</f>
        <v>13</v>
      </c>
      <c r="B223" s="379">
        <v>42859</v>
      </c>
      <c r="D223" s="375"/>
      <c r="E223" s="376" t="s">
        <v>1161</v>
      </c>
      <c r="F223" s="376" t="s">
        <v>1161</v>
      </c>
      <c r="G223" s="678"/>
      <c r="H223" s="376" t="s">
        <v>1161</v>
      </c>
      <c r="J223" s="377">
        <v>7200</v>
      </c>
      <c r="K223" s="378"/>
      <c r="L223" s="380">
        <f>L222+Table16[[#This Row],[المدين (إيداع)]]-Table16[[#This Row],[الدائن (السحب)]]</f>
        <v>369354.16999999993</v>
      </c>
    </row>
    <row r="224" spans="1:12" ht="23.25" hidden="1">
      <c r="A224" s="676">
        <f>SUBTOTAL(3,$E$8:E224)</f>
        <v>13</v>
      </c>
      <c r="B224" s="379">
        <v>42861</v>
      </c>
      <c r="C224" s="376" t="s">
        <v>1800</v>
      </c>
      <c r="D224" s="375" t="s">
        <v>1952</v>
      </c>
      <c r="E224" s="376" t="s">
        <v>1219</v>
      </c>
      <c r="F224" s="376" t="s">
        <v>1161</v>
      </c>
      <c r="G224" s="678"/>
      <c r="H224" s="376" t="s">
        <v>1947</v>
      </c>
      <c r="I224" s="376" t="s">
        <v>1205</v>
      </c>
      <c r="J224" s="377">
        <v>20000</v>
      </c>
      <c r="K224" s="378"/>
      <c r="L224" s="380">
        <f>L223+Table16[[#This Row],[المدين (إيداع)]]-Table16[[#This Row],[الدائن (السحب)]]</f>
        <v>389354.16999999993</v>
      </c>
    </row>
    <row r="225" spans="1:12" ht="23.25">
      <c r="A225" s="676">
        <f>SUBTOTAL(3,$E$8:E225)</f>
        <v>14</v>
      </c>
      <c r="B225" s="379">
        <v>42864</v>
      </c>
      <c r="D225" s="375"/>
      <c r="E225" s="376" t="s">
        <v>1161</v>
      </c>
      <c r="F225" s="376" t="s">
        <v>1161</v>
      </c>
      <c r="G225" s="678"/>
      <c r="H225" s="376" t="s">
        <v>1309</v>
      </c>
      <c r="J225" s="377">
        <v>2200</v>
      </c>
      <c r="K225" s="378"/>
      <c r="L225" s="380">
        <f>L224+Table16[[#This Row],[المدين (إيداع)]]-Table16[[#This Row],[الدائن (السحب)]]</f>
        <v>391554.16999999993</v>
      </c>
    </row>
    <row r="226" spans="1:12" ht="23.25" hidden="1">
      <c r="A226" s="676">
        <f>SUBTOTAL(3,$E$8:E226)</f>
        <v>14</v>
      </c>
      <c r="B226" s="379">
        <v>42864</v>
      </c>
      <c r="C226" s="376" t="s">
        <v>1800</v>
      </c>
      <c r="D226" s="375" t="s">
        <v>2009</v>
      </c>
      <c r="E226" s="376" t="s">
        <v>1243</v>
      </c>
      <c r="F226" s="376" t="s">
        <v>1161</v>
      </c>
      <c r="G226" s="678"/>
      <c r="H226" s="376" t="s">
        <v>1181</v>
      </c>
      <c r="I226" s="376" t="s">
        <v>1182</v>
      </c>
      <c r="J226" s="377">
        <v>10400</v>
      </c>
      <c r="K226" s="378"/>
      <c r="L226" s="380">
        <f>L225+Table16[[#This Row],[المدين (إيداع)]]-Table16[[#This Row],[الدائن (السحب)]]</f>
        <v>401954.16999999993</v>
      </c>
    </row>
    <row r="227" spans="1:12" ht="23.25">
      <c r="A227" s="676">
        <f>SUBTOTAL(3,$E$8:E227)</f>
        <v>15</v>
      </c>
      <c r="B227" s="379">
        <v>42864</v>
      </c>
      <c r="D227" s="375"/>
      <c r="E227" s="376" t="s">
        <v>1310</v>
      </c>
      <c r="F227" s="376" t="s">
        <v>1161</v>
      </c>
      <c r="G227" s="678"/>
      <c r="H227" s="376" t="s">
        <v>1311</v>
      </c>
      <c r="I227" s="376" t="s">
        <v>2084</v>
      </c>
      <c r="J227" s="377">
        <v>1525</v>
      </c>
      <c r="K227" s="378"/>
      <c r="L227" s="380">
        <f>L226+Table16[[#This Row],[المدين (إيداع)]]-Table16[[#This Row],[الدائن (السحب)]]</f>
        <v>403479.16999999993</v>
      </c>
    </row>
    <row r="228" spans="1:12" ht="23.25" hidden="1">
      <c r="A228" s="676">
        <f>SUBTOTAL(3,$E$8:E228)</f>
        <v>15</v>
      </c>
      <c r="B228" s="379">
        <v>42865</v>
      </c>
      <c r="C228" s="376" t="s">
        <v>1800</v>
      </c>
      <c r="D228" s="375" t="s">
        <v>1728</v>
      </c>
      <c r="E228" s="376" t="s">
        <v>1254</v>
      </c>
      <c r="F228" s="376" t="s">
        <v>1161</v>
      </c>
      <c r="G228" s="678"/>
      <c r="H228" s="376" t="s">
        <v>1172</v>
      </c>
      <c r="J228" s="377">
        <v>3200</v>
      </c>
      <c r="K228" s="378"/>
      <c r="L228" s="380">
        <f>L227+Table16[[#This Row],[المدين (إيداع)]]-Table16[[#This Row],[الدائن (السحب)]]</f>
        <v>406679.16999999993</v>
      </c>
    </row>
    <row r="229" spans="1:12" ht="23.25">
      <c r="A229" s="676">
        <f>SUBTOTAL(3,$E$8:E229)</f>
        <v>16</v>
      </c>
      <c r="B229" s="379">
        <v>42866</v>
      </c>
      <c r="D229" s="375"/>
      <c r="E229" s="376" t="s">
        <v>1312</v>
      </c>
      <c r="F229" s="376" t="s">
        <v>1161</v>
      </c>
      <c r="G229" s="678"/>
      <c r="H229" s="376" t="s">
        <v>1313</v>
      </c>
      <c r="I229" s="376" t="s">
        <v>1212</v>
      </c>
      <c r="J229" s="377">
        <v>400</v>
      </c>
      <c r="K229" s="378"/>
      <c r="L229" s="380">
        <f>L228+Table16[[#This Row],[المدين (إيداع)]]-Table16[[#This Row],[الدائن (السحب)]]</f>
        <v>407079.16999999993</v>
      </c>
    </row>
    <row r="230" spans="1:12" ht="23.25" hidden="1">
      <c r="A230" s="676">
        <f>SUBTOTAL(3,$E$8:E230)</f>
        <v>16</v>
      </c>
      <c r="B230" s="379">
        <v>42868</v>
      </c>
      <c r="C230" s="376" t="s">
        <v>1800</v>
      </c>
      <c r="D230" s="375" t="s">
        <v>2056</v>
      </c>
      <c r="E230" s="376" t="s">
        <v>1161</v>
      </c>
      <c r="F230" s="376" t="s">
        <v>1161</v>
      </c>
      <c r="G230" s="678"/>
      <c r="H230" s="376" t="s">
        <v>1314</v>
      </c>
      <c r="I230" s="376" t="s">
        <v>1212</v>
      </c>
      <c r="J230" s="377">
        <v>3300</v>
      </c>
      <c r="K230" s="378"/>
      <c r="L230" s="380">
        <f>L229+Table16[[#This Row],[المدين (إيداع)]]-Table16[[#This Row],[الدائن (السحب)]]</f>
        <v>410379.16999999993</v>
      </c>
    </row>
    <row r="231" spans="1:12" ht="23.25" hidden="1">
      <c r="A231" s="676">
        <f>SUBTOTAL(3,$E$8:E231)</f>
        <v>16</v>
      </c>
      <c r="B231" s="379">
        <v>42870</v>
      </c>
      <c r="C231" s="376" t="s">
        <v>1811</v>
      </c>
      <c r="D231" s="375" t="s">
        <v>2022</v>
      </c>
      <c r="E231" s="376" t="s">
        <v>1315</v>
      </c>
      <c r="F231" s="376" t="s">
        <v>1152</v>
      </c>
      <c r="G231" s="678"/>
      <c r="H231" s="376" t="s">
        <v>1270</v>
      </c>
      <c r="I231" s="376" t="s">
        <v>1212</v>
      </c>
      <c r="J231" s="377">
        <v>1200</v>
      </c>
      <c r="K231" s="378"/>
      <c r="L231" s="380">
        <f>L230+Table16[[#This Row],[المدين (إيداع)]]-Table16[[#This Row],[الدائن (السحب)]]</f>
        <v>411579.16999999993</v>
      </c>
    </row>
    <row r="232" spans="1:12" ht="23.25" hidden="1">
      <c r="A232" s="676">
        <f>SUBTOTAL(3,$E$8:E232)</f>
        <v>16</v>
      </c>
      <c r="B232" s="379">
        <v>42870</v>
      </c>
      <c r="C232" s="376" t="s">
        <v>1800</v>
      </c>
      <c r="D232" s="375" t="s">
        <v>1316</v>
      </c>
      <c r="E232" s="376" t="s">
        <v>1208</v>
      </c>
      <c r="F232" s="376" t="s">
        <v>1161</v>
      </c>
      <c r="G232" s="678"/>
      <c r="H232" s="376" t="s">
        <v>1209</v>
      </c>
      <c r="I232" s="376" t="s">
        <v>1224</v>
      </c>
      <c r="J232" s="377">
        <v>8000</v>
      </c>
      <c r="K232" s="378"/>
      <c r="L232" s="380">
        <f>L231+Table16[[#This Row],[المدين (إيداع)]]-Table16[[#This Row],[الدائن (السحب)]]</f>
        <v>419579.16999999993</v>
      </c>
    </row>
    <row r="233" spans="1:12" ht="23.25" hidden="1">
      <c r="A233" s="676">
        <f>SUBTOTAL(3,$E$8:E233)</f>
        <v>16</v>
      </c>
      <c r="B233" s="379">
        <v>42870</v>
      </c>
      <c r="C233" s="376" t="s">
        <v>1811</v>
      </c>
      <c r="D233" s="375" t="s">
        <v>2021</v>
      </c>
      <c r="E233" s="376" t="s">
        <v>1161</v>
      </c>
      <c r="F233" s="376" t="s">
        <v>1161</v>
      </c>
      <c r="G233" s="678"/>
      <c r="H233" s="376" t="s">
        <v>1317</v>
      </c>
      <c r="I233" s="376" t="s">
        <v>1212</v>
      </c>
      <c r="J233" s="377">
        <v>350</v>
      </c>
      <c r="K233" s="378"/>
      <c r="L233" s="380">
        <f>L232+Table16[[#This Row],[المدين (إيداع)]]-Table16[[#This Row],[الدائن (السحب)]]</f>
        <v>419929.16999999993</v>
      </c>
    </row>
    <row r="234" spans="1:12" ht="23.25" hidden="1">
      <c r="A234" s="676">
        <f>SUBTOTAL(3,$E$8:E234)</f>
        <v>16</v>
      </c>
      <c r="B234" s="379">
        <v>42870</v>
      </c>
      <c r="C234" s="376" t="s">
        <v>1800</v>
      </c>
      <c r="D234" s="375" t="s">
        <v>1303</v>
      </c>
      <c r="E234" s="376" t="s">
        <v>1161</v>
      </c>
      <c r="F234" s="376" t="s">
        <v>1161</v>
      </c>
      <c r="G234" s="678"/>
      <c r="H234" s="376" t="s">
        <v>1318</v>
      </c>
      <c r="I234" s="376" t="s">
        <v>1305</v>
      </c>
      <c r="J234" s="377">
        <v>1800</v>
      </c>
      <c r="K234" s="378"/>
      <c r="L234" s="380">
        <f>L233+Table16[[#This Row],[المدين (إيداع)]]-Table16[[#This Row],[الدائن (السحب)]]</f>
        <v>421729.16999999993</v>
      </c>
    </row>
    <row r="235" spans="1:12" ht="23.25" hidden="1">
      <c r="A235" s="676">
        <f>SUBTOTAL(3,$E$8:E235)</f>
        <v>16</v>
      </c>
      <c r="B235" s="379">
        <v>42871</v>
      </c>
      <c r="C235" s="376" t="s">
        <v>1800</v>
      </c>
      <c r="D235" s="375" t="s">
        <v>2022</v>
      </c>
      <c r="E235" s="376" t="s">
        <v>1319</v>
      </c>
      <c r="F235" s="376" t="s">
        <v>1161</v>
      </c>
      <c r="G235" s="678"/>
      <c r="H235" s="376" t="s">
        <v>1320</v>
      </c>
      <c r="I235" s="376" t="s">
        <v>1212</v>
      </c>
      <c r="J235" s="377">
        <v>300</v>
      </c>
      <c r="K235" s="378"/>
      <c r="L235" s="380">
        <f>L234+Table16[[#This Row],[المدين (إيداع)]]-Table16[[#This Row],[الدائن (السحب)]]</f>
        <v>422029.16999999993</v>
      </c>
    </row>
    <row r="236" spans="1:12" ht="23.25" hidden="1">
      <c r="A236" s="676">
        <f>SUBTOTAL(3,$E$8:E236)</f>
        <v>16</v>
      </c>
      <c r="B236" s="379">
        <v>42871</v>
      </c>
      <c r="C236" s="376" t="s">
        <v>1811</v>
      </c>
      <c r="D236" s="375" t="s">
        <v>2022</v>
      </c>
      <c r="E236" s="376" t="s">
        <v>1319</v>
      </c>
      <c r="F236" s="376" t="s">
        <v>1161</v>
      </c>
      <c r="G236" s="678"/>
      <c r="H236" s="376" t="s">
        <v>1171</v>
      </c>
      <c r="I236" s="376" t="s">
        <v>1212</v>
      </c>
      <c r="J236" s="377">
        <v>300</v>
      </c>
      <c r="K236" s="378"/>
      <c r="L236" s="380">
        <f>L235+Table16[[#This Row],[المدين (إيداع)]]-Table16[[#This Row],[الدائن (السحب)]]</f>
        <v>422329.16999999993</v>
      </c>
    </row>
    <row r="237" spans="1:12" ht="23.25" hidden="1">
      <c r="A237" s="676">
        <f>SUBTOTAL(3,$E$8:E237)</f>
        <v>16</v>
      </c>
      <c r="B237" s="379">
        <v>42871</v>
      </c>
      <c r="C237" s="376" t="s">
        <v>1800</v>
      </c>
      <c r="D237" s="375" t="s">
        <v>1740</v>
      </c>
      <c r="E237" s="376" t="s">
        <v>1319</v>
      </c>
      <c r="F237" s="376" t="s">
        <v>1161</v>
      </c>
      <c r="G237" s="678"/>
      <c r="H237" s="376" t="s">
        <v>1176</v>
      </c>
      <c r="I237" s="376" t="s">
        <v>1163</v>
      </c>
      <c r="J237" s="377">
        <v>3500</v>
      </c>
      <c r="K237" s="378"/>
      <c r="L237" s="380">
        <f>L236+Table16[[#This Row],[المدين (إيداع)]]-Table16[[#This Row],[الدائن (السحب)]]</f>
        <v>425829.16999999993</v>
      </c>
    </row>
    <row r="238" spans="1:12" ht="23.25" hidden="1">
      <c r="A238" s="676">
        <f>SUBTOTAL(3,$E$8:E238)</f>
        <v>16</v>
      </c>
      <c r="B238" s="379">
        <v>42871</v>
      </c>
      <c r="C238" s="376" t="s">
        <v>1811</v>
      </c>
      <c r="D238" s="375" t="s">
        <v>2022</v>
      </c>
      <c r="E238" s="376" t="s">
        <v>1319</v>
      </c>
      <c r="F238" s="376" t="s">
        <v>1161</v>
      </c>
      <c r="G238" s="678"/>
      <c r="H238" s="376" t="s">
        <v>1321</v>
      </c>
      <c r="I238" s="376" t="s">
        <v>1212</v>
      </c>
      <c r="J238" s="377">
        <v>300</v>
      </c>
      <c r="K238" s="378"/>
      <c r="L238" s="380">
        <f>L237+Table16[[#This Row],[المدين (إيداع)]]-Table16[[#This Row],[الدائن (السحب)]]</f>
        <v>426129.16999999993</v>
      </c>
    </row>
    <row r="239" spans="1:12" ht="23.25" hidden="1">
      <c r="A239" s="676">
        <f>SUBTOTAL(3,$E$8:E239)</f>
        <v>16</v>
      </c>
      <c r="B239" s="379">
        <v>42872</v>
      </c>
      <c r="C239" s="376" t="s">
        <v>1800</v>
      </c>
      <c r="D239" s="375" t="s">
        <v>1295</v>
      </c>
      <c r="E239" s="376" t="s">
        <v>1319</v>
      </c>
      <c r="F239" s="376" t="s">
        <v>1161</v>
      </c>
      <c r="G239" s="678"/>
      <c r="H239" s="376" t="s">
        <v>2096</v>
      </c>
      <c r="I239" s="376" t="s">
        <v>1296</v>
      </c>
      <c r="J239" s="377">
        <v>11880</v>
      </c>
      <c r="K239" s="378"/>
      <c r="L239" s="380">
        <f>L238+Table16[[#This Row],[المدين (إيداع)]]-Table16[[#This Row],[الدائن (السحب)]]</f>
        <v>438009.16999999993</v>
      </c>
    </row>
    <row r="240" spans="1:12" ht="23.25" hidden="1">
      <c r="A240" s="676">
        <f>SUBTOTAL(3,$E$8:E240)</f>
        <v>16</v>
      </c>
      <c r="B240" s="379">
        <v>42877</v>
      </c>
      <c r="C240" s="376" t="s">
        <v>1800</v>
      </c>
      <c r="D240" s="375" t="s">
        <v>1295</v>
      </c>
      <c r="E240" s="376" t="s">
        <v>1319</v>
      </c>
      <c r="F240" s="376" t="s">
        <v>1161</v>
      </c>
      <c r="G240" s="678"/>
      <c r="H240" s="376" t="s">
        <v>2095</v>
      </c>
      <c r="I240" s="376" t="s">
        <v>1296</v>
      </c>
      <c r="J240" s="377">
        <v>1350</v>
      </c>
      <c r="K240" s="378"/>
      <c r="L240" s="380">
        <f>L239+Table16[[#This Row],[المدين (إيداع)]]-Table16[[#This Row],[الدائن (السحب)]]</f>
        <v>439359.16999999993</v>
      </c>
    </row>
    <row r="241" spans="1:12" ht="23.25" hidden="1">
      <c r="A241" s="676">
        <f>SUBTOTAL(3,$E$8:E241)</f>
        <v>16</v>
      </c>
      <c r="B241" s="379">
        <v>42878</v>
      </c>
      <c r="C241" s="376" t="s">
        <v>1800</v>
      </c>
      <c r="D241" s="375" t="s">
        <v>1322</v>
      </c>
      <c r="E241" s="376" t="s">
        <v>1265</v>
      </c>
      <c r="F241" s="376" t="s">
        <v>1152</v>
      </c>
      <c r="G241" s="678"/>
      <c r="H241" s="376" t="s">
        <v>1153</v>
      </c>
      <c r="I241" s="376" t="s">
        <v>1154</v>
      </c>
      <c r="J241" s="377">
        <v>34250</v>
      </c>
      <c r="K241" s="378"/>
      <c r="L241" s="380">
        <f>L240+Table16[[#This Row],[المدين (إيداع)]]-Table16[[#This Row],[الدائن (السحب)]]</f>
        <v>473609.16999999993</v>
      </c>
    </row>
    <row r="242" spans="1:12" ht="23.25">
      <c r="A242" s="676">
        <f>SUBTOTAL(3,$E$8:E242)</f>
        <v>17</v>
      </c>
      <c r="B242" s="379">
        <v>42878</v>
      </c>
      <c r="D242" s="375"/>
      <c r="E242" s="376" t="s">
        <v>1323</v>
      </c>
      <c r="F242" s="376" t="s">
        <v>1161</v>
      </c>
      <c r="G242" s="678"/>
      <c r="H242" s="376" t="s">
        <v>1324</v>
      </c>
      <c r="I242" s="376" t="s">
        <v>2085</v>
      </c>
      <c r="J242" s="377">
        <v>18000</v>
      </c>
      <c r="K242" s="378"/>
      <c r="L242" s="380">
        <f>L241+Table16[[#This Row],[المدين (إيداع)]]-Table16[[#This Row],[الدائن (السحب)]]</f>
        <v>491609.16999999993</v>
      </c>
    </row>
    <row r="243" spans="1:12" ht="23.25">
      <c r="A243" s="676">
        <f>SUBTOTAL(3,$E$8:E243)</f>
        <v>18</v>
      </c>
      <c r="B243" s="379">
        <v>42880</v>
      </c>
      <c r="D243" s="375"/>
      <c r="E243" s="376" t="s">
        <v>1325</v>
      </c>
      <c r="F243" s="376" t="s">
        <v>1161</v>
      </c>
      <c r="G243" s="678"/>
      <c r="H243" s="376" t="s">
        <v>1264</v>
      </c>
      <c r="J243" s="377">
        <v>200</v>
      </c>
      <c r="K243" s="378"/>
      <c r="L243" s="380">
        <f>L242+Table16[[#This Row],[المدين (إيداع)]]-Table16[[#This Row],[الدائن (السحب)]]</f>
        <v>491809.16999999993</v>
      </c>
    </row>
    <row r="244" spans="1:12" ht="23.25" hidden="1">
      <c r="A244" s="676">
        <f>SUBTOTAL(3,$E$8:E244)</f>
        <v>18</v>
      </c>
      <c r="B244" s="379">
        <v>42883</v>
      </c>
      <c r="C244" s="376" t="s">
        <v>1811</v>
      </c>
      <c r="D244" s="375" t="s">
        <v>2022</v>
      </c>
      <c r="E244" s="376" t="s">
        <v>1255</v>
      </c>
      <c r="F244" s="376" t="s">
        <v>1161</v>
      </c>
      <c r="G244" s="678"/>
      <c r="H244" s="376" t="s">
        <v>1256</v>
      </c>
      <c r="I244" s="376" t="s">
        <v>1212</v>
      </c>
      <c r="J244" s="377">
        <v>350</v>
      </c>
      <c r="K244" s="378"/>
      <c r="L244" s="380">
        <f>L243+Table16[[#This Row],[المدين (إيداع)]]-Table16[[#This Row],[الدائن (السحب)]]</f>
        <v>492159.16999999993</v>
      </c>
    </row>
    <row r="245" spans="1:12" ht="23.25" hidden="1">
      <c r="A245" s="676">
        <f>SUBTOTAL(3,$E$8:E245)</f>
        <v>18</v>
      </c>
      <c r="B245" s="379">
        <v>42884</v>
      </c>
      <c r="C245" s="376" t="s">
        <v>1800</v>
      </c>
      <c r="D245" s="375" t="s">
        <v>1322</v>
      </c>
      <c r="E245" s="376" t="s">
        <v>1164</v>
      </c>
      <c r="F245" s="376" t="s">
        <v>1165</v>
      </c>
      <c r="G245" s="678">
        <v>205</v>
      </c>
      <c r="H245" s="376" t="s">
        <v>1153</v>
      </c>
      <c r="I245" s="376" t="s">
        <v>1154</v>
      </c>
      <c r="J245" s="377">
        <v>1800</v>
      </c>
      <c r="K245" s="378"/>
      <c r="L245" s="380">
        <f>L244+Table16[[#This Row],[المدين (إيداع)]]-Table16[[#This Row],[الدائن (السحب)]]</f>
        <v>493959.16999999993</v>
      </c>
    </row>
    <row r="246" spans="1:12" ht="23.25" hidden="1">
      <c r="A246" s="676">
        <f>SUBTOTAL(3,$E$8:E246)</f>
        <v>18</v>
      </c>
      <c r="B246" s="379">
        <v>42884</v>
      </c>
      <c r="C246" s="376" t="s">
        <v>1800</v>
      </c>
      <c r="D246" s="375" t="s">
        <v>1322</v>
      </c>
      <c r="E246" s="376" t="s">
        <v>1164</v>
      </c>
      <c r="F246" s="376" t="s">
        <v>1165</v>
      </c>
      <c r="G246" s="678">
        <v>1159</v>
      </c>
      <c r="H246" s="376" t="s">
        <v>1153</v>
      </c>
      <c r="I246" s="376" t="s">
        <v>1154</v>
      </c>
      <c r="J246" s="377">
        <v>750</v>
      </c>
      <c r="K246" s="378"/>
      <c r="L246" s="380">
        <f>L245+Table16[[#This Row],[المدين (إيداع)]]-Table16[[#This Row],[الدائن (السحب)]]</f>
        <v>494709.16999999993</v>
      </c>
    </row>
    <row r="247" spans="1:12" ht="23.25" hidden="1">
      <c r="A247" s="676">
        <f>SUBTOTAL(3,$E$8:E247)</f>
        <v>18</v>
      </c>
      <c r="B247" s="379">
        <v>42884</v>
      </c>
      <c r="C247" s="376" t="s">
        <v>1800</v>
      </c>
      <c r="D247" s="375" t="s">
        <v>1322</v>
      </c>
      <c r="E247" s="376" t="s">
        <v>1164</v>
      </c>
      <c r="F247" s="376" t="s">
        <v>1165</v>
      </c>
      <c r="G247" s="678">
        <v>495</v>
      </c>
      <c r="H247" s="376" t="s">
        <v>1153</v>
      </c>
      <c r="I247" s="376" t="s">
        <v>1154</v>
      </c>
      <c r="J247" s="377">
        <v>3000</v>
      </c>
      <c r="K247" s="378"/>
      <c r="L247" s="380">
        <f>L246+Table16[[#This Row],[المدين (إيداع)]]-Table16[[#This Row],[الدائن (السحب)]]</f>
        <v>497709.16999999993</v>
      </c>
    </row>
    <row r="248" spans="1:12" ht="23.25" hidden="1">
      <c r="A248" s="676">
        <f>SUBTOTAL(3,$E$8:E248)</f>
        <v>18</v>
      </c>
      <c r="B248" s="379">
        <v>42885</v>
      </c>
      <c r="C248" s="376" t="s">
        <v>1800</v>
      </c>
      <c r="D248" s="375" t="s">
        <v>2022</v>
      </c>
      <c r="E248" s="376" t="s">
        <v>1293</v>
      </c>
      <c r="F248" s="376" t="s">
        <v>1161</v>
      </c>
      <c r="G248" s="678"/>
      <c r="H248" s="376" t="s">
        <v>1294</v>
      </c>
      <c r="I248" s="376" t="s">
        <v>1212</v>
      </c>
      <c r="J248" s="377">
        <v>1200</v>
      </c>
      <c r="K248" s="378"/>
      <c r="L248" s="380">
        <f>L247+Table16[[#This Row],[المدين (إيداع)]]-Table16[[#This Row],[الدائن (السحب)]]</f>
        <v>498909.16999999993</v>
      </c>
    </row>
    <row r="249" spans="1:12" ht="23.25" hidden="1">
      <c r="A249" s="676">
        <f>SUBTOTAL(3,$E$8:E249)</f>
        <v>18</v>
      </c>
      <c r="B249" s="379">
        <v>42887</v>
      </c>
      <c r="C249" s="376" t="s">
        <v>1800</v>
      </c>
      <c r="D249" s="375" t="s">
        <v>1322</v>
      </c>
      <c r="E249" s="376" t="s">
        <v>1265</v>
      </c>
      <c r="F249" s="376" t="s">
        <v>1152</v>
      </c>
      <c r="G249" s="678"/>
      <c r="H249" s="376" t="s">
        <v>1153</v>
      </c>
      <c r="I249" s="376" t="s">
        <v>1154</v>
      </c>
      <c r="J249" s="377">
        <v>21293</v>
      </c>
      <c r="K249" s="378"/>
      <c r="L249" s="380">
        <f>L248+Table16[[#This Row],[المدين (إيداع)]]-Table16[[#This Row],[الدائن (السحب)]]</f>
        <v>520202.16999999993</v>
      </c>
    </row>
    <row r="250" spans="1:12" ht="23.25" hidden="1">
      <c r="A250" s="676">
        <f>SUBTOTAL(3,$E$8:E250)</f>
        <v>18</v>
      </c>
      <c r="B250" s="379">
        <v>42887</v>
      </c>
      <c r="C250" s="376" t="s">
        <v>1800</v>
      </c>
      <c r="D250" s="375" t="s">
        <v>55</v>
      </c>
      <c r="E250" s="376" t="s">
        <v>1326</v>
      </c>
      <c r="F250" s="376" t="s">
        <v>1169</v>
      </c>
      <c r="G250" s="678">
        <v>283</v>
      </c>
      <c r="H250" s="376" t="s">
        <v>1327</v>
      </c>
      <c r="I250" s="376" t="s">
        <v>67</v>
      </c>
      <c r="J250" s="377"/>
      <c r="K250" s="378">
        <v>180000</v>
      </c>
      <c r="L250" s="380">
        <f>L249+Table16[[#This Row],[المدين (إيداع)]]-Table16[[#This Row],[الدائن (السحب)]]</f>
        <v>340202.16999999993</v>
      </c>
    </row>
    <row r="251" spans="1:12" ht="23.25" hidden="1">
      <c r="A251" s="676">
        <f>SUBTOTAL(3,$E$8:E251)</f>
        <v>18</v>
      </c>
      <c r="B251" s="642">
        <v>42891</v>
      </c>
      <c r="C251" s="643"/>
      <c r="D251" s="375" t="s">
        <v>2062</v>
      </c>
      <c r="E251" s="643" t="s">
        <v>1164</v>
      </c>
      <c r="F251" s="643" t="s">
        <v>1165</v>
      </c>
      <c r="G251" s="680">
        <v>4372</v>
      </c>
      <c r="H251" s="376" t="s">
        <v>2027</v>
      </c>
      <c r="I251" s="376" t="s">
        <v>2025</v>
      </c>
      <c r="J251" s="645">
        <v>11970</v>
      </c>
      <c r="K251" s="646"/>
      <c r="L251" s="647">
        <f>L250+Table16[[#This Row],[المدين (إيداع)]]-Table16[[#This Row],[الدائن (السحب)]]</f>
        <v>352172.16999999993</v>
      </c>
    </row>
    <row r="252" spans="1:12" ht="23.25" hidden="1">
      <c r="A252" s="676">
        <f>SUBTOTAL(3,$E$8:E252)</f>
        <v>18</v>
      </c>
      <c r="B252" s="642">
        <v>42891</v>
      </c>
      <c r="C252" s="376" t="s">
        <v>1800</v>
      </c>
      <c r="D252" s="644" t="s">
        <v>1730</v>
      </c>
      <c r="E252" s="643" t="s">
        <v>1164</v>
      </c>
      <c r="F252" s="643" t="s">
        <v>1165</v>
      </c>
      <c r="G252" s="680">
        <v>3172</v>
      </c>
      <c r="H252" s="643"/>
      <c r="I252" s="643" t="s">
        <v>1163</v>
      </c>
      <c r="J252" s="645">
        <v>44100</v>
      </c>
      <c r="K252" s="646"/>
      <c r="L252" s="647">
        <f>L251+Table16[[#This Row],[المدين (إيداع)]]-Table16[[#This Row],[الدائن (السحب)]]</f>
        <v>396272.16999999993</v>
      </c>
    </row>
    <row r="253" spans="1:12" ht="23.25" hidden="1">
      <c r="A253" s="676">
        <f>SUBTOTAL(3,$E$8:E253)</f>
        <v>18</v>
      </c>
      <c r="B253" s="642">
        <v>42891</v>
      </c>
      <c r="C253" s="376" t="s">
        <v>1800</v>
      </c>
      <c r="D253" s="644" t="s">
        <v>1295</v>
      </c>
      <c r="E253" s="643" t="s">
        <v>1164</v>
      </c>
      <c r="F253" s="643" t="s">
        <v>1165</v>
      </c>
      <c r="G253" s="680">
        <v>243</v>
      </c>
      <c r="H253" s="376" t="s">
        <v>2092</v>
      </c>
      <c r="I253" s="643" t="s">
        <v>1296</v>
      </c>
      <c r="J253" s="645">
        <v>1050</v>
      </c>
      <c r="K253" s="646"/>
      <c r="L253" s="647">
        <f>L252+Table16[[#This Row],[المدين (إيداع)]]-Table16[[#This Row],[الدائن (السحب)]]</f>
        <v>397322.16999999993</v>
      </c>
    </row>
    <row r="254" spans="1:12" ht="23.25" hidden="1">
      <c r="A254" s="676">
        <f>SUBTOTAL(3,$E$8:E254)</f>
        <v>18</v>
      </c>
      <c r="B254" s="642">
        <v>42891</v>
      </c>
      <c r="C254" s="643"/>
      <c r="D254" s="375" t="s">
        <v>2062</v>
      </c>
      <c r="E254" s="643" t="s">
        <v>1164</v>
      </c>
      <c r="F254" s="643" t="s">
        <v>1165</v>
      </c>
      <c r="G254" s="680">
        <v>4326</v>
      </c>
      <c r="H254" s="376" t="s">
        <v>2027</v>
      </c>
      <c r="I254" s="376" t="s">
        <v>2025</v>
      </c>
      <c r="J254" s="645">
        <v>6555</v>
      </c>
      <c r="K254" s="646"/>
      <c r="L254" s="647">
        <f>L253+Table16[[#This Row],[المدين (إيداع)]]-Table16[[#This Row],[الدائن (السحب)]]</f>
        <v>403877.16999999993</v>
      </c>
    </row>
    <row r="255" spans="1:12" ht="23.25">
      <c r="A255" s="676">
        <f>SUBTOTAL(3,$E$8:E255)</f>
        <v>19</v>
      </c>
      <c r="B255" s="642">
        <v>42891</v>
      </c>
      <c r="C255" s="643"/>
      <c r="D255" s="644"/>
      <c r="E255" s="643" t="s">
        <v>1156</v>
      </c>
      <c r="F255" s="643" t="s">
        <v>1157</v>
      </c>
      <c r="G255" s="680"/>
      <c r="H255" s="643"/>
      <c r="I255" s="643"/>
      <c r="J255" s="645"/>
      <c r="K255" s="646">
        <v>25</v>
      </c>
      <c r="L255" s="647">
        <f>L254+Table16[[#This Row],[المدين (إيداع)]]-Table16[[#This Row],[الدائن (السحب)]]</f>
        <v>403852.16999999993</v>
      </c>
    </row>
    <row r="256" spans="1:12" ht="23.25" hidden="1">
      <c r="A256" s="676">
        <f>SUBTOTAL(3,$E$8:E256)</f>
        <v>19</v>
      </c>
      <c r="B256" s="642">
        <v>42891</v>
      </c>
      <c r="C256" s="643" t="s">
        <v>1800</v>
      </c>
      <c r="D256" s="644" t="s">
        <v>1731</v>
      </c>
      <c r="E256" s="643" t="s">
        <v>1319</v>
      </c>
      <c r="F256" s="643" t="s">
        <v>1161</v>
      </c>
      <c r="G256" s="680"/>
      <c r="H256" s="643" t="s">
        <v>1818</v>
      </c>
      <c r="I256" s="643" t="s">
        <v>1296</v>
      </c>
      <c r="J256" s="645">
        <v>21984</v>
      </c>
      <c r="K256" s="646"/>
      <c r="L256" s="647">
        <f>L255+Table16[[#This Row],[المدين (إيداع)]]-Table16[[#This Row],[الدائن (السحب)]]</f>
        <v>425836.16999999993</v>
      </c>
    </row>
    <row r="257" spans="1:12" ht="23.25" hidden="1">
      <c r="A257" s="676">
        <f>SUBTOTAL(3,$E$8:E257)</f>
        <v>19</v>
      </c>
      <c r="B257" s="642">
        <v>42893</v>
      </c>
      <c r="C257" s="376" t="s">
        <v>1800</v>
      </c>
      <c r="D257" s="644" t="s">
        <v>55</v>
      </c>
      <c r="E257" s="376" t="s">
        <v>1847</v>
      </c>
      <c r="F257" s="643" t="s">
        <v>1169</v>
      </c>
      <c r="G257" s="680">
        <v>285</v>
      </c>
      <c r="H257" s="643" t="s">
        <v>1242</v>
      </c>
      <c r="I257" s="376" t="s">
        <v>1842</v>
      </c>
      <c r="J257" s="645"/>
      <c r="K257" s="646">
        <v>72667</v>
      </c>
      <c r="L257" s="647">
        <f>L256+Table16[[#This Row],[المدين (إيداع)]]-Table16[[#This Row],[الدائن (السحب)]]</f>
        <v>353169.16999999993</v>
      </c>
    </row>
    <row r="258" spans="1:12" ht="23.25">
      <c r="A258" s="676">
        <f>SUBTOTAL(3,$E$8:E258)</f>
        <v>20</v>
      </c>
      <c r="B258" s="642">
        <v>42893</v>
      </c>
      <c r="C258" s="643"/>
      <c r="D258" s="644"/>
      <c r="E258" s="643" t="s">
        <v>1169</v>
      </c>
      <c r="F258" s="643" t="s">
        <v>1169</v>
      </c>
      <c r="G258" s="680">
        <v>287</v>
      </c>
      <c r="H258" s="643"/>
      <c r="I258" s="643" t="s">
        <v>1733</v>
      </c>
      <c r="J258" s="645"/>
      <c r="K258" s="646">
        <v>125000</v>
      </c>
      <c r="L258" s="647">
        <f>L257+Table16[[#This Row],[المدين (إيداع)]]-Table16[[#This Row],[الدائن (السحب)]]</f>
        <v>228169.16999999993</v>
      </c>
    </row>
    <row r="259" spans="1:12" ht="23.25" hidden="1">
      <c r="A259" s="676">
        <f>SUBTOTAL(3,$E$8:E259)</f>
        <v>20</v>
      </c>
      <c r="B259" s="642">
        <v>42893</v>
      </c>
      <c r="C259" s="376" t="s">
        <v>1800</v>
      </c>
      <c r="D259" s="644" t="s">
        <v>1322</v>
      </c>
      <c r="E259" s="643" t="s">
        <v>1164</v>
      </c>
      <c r="F259" s="643" t="s">
        <v>1165</v>
      </c>
      <c r="G259" s="680">
        <v>1338</v>
      </c>
      <c r="H259" s="643"/>
      <c r="I259" s="643" t="s">
        <v>1154</v>
      </c>
      <c r="J259" s="645">
        <v>2400</v>
      </c>
      <c r="K259" s="646"/>
      <c r="L259" s="647">
        <f>L258+Table16[[#This Row],[المدين (إيداع)]]-Table16[[#This Row],[الدائن (السحب)]]</f>
        <v>230569.16999999993</v>
      </c>
    </row>
    <row r="260" spans="1:12" ht="23.25" hidden="1">
      <c r="A260" s="676">
        <f>SUBTOTAL(3,$E$8:E260)</f>
        <v>20</v>
      </c>
      <c r="B260" s="642">
        <v>42893</v>
      </c>
      <c r="C260" s="376" t="s">
        <v>1800</v>
      </c>
      <c r="D260" s="375" t="s">
        <v>1952</v>
      </c>
      <c r="E260" s="376" t="s">
        <v>1219</v>
      </c>
      <c r="F260" s="643" t="s">
        <v>1161</v>
      </c>
      <c r="G260" s="680"/>
      <c r="H260" s="376" t="s">
        <v>1939</v>
      </c>
      <c r="I260" s="643" t="s">
        <v>1205</v>
      </c>
      <c r="J260" s="645">
        <v>20000</v>
      </c>
      <c r="K260" s="646"/>
      <c r="L260" s="647">
        <f>L259+Table16[[#This Row],[المدين (إيداع)]]-Table16[[#This Row],[الدائن (السحب)]]</f>
        <v>250569.16999999993</v>
      </c>
    </row>
    <row r="261" spans="1:12" ht="23.25" hidden="1">
      <c r="A261" s="676">
        <f>SUBTOTAL(3,$E$8:E261)</f>
        <v>20</v>
      </c>
      <c r="B261" s="642">
        <v>42893</v>
      </c>
      <c r="C261" s="376" t="s">
        <v>1800</v>
      </c>
      <c r="D261" s="375" t="s">
        <v>1906</v>
      </c>
      <c r="E261" s="376" t="s">
        <v>1254</v>
      </c>
      <c r="F261" s="643" t="s">
        <v>1161</v>
      </c>
      <c r="G261" s="680"/>
      <c r="H261" s="643" t="s">
        <v>1172</v>
      </c>
      <c r="I261" s="376" t="s">
        <v>1907</v>
      </c>
      <c r="J261" s="645">
        <v>3200</v>
      </c>
      <c r="K261" s="646"/>
      <c r="L261" s="647">
        <f>L260+Table16[[#This Row],[المدين (إيداع)]]-Table16[[#This Row],[الدائن (السحب)]]</f>
        <v>253769.16999999993</v>
      </c>
    </row>
    <row r="262" spans="1:12" ht="23.25" hidden="1">
      <c r="A262" s="676">
        <f>SUBTOTAL(3,$E$8:E262)</f>
        <v>20</v>
      </c>
      <c r="B262" s="642">
        <v>42893</v>
      </c>
      <c r="C262" s="643" t="s">
        <v>1800</v>
      </c>
      <c r="D262" s="644" t="s">
        <v>1731</v>
      </c>
      <c r="E262" s="643" t="s">
        <v>1735</v>
      </c>
      <c r="F262" s="643" t="s">
        <v>1161</v>
      </c>
      <c r="G262" s="680"/>
      <c r="H262" s="643" t="s">
        <v>1736</v>
      </c>
      <c r="I262" s="643" t="s">
        <v>1296</v>
      </c>
      <c r="J262" s="645">
        <v>5350</v>
      </c>
      <c r="K262" s="646"/>
      <c r="L262" s="647">
        <f>L261+Table16[[#This Row],[المدين (إيداع)]]-Table16[[#This Row],[الدائن (السحب)]]</f>
        <v>259119.16999999993</v>
      </c>
    </row>
    <row r="263" spans="1:12" ht="23.25" hidden="1">
      <c r="A263" s="676">
        <f>SUBTOTAL(3,$E$8:E263)</f>
        <v>20</v>
      </c>
      <c r="B263" s="642">
        <v>42893</v>
      </c>
      <c r="C263" s="376" t="s">
        <v>1811</v>
      </c>
      <c r="D263" s="375" t="s">
        <v>2021</v>
      </c>
      <c r="E263" s="643" t="s">
        <v>1161</v>
      </c>
      <c r="F263" s="643" t="s">
        <v>1161</v>
      </c>
      <c r="G263" s="680"/>
      <c r="H263" s="643"/>
      <c r="I263" s="643" t="s">
        <v>1212</v>
      </c>
      <c r="J263" s="645">
        <v>285</v>
      </c>
      <c r="K263" s="646"/>
      <c r="L263" s="647">
        <f>L262+Table16[[#This Row],[المدين (إيداع)]]-Table16[[#This Row],[الدائن (السحب)]]</f>
        <v>259404.16999999993</v>
      </c>
    </row>
    <row r="264" spans="1:12" ht="23.25">
      <c r="A264" s="676">
        <f>SUBTOTAL(3,$E$8:E264)</f>
        <v>21</v>
      </c>
      <c r="B264" s="642">
        <v>42894</v>
      </c>
      <c r="C264" s="643"/>
      <c r="D264" s="644"/>
      <c r="E264" s="643" t="s">
        <v>1737</v>
      </c>
      <c r="F264" s="643" t="s">
        <v>1737</v>
      </c>
      <c r="G264" s="680">
        <v>173</v>
      </c>
      <c r="H264" s="643"/>
      <c r="I264" s="643" t="s">
        <v>1296</v>
      </c>
      <c r="J264" s="645"/>
      <c r="K264" s="646">
        <v>900</v>
      </c>
      <c r="L264" s="647">
        <f>L263+Table16[[#This Row],[المدين (إيداع)]]-Table16[[#This Row],[الدائن (السحب)]]</f>
        <v>258504.16999999993</v>
      </c>
    </row>
    <row r="265" spans="1:12" ht="23.25" hidden="1">
      <c r="A265" s="676">
        <f>SUBTOTAL(3,$E$8:E265)</f>
        <v>21</v>
      </c>
      <c r="B265" s="642">
        <v>42894</v>
      </c>
      <c r="C265" s="376" t="s">
        <v>1800</v>
      </c>
      <c r="D265" s="644" t="s">
        <v>1295</v>
      </c>
      <c r="E265" s="643" t="s">
        <v>1164</v>
      </c>
      <c r="F265" s="643" t="s">
        <v>1165</v>
      </c>
      <c r="G265" s="680">
        <v>173</v>
      </c>
      <c r="H265" s="376" t="s">
        <v>2092</v>
      </c>
      <c r="I265" s="643" t="s">
        <v>1296</v>
      </c>
      <c r="J265" s="645">
        <v>900</v>
      </c>
      <c r="K265" s="646"/>
      <c r="L265" s="647">
        <f>L264+Table16[[#This Row],[المدين (إيداع)]]-Table16[[#This Row],[الدائن (السحب)]]</f>
        <v>259404.16999999993</v>
      </c>
    </row>
    <row r="266" spans="1:12" ht="23.25" hidden="1">
      <c r="A266" s="676">
        <f>SUBTOTAL(3,$E$8:E266)</f>
        <v>21</v>
      </c>
      <c r="B266" s="642">
        <v>42894</v>
      </c>
      <c r="C266" s="376" t="s">
        <v>1800</v>
      </c>
      <c r="D266" s="375" t="s">
        <v>1906</v>
      </c>
      <c r="E266" s="376" t="s">
        <v>1195</v>
      </c>
      <c r="F266" s="643" t="s">
        <v>1161</v>
      </c>
      <c r="G266" s="680"/>
      <c r="H266" s="376" t="s">
        <v>1196</v>
      </c>
      <c r="I266" s="376" t="s">
        <v>1907</v>
      </c>
      <c r="J266" s="645">
        <v>3200</v>
      </c>
      <c r="K266" s="646"/>
      <c r="L266" s="647">
        <f>L265+Table16[[#This Row],[المدين (إيداع)]]-Table16[[#This Row],[الدائن (السحب)]]</f>
        <v>262604.16999999993</v>
      </c>
    </row>
    <row r="267" spans="1:12" ht="23.25" hidden="1">
      <c r="A267" s="676">
        <f>SUBTOTAL(3,$E$8:E267)</f>
        <v>21</v>
      </c>
      <c r="B267" s="642">
        <v>42894</v>
      </c>
      <c r="C267" s="643"/>
      <c r="D267" s="375" t="s">
        <v>2090</v>
      </c>
      <c r="E267" s="643" t="s">
        <v>1738</v>
      </c>
      <c r="F267" s="643" t="s">
        <v>1161</v>
      </c>
      <c r="G267" s="680"/>
      <c r="H267" s="643" t="s">
        <v>1739</v>
      </c>
      <c r="I267" s="376" t="s">
        <v>1296</v>
      </c>
      <c r="J267" s="645">
        <v>3500</v>
      </c>
      <c r="K267" s="646"/>
      <c r="L267" s="647">
        <f>L266+Table16[[#This Row],[المدين (إيداع)]]-Table16[[#This Row],[الدائن (السحب)]]</f>
        <v>266104.16999999993</v>
      </c>
    </row>
    <row r="268" spans="1:12" ht="23.25" hidden="1">
      <c r="A268" s="676">
        <f>SUBTOTAL(3,$E$8:E268)</f>
        <v>21</v>
      </c>
      <c r="B268" s="642">
        <v>42895</v>
      </c>
      <c r="C268" s="376" t="s">
        <v>1800</v>
      </c>
      <c r="D268" s="644" t="s">
        <v>1284</v>
      </c>
      <c r="E268" s="643" t="s">
        <v>1164</v>
      </c>
      <c r="F268" s="643" t="s">
        <v>1165</v>
      </c>
      <c r="G268" s="680">
        <v>277</v>
      </c>
      <c r="H268" s="643"/>
      <c r="I268" s="643" t="s">
        <v>1305</v>
      </c>
      <c r="J268" s="645">
        <v>3000</v>
      </c>
      <c r="K268" s="646"/>
      <c r="L268" s="647">
        <f>L267+Table16[[#This Row],[المدين (إيداع)]]-Table16[[#This Row],[الدائن (السحب)]]</f>
        <v>269104.16999999993</v>
      </c>
    </row>
    <row r="269" spans="1:12" ht="23.25" hidden="1">
      <c r="A269" s="676">
        <f>SUBTOTAL(3,$E$8:E269)</f>
        <v>21</v>
      </c>
      <c r="B269" s="642">
        <v>42895</v>
      </c>
      <c r="C269" s="376" t="s">
        <v>1800</v>
      </c>
      <c r="D269" s="644" t="s">
        <v>1266</v>
      </c>
      <c r="E269" s="643" t="s">
        <v>1164</v>
      </c>
      <c r="F269" s="643" t="s">
        <v>1165</v>
      </c>
      <c r="G269" s="680">
        <v>54</v>
      </c>
      <c r="H269" s="643"/>
      <c r="I269" s="643" t="s">
        <v>1163</v>
      </c>
      <c r="J269" s="645">
        <v>3000</v>
      </c>
      <c r="K269" s="646"/>
      <c r="L269" s="647">
        <f>L268+Table16[[#This Row],[المدين (إيداع)]]-Table16[[#This Row],[الدائن (السحب)]]</f>
        <v>272104.16999999993</v>
      </c>
    </row>
    <row r="270" spans="1:12" ht="23.25" hidden="1">
      <c r="A270" s="676">
        <f>SUBTOTAL(3,$E$8:E270)</f>
        <v>21</v>
      </c>
      <c r="B270" s="642">
        <v>42895</v>
      </c>
      <c r="C270" s="376" t="s">
        <v>1800</v>
      </c>
      <c r="D270" s="644" t="s">
        <v>1740</v>
      </c>
      <c r="E270" s="643" t="s">
        <v>1164</v>
      </c>
      <c r="F270" s="643" t="s">
        <v>1165</v>
      </c>
      <c r="G270" s="680">
        <v>59</v>
      </c>
      <c r="H270" s="643"/>
      <c r="I270" s="643" t="s">
        <v>1163</v>
      </c>
      <c r="J270" s="645">
        <v>3000</v>
      </c>
      <c r="K270" s="646"/>
      <c r="L270" s="647">
        <f>L269+Table16[[#This Row],[المدين (إيداع)]]-Table16[[#This Row],[الدائن (السحب)]]</f>
        <v>275104.16999999993</v>
      </c>
    </row>
    <row r="271" spans="1:12" ht="23.25" hidden="1">
      <c r="A271" s="676">
        <f>SUBTOTAL(3,$E$8:E271)</f>
        <v>21</v>
      </c>
      <c r="B271" s="642">
        <v>42895</v>
      </c>
      <c r="C271" s="376" t="s">
        <v>1800</v>
      </c>
      <c r="D271" s="644" t="s">
        <v>1297</v>
      </c>
      <c r="E271" s="643" t="s">
        <v>1164</v>
      </c>
      <c r="F271" s="643" t="s">
        <v>1165</v>
      </c>
      <c r="G271" s="680">
        <v>1907</v>
      </c>
      <c r="H271" s="643"/>
      <c r="I271" s="643" t="s">
        <v>1224</v>
      </c>
      <c r="J271" s="645">
        <v>1500</v>
      </c>
      <c r="K271" s="646"/>
      <c r="L271" s="647">
        <f>L270+Table16[[#This Row],[المدين (إيداع)]]-Table16[[#This Row],[الدائن (السحب)]]</f>
        <v>276604.16999999993</v>
      </c>
    </row>
    <row r="272" spans="1:12" ht="23.25" hidden="1">
      <c r="A272" s="676">
        <f>SUBTOTAL(3,$E$8:E272)</f>
        <v>21</v>
      </c>
      <c r="B272" s="642">
        <v>42895</v>
      </c>
      <c r="C272" s="376" t="s">
        <v>1800</v>
      </c>
      <c r="D272" s="644" t="s">
        <v>1740</v>
      </c>
      <c r="E272" s="643" t="s">
        <v>1164</v>
      </c>
      <c r="F272" s="643" t="s">
        <v>1165</v>
      </c>
      <c r="G272" s="680">
        <v>5530</v>
      </c>
      <c r="H272" s="643"/>
      <c r="I272" s="643" t="s">
        <v>1163</v>
      </c>
      <c r="J272" s="645">
        <v>1500</v>
      </c>
      <c r="K272" s="646"/>
      <c r="L272" s="647">
        <f>L271+Table16[[#This Row],[المدين (إيداع)]]-Table16[[#This Row],[الدائن (السحب)]]</f>
        <v>278104.16999999993</v>
      </c>
    </row>
    <row r="273" spans="1:12" ht="23.25" hidden="1">
      <c r="A273" s="676">
        <f>SUBTOTAL(3,$E$8:E273)</f>
        <v>21</v>
      </c>
      <c r="B273" s="642">
        <v>42895</v>
      </c>
      <c r="C273" s="376" t="s">
        <v>1800</v>
      </c>
      <c r="D273" s="644" t="s">
        <v>1740</v>
      </c>
      <c r="E273" s="643" t="s">
        <v>1164</v>
      </c>
      <c r="F273" s="643" t="s">
        <v>1165</v>
      </c>
      <c r="G273" s="680">
        <v>252</v>
      </c>
      <c r="H273" s="643"/>
      <c r="I273" s="643" t="s">
        <v>1163</v>
      </c>
      <c r="J273" s="645">
        <v>8400</v>
      </c>
      <c r="K273" s="646"/>
      <c r="L273" s="647">
        <f>L272+Table16[[#This Row],[المدين (إيداع)]]-Table16[[#This Row],[الدائن (السحب)]]</f>
        <v>286504.16999999993</v>
      </c>
    </row>
    <row r="274" spans="1:12" ht="23.25">
      <c r="A274" s="676">
        <f>SUBTOTAL(3,$E$8:E274)</f>
        <v>22</v>
      </c>
      <c r="B274" s="642">
        <v>42895</v>
      </c>
      <c r="C274" s="643"/>
      <c r="D274" s="644"/>
      <c r="E274" s="643" t="s">
        <v>1164</v>
      </c>
      <c r="F274" s="643" t="s">
        <v>1165</v>
      </c>
      <c r="G274" s="680">
        <v>4216</v>
      </c>
      <c r="H274" s="643"/>
      <c r="I274" s="643"/>
      <c r="J274" s="645">
        <v>9750</v>
      </c>
      <c r="K274" s="646"/>
      <c r="L274" s="647">
        <f>L273+Table16[[#This Row],[المدين (إيداع)]]-Table16[[#This Row],[الدائن (السحب)]]</f>
        <v>296254.16999999993</v>
      </c>
    </row>
    <row r="275" spans="1:12" ht="23.25" hidden="1">
      <c r="A275" s="676">
        <f>SUBTOTAL(3,$E$8:E275)</f>
        <v>22</v>
      </c>
      <c r="B275" s="642">
        <v>42895</v>
      </c>
      <c r="C275" s="376" t="s">
        <v>1800</v>
      </c>
      <c r="D275" s="644" t="s">
        <v>1284</v>
      </c>
      <c r="E275" s="643" t="s">
        <v>1164</v>
      </c>
      <c r="F275" s="643" t="s">
        <v>1165</v>
      </c>
      <c r="G275" s="680">
        <v>87546</v>
      </c>
      <c r="H275" s="643"/>
      <c r="I275" s="643" t="s">
        <v>1305</v>
      </c>
      <c r="J275" s="645">
        <v>5400</v>
      </c>
      <c r="K275" s="646"/>
      <c r="L275" s="647">
        <f>L274+Table16[[#This Row],[المدين (إيداع)]]-Table16[[#This Row],[الدائن (السحب)]]</f>
        <v>301654.16999999993</v>
      </c>
    </row>
    <row r="276" spans="1:12" ht="23.25" hidden="1">
      <c r="A276" s="676">
        <f>SUBTOTAL(3,$E$8:E276)</f>
        <v>22</v>
      </c>
      <c r="B276" s="642">
        <v>42895</v>
      </c>
      <c r="C276" s="376" t="s">
        <v>1800</v>
      </c>
      <c r="D276" s="644" t="s">
        <v>1297</v>
      </c>
      <c r="E276" s="643" t="s">
        <v>1164</v>
      </c>
      <c r="F276" s="643" t="s">
        <v>1165</v>
      </c>
      <c r="G276" s="680">
        <v>653</v>
      </c>
      <c r="H276" s="643"/>
      <c r="I276" s="643" t="s">
        <v>1224</v>
      </c>
      <c r="J276" s="645">
        <v>900</v>
      </c>
      <c r="K276" s="646"/>
      <c r="L276" s="647">
        <f>L275+Table16[[#This Row],[المدين (إيداع)]]-Table16[[#This Row],[الدائن (السحب)]]</f>
        <v>302554.16999999993</v>
      </c>
    </row>
    <row r="277" spans="1:12" ht="23.25" hidden="1">
      <c r="A277" s="676">
        <f>SUBTOTAL(3,$E$8:E277)</f>
        <v>22</v>
      </c>
      <c r="B277" s="642">
        <v>42895</v>
      </c>
      <c r="C277" s="376" t="s">
        <v>1800</v>
      </c>
      <c r="D277" s="644" t="s">
        <v>1740</v>
      </c>
      <c r="E277" s="643" t="s">
        <v>1164</v>
      </c>
      <c r="F277" s="643" t="s">
        <v>1165</v>
      </c>
      <c r="G277" s="680">
        <v>1664</v>
      </c>
      <c r="H277" s="643"/>
      <c r="I277" s="643" t="s">
        <v>1163</v>
      </c>
      <c r="J277" s="645">
        <v>1200</v>
      </c>
      <c r="K277" s="646"/>
      <c r="L277" s="647">
        <f>L276+Table16[[#This Row],[المدين (إيداع)]]-Table16[[#This Row],[الدائن (السحب)]]</f>
        <v>303754.16999999993</v>
      </c>
    </row>
    <row r="278" spans="1:12" ht="23.25" hidden="1">
      <c r="A278" s="676">
        <f>SUBTOTAL(3,$E$8:E278)</f>
        <v>22</v>
      </c>
      <c r="B278" s="642">
        <v>42895</v>
      </c>
      <c r="C278" s="643"/>
      <c r="D278" s="375" t="s">
        <v>2062</v>
      </c>
      <c r="E278" s="643" t="s">
        <v>1164</v>
      </c>
      <c r="F278" s="643" t="s">
        <v>1165</v>
      </c>
      <c r="G278" s="680">
        <v>3025</v>
      </c>
      <c r="H278" s="376" t="s">
        <v>2030</v>
      </c>
      <c r="I278" s="376" t="s">
        <v>2025</v>
      </c>
      <c r="J278" s="645">
        <v>3600</v>
      </c>
      <c r="K278" s="646"/>
      <c r="L278" s="647">
        <f>L277+Table16[[#This Row],[المدين (إيداع)]]-Table16[[#This Row],[الدائن (السحب)]]</f>
        <v>307354.16999999993</v>
      </c>
    </row>
    <row r="279" spans="1:12" ht="23.25">
      <c r="A279" s="676">
        <f>SUBTOTAL(3,$E$8:E279)</f>
        <v>23</v>
      </c>
      <c r="B279" s="642">
        <v>42895</v>
      </c>
      <c r="C279" s="643"/>
      <c r="D279" s="644"/>
      <c r="E279" s="643" t="s">
        <v>1164</v>
      </c>
      <c r="F279" s="643" t="s">
        <v>1165</v>
      </c>
      <c r="G279" s="680">
        <v>904152</v>
      </c>
      <c r="H279" s="643"/>
      <c r="I279" s="643"/>
      <c r="J279" s="645">
        <v>2700</v>
      </c>
      <c r="K279" s="646"/>
      <c r="L279" s="647">
        <f>L278+Table16[[#This Row],[المدين (إيداع)]]-Table16[[#This Row],[الدائن (السحب)]]</f>
        <v>310054.16999999993</v>
      </c>
    </row>
    <row r="280" spans="1:12" ht="23.25">
      <c r="A280" s="676">
        <f>SUBTOTAL(3,$E$8:E280)</f>
        <v>24</v>
      </c>
      <c r="B280" s="642">
        <v>42895</v>
      </c>
      <c r="C280" s="643"/>
      <c r="D280" s="644"/>
      <c r="E280" s="643" t="s">
        <v>1164</v>
      </c>
      <c r="F280" s="643" t="s">
        <v>1165</v>
      </c>
      <c r="G280" s="680">
        <v>66127609</v>
      </c>
      <c r="H280" s="376" t="s">
        <v>2053</v>
      </c>
      <c r="I280" s="376" t="s">
        <v>2085</v>
      </c>
      <c r="J280" s="645">
        <v>855</v>
      </c>
      <c r="K280" s="646"/>
      <c r="L280" s="647">
        <f>L279+Table16[[#This Row],[المدين (إيداع)]]-Table16[[#This Row],[الدائن (السحب)]]</f>
        <v>310909.16999999993</v>
      </c>
    </row>
    <row r="281" spans="1:12" ht="23.25" hidden="1">
      <c r="A281" s="676">
        <f>SUBTOTAL(3,$E$8:E281)</f>
        <v>24</v>
      </c>
      <c r="B281" s="642">
        <v>42895</v>
      </c>
      <c r="C281" s="376" t="s">
        <v>1800</v>
      </c>
      <c r="D281" s="644" t="s">
        <v>1303</v>
      </c>
      <c r="E281" s="643" t="s">
        <v>1164</v>
      </c>
      <c r="F281" s="643" t="s">
        <v>1165</v>
      </c>
      <c r="G281" s="680">
        <v>66322845</v>
      </c>
      <c r="H281" s="643"/>
      <c r="I281" s="643" t="s">
        <v>1305</v>
      </c>
      <c r="J281" s="645">
        <v>1300</v>
      </c>
      <c r="K281" s="646"/>
      <c r="L281" s="647">
        <f>L280+Table16[[#This Row],[المدين (إيداع)]]-Table16[[#This Row],[الدائن (السحب)]]</f>
        <v>312209.16999999993</v>
      </c>
    </row>
    <row r="282" spans="1:12" ht="23.25" hidden="1">
      <c r="A282" s="676">
        <f>SUBTOTAL(3,$E$8:E282)</f>
        <v>24</v>
      </c>
      <c r="B282" s="642">
        <v>42895</v>
      </c>
      <c r="C282" s="376" t="s">
        <v>1800</v>
      </c>
      <c r="D282" s="644" t="s">
        <v>1740</v>
      </c>
      <c r="E282" s="643" t="s">
        <v>1164</v>
      </c>
      <c r="F282" s="643" t="s">
        <v>1165</v>
      </c>
      <c r="G282" s="680">
        <v>66519084</v>
      </c>
      <c r="H282" s="643"/>
      <c r="I282" s="643" t="s">
        <v>1163</v>
      </c>
      <c r="J282" s="645">
        <v>12800</v>
      </c>
      <c r="K282" s="646"/>
      <c r="L282" s="647">
        <f>L281+Table16[[#This Row],[المدين (إيداع)]]-Table16[[#This Row],[الدائن (السحب)]]</f>
        <v>325009.16999999993</v>
      </c>
    </row>
    <row r="283" spans="1:12" ht="23.25" hidden="1">
      <c r="A283" s="676">
        <f>SUBTOTAL(3,$E$8:E283)</f>
        <v>24</v>
      </c>
      <c r="B283" s="642">
        <v>42895</v>
      </c>
      <c r="C283" s="376" t="s">
        <v>1800</v>
      </c>
      <c r="D283" s="644" t="s">
        <v>1740</v>
      </c>
      <c r="E283" s="643" t="s">
        <v>1164</v>
      </c>
      <c r="F283" s="643" t="s">
        <v>1165</v>
      </c>
      <c r="G283" s="680">
        <v>66519124</v>
      </c>
      <c r="H283" s="643"/>
      <c r="I283" s="643" t="s">
        <v>1163</v>
      </c>
      <c r="J283" s="645">
        <v>15200</v>
      </c>
      <c r="K283" s="646"/>
      <c r="L283" s="647">
        <f>L282+Table16[[#This Row],[المدين (إيداع)]]-Table16[[#This Row],[الدائن (السحب)]]</f>
        <v>340209.16999999993</v>
      </c>
    </row>
    <row r="284" spans="1:12" ht="23.25" hidden="1">
      <c r="A284" s="676">
        <f>SUBTOTAL(3,$E$8:E284)</f>
        <v>24</v>
      </c>
      <c r="B284" s="642">
        <v>42896</v>
      </c>
      <c r="C284" s="376" t="s">
        <v>1800</v>
      </c>
      <c r="D284" s="375" t="s">
        <v>2055</v>
      </c>
      <c r="E284" s="643" t="s">
        <v>1161</v>
      </c>
      <c r="F284" s="643" t="s">
        <v>1161</v>
      </c>
      <c r="G284" s="680"/>
      <c r="H284" s="643" t="s">
        <v>1741</v>
      </c>
      <c r="I284" s="643" t="s">
        <v>1212</v>
      </c>
      <c r="J284" s="645">
        <v>300</v>
      </c>
      <c r="K284" s="646"/>
      <c r="L284" s="647">
        <f>L283+Table16[[#This Row],[المدين (إيداع)]]-Table16[[#This Row],[الدائن (السحب)]]</f>
        <v>340509.16999999993</v>
      </c>
    </row>
    <row r="285" spans="1:12" ht="23.25" hidden="1">
      <c r="A285" s="676">
        <f>SUBTOTAL(3,$E$8:E285)</f>
        <v>24</v>
      </c>
      <c r="B285" s="642">
        <v>42897</v>
      </c>
      <c r="C285" s="376" t="s">
        <v>1800</v>
      </c>
      <c r="D285" s="644" t="s">
        <v>55</v>
      </c>
      <c r="E285" s="376" t="s">
        <v>1848</v>
      </c>
      <c r="F285" s="643" t="s">
        <v>1169</v>
      </c>
      <c r="G285" s="680">
        <v>288</v>
      </c>
      <c r="H285" s="643" t="s">
        <v>1242</v>
      </c>
      <c r="I285" s="376" t="s">
        <v>1843</v>
      </c>
      <c r="J285" s="645"/>
      <c r="K285" s="646">
        <v>72667</v>
      </c>
      <c r="L285" s="647">
        <f>L284+Table16[[#This Row],[المدين (إيداع)]]-Table16[[#This Row],[الدائن (السحب)]]</f>
        <v>267842.16999999993</v>
      </c>
    </row>
    <row r="286" spans="1:12" ht="23.25" hidden="1">
      <c r="A286" s="676">
        <f>SUBTOTAL(3,$E$8:E286)</f>
        <v>24</v>
      </c>
      <c r="B286" s="642">
        <v>42897</v>
      </c>
      <c r="C286" s="376" t="s">
        <v>1800</v>
      </c>
      <c r="D286" s="644" t="s">
        <v>1742</v>
      </c>
      <c r="E286" s="376" t="s">
        <v>1208</v>
      </c>
      <c r="F286" s="643" t="s">
        <v>1161</v>
      </c>
      <c r="G286" s="680"/>
      <c r="H286" s="643" t="s">
        <v>1209</v>
      </c>
      <c r="I286" s="376" t="s">
        <v>1224</v>
      </c>
      <c r="J286" s="645">
        <v>8000</v>
      </c>
      <c r="K286" s="646"/>
      <c r="L286" s="647">
        <f>L285+Table16[[#This Row],[المدين (إيداع)]]-Table16[[#This Row],[الدائن (السحب)]]</f>
        <v>275842.16999999993</v>
      </c>
    </row>
    <row r="287" spans="1:12" ht="23.25" hidden="1">
      <c r="A287" s="676">
        <f>SUBTOTAL(3,$E$8:E287)</f>
        <v>24</v>
      </c>
      <c r="B287" s="642">
        <v>42898</v>
      </c>
      <c r="C287" s="376" t="s">
        <v>1800</v>
      </c>
      <c r="D287" s="644" t="s">
        <v>55</v>
      </c>
      <c r="E287" s="643" t="s">
        <v>1743</v>
      </c>
      <c r="F287" s="643" t="s">
        <v>1169</v>
      </c>
      <c r="G287" s="680">
        <v>286</v>
      </c>
      <c r="H287" s="376" t="s">
        <v>1875</v>
      </c>
      <c r="I287" s="643"/>
      <c r="J287" s="645"/>
      <c r="K287" s="646">
        <v>54000</v>
      </c>
      <c r="L287" s="647">
        <f>L286+Table16[[#This Row],[المدين (إيداع)]]-Table16[[#This Row],[الدائن (السحب)]]</f>
        <v>221842.16999999993</v>
      </c>
    </row>
    <row r="288" spans="1:12" ht="23.25" hidden="1">
      <c r="A288" s="676">
        <f>SUBTOTAL(3,$E$8:E288)</f>
        <v>24</v>
      </c>
      <c r="B288" s="642">
        <v>42898</v>
      </c>
      <c r="C288" s="376" t="s">
        <v>1800</v>
      </c>
      <c r="D288" s="644" t="s">
        <v>55</v>
      </c>
      <c r="E288" s="643" t="s">
        <v>1743</v>
      </c>
      <c r="F288" s="643" t="s">
        <v>1169</v>
      </c>
      <c r="G288" s="680">
        <v>289</v>
      </c>
      <c r="H288" s="376" t="s">
        <v>1875</v>
      </c>
      <c r="I288" s="643"/>
      <c r="J288" s="645"/>
      <c r="K288" s="646">
        <v>30000</v>
      </c>
      <c r="L288" s="647">
        <f>L287+Table16[[#This Row],[المدين (إيداع)]]-Table16[[#This Row],[الدائن (السحب)]]</f>
        <v>191842.16999999993</v>
      </c>
    </row>
    <row r="289" spans="1:12" ht="23.25" hidden="1">
      <c r="A289" s="676">
        <f>SUBTOTAL(3,$E$8:E289)</f>
        <v>24</v>
      </c>
      <c r="B289" s="642">
        <v>42899</v>
      </c>
      <c r="C289" s="376" t="s">
        <v>1800</v>
      </c>
      <c r="D289" s="375" t="s">
        <v>2007</v>
      </c>
      <c r="E289" s="376" t="s">
        <v>1243</v>
      </c>
      <c r="F289" s="643" t="s">
        <v>1161</v>
      </c>
      <c r="G289" s="680"/>
      <c r="H289" s="376" t="s">
        <v>1181</v>
      </c>
      <c r="I289" s="376" t="s">
        <v>1182</v>
      </c>
      <c r="J289" s="645">
        <v>10400</v>
      </c>
      <c r="K289" s="646"/>
      <c r="L289" s="647">
        <f>L288+Table16[[#This Row],[المدين (إيداع)]]-Table16[[#This Row],[الدائن (السحب)]]</f>
        <v>202242.16999999993</v>
      </c>
    </row>
    <row r="290" spans="1:12" ht="23.25" hidden="1">
      <c r="A290" s="676">
        <f>SUBTOTAL(3,$E$8:E290)</f>
        <v>24</v>
      </c>
      <c r="B290" s="642">
        <v>42899</v>
      </c>
      <c r="C290" s="643"/>
      <c r="D290" s="375" t="s">
        <v>2103</v>
      </c>
      <c r="E290" s="643" t="s">
        <v>1161</v>
      </c>
      <c r="F290" s="643" t="s">
        <v>1161</v>
      </c>
      <c r="G290" s="680"/>
      <c r="H290" s="376" t="s">
        <v>2094</v>
      </c>
      <c r="I290" s="643" t="s">
        <v>1296</v>
      </c>
      <c r="J290" s="645">
        <v>800</v>
      </c>
      <c r="K290" s="646"/>
      <c r="L290" s="647">
        <f>L289+Table16[[#This Row],[المدين (إيداع)]]-Table16[[#This Row],[الدائن (السحب)]]</f>
        <v>203042.16999999993</v>
      </c>
    </row>
    <row r="291" spans="1:12" ht="23.25" hidden="1">
      <c r="A291" s="676">
        <f>SUBTOTAL(3,$E$8:E291)</f>
        <v>24</v>
      </c>
      <c r="B291" s="642">
        <v>42900</v>
      </c>
      <c r="C291" s="376" t="s">
        <v>1800</v>
      </c>
      <c r="D291" s="644" t="s">
        <v>1734</v>
      </c>
      <c r="E291" s="376" t="s">
        <v>1219</v>
      </c>
      <c r="F291" s="643" t="s">
        <v>1161</v>
      </c>
      <c r="G291" s="680"/>
      <c r="H291" s="376" t="s">
        <v>1939</v>
      </c>
      <c r="I291" s="643" t="s">
        <v>1205</v>
      </c>
      <c r="J291" s="645">
        <v>20000</v>
      </c>
      <c r="K291" s="646"/>
      <c r="L291" s="647">
        <f>L290+Table16[[#This Row],[المدين (إيداع)]]-Table16[[#This Row],[الدائن (السحب)]]</f>
        <v>223042.16999999993</v>
      </c>
    </row>
    <row r="292" spans="1:12" ht="23.25" hidden="1">
      <c r="A292" s="676">
        <f>SUBTOTAL(3,$E$8:E292)</f>
        <v>24</v>
      </c>
      <c r="B292" s="642">
        <v>42900</v>
      </c>
      <c r="C292" s="643" t="s">
        <v>1800</v>
      </c>
      <c r="D292" s="644" t="s">
        <v>1744</v>
      </c>
      <c r="E292" s="643" t="s">
        <v>1161</v>
      </c>
      <c r="F292" s="643" t="s">
        <v>1161</v>
      </c>
      <c r="G292" s="680"/>
      <c r="H292" s="643"/>
      <c r="I292" s="643"/>
      <c r="J292" s="645">
        <v>900</v>
      </c>
      <c r="K292" s="646"/>
      <c r="L292" s="647">
        <f>L291+Table16[[#This Row],[المدين (إيداع)]]-Table16[[#This Row],[الدائن (السحب)]]</f>
        <v>223942.16999999993</v>
      </c>
    </row>
    <row r="293" spans="1:12" ht="23.25" hidden="1">
      <c r="A293" s="676">
        <f>SUBTOTAL(3,$E$8:E293)</f>
        <v>24</v>
      </c>
      <c r="B293" s="642">
        <v>42900</v>
      </c>
      <c r="C293" s="643"/>
      <c r="D293" s="375" t="s">
        <v>2090</v>
      </c>
      <c r="E293" s="643" t="s">
        <v>1161</v>
      </c>
      <c r="F293" s="643" t="s">
        <v>1161</v>
      </c>
      <c r="G293" s="680"/>
      <c r="H293" s="376" t="s">
        <v>2091</v>
      </c>
      <c r="I293" s="643" t="s">
        <v>1296</v>
      </c>
      <c r="J293" s="645">
        <v>2400</v>
      </c>
      <c r="K293" s="646"/>
      <c r="L293" s="647">
        <f>L292+Table16[[#This Row],[المدين (إيداع)]]-Table16[[#This Row],[الدائن (السحب)]]</f>
        <v>226342.16999999993</v>
      </c>
    </row>
    <row r="294" spans="1:12" ht="23.25">
      <c r="A294" s="676">
        <f>SUBTOTAL(3,$E$8:E294)</f>
        <v>25</v>
      </c>
      <c r="B294" s="642">
        <v>42901</v>
      </c>
      <c r="C294" s="643"/>
      <c r="D294" s="644"/>
      <c r="E294" s="643" t="s">
        <v>1745</v>
      </c>
      <c r="F294" s="643" t="s">
        <v>1161</v>
      </c>
      <c r="G294" s="680"/>
      <c r="H294" s="643" t="s">
        <v>1176</v>
      </c>
      <c r="I294" s="643"/>
      <c r="J294" s="645">
        <v>3500</v>
      </c>
      <c r="K294" s="646"/>
      <c r="L294" s="647">
        <f>L293+Table16[[#This Row],[المدين (إيداع)]]-Table16[[#This Row],[الدائن (السحب)]]</f>
        <v>229842.16999999993</v>
      </c>
    </row>
    <row r="295" spans="1:12" ht="23.25" hidden="1">
      <c r="A295" s="676">
        <f>SUBTOTAL(3,$E$8:E295)</f>
        <v>25</v>
      </c>
      <c r="B295" s="642">
        <v>42902</v>
      </c>
      <c r="C295" s="376" t="s">
        <v>1800</v>
      </c>
      <c r="D295" s="375" t="s">
        <v>1734</v>
      </c>
      <c r="E295" s="376" t="s">
        <v>1219</v>
      </c>
      <c r="F295" s="643" t="s">
        <v>1161</v>
      </c>
      <c r="G295" s="680"/>
      <c r="H295" s="376" t="s">
        <v>1939</v>
      </c>
      <c r="I295" s="643" t="s">
        <v>1205</v>
      </c>
      <c r="J295" s="645">
        <v>20000</v>
      </c>
      <c r="K295" s="646"/>
      <c r="L295" s="647">
        <f>L294+Table16[[#This Row],[المدين (إيداع)]]-Table16[[#This Row],[الدائن (السحب)]]</f>
        <v>249842.16999999993</v>
      </c>
    </row>
    <row r="296" spans="1:12" ht="23.25" hidden="1">
      <c r="A296" s="676">
        <f>SUBTOTAL(3,$E$8:E296)</f>
        <v>25</v>
      </c>
      <c r="B296" s="642">
        <v>42905</v>
      </c>
      <c r="C296" s="376" t="s">
        <v>1800</v>
      </c>
      <c r="D296" s="375" t="s">
        <v>1930</v>
      </c>
      <c r="E296" s="643" t="s">
        <v>1156</v>
      </c>
      <c r="F296" s="643" t="s">
        <v>1157</v>
      </c>
      <c r="G296" s="680" t="s">
        <v>1746</v>
      </c>
      <c r="H296" s="643" t="s">
        <v>1746</v>
      </c>
      <c r="I296" s="643" t="s">
        <v>1157</v>
      </c>
      <c r="J296" s="645"/>
      <c r="K296" s="646">
        <v>25</v>
      </c>
      <c r="L296" s="647">
        <f>L295+Table16[[#This Row],[المدين (إيداع)]]-Table16[[#This Row],[الدائن (السحب)]]</f>
        <v>249817.16999999993</v>
      </c>
    </row>
    <row r="297" spans="1:12" ht="23.25" hidden="1">
      <c r="A297" s="676">
        <f>SUBTOTAL(3,$E$8:E297)</f>
        <v>25</v>
      </c>
      <c r="B297" s="642">
        <v>42905</v>
      </c>
      <c r="C297" s="376" t="s">
        <v>1800</v>
      </c>
      <c r="D297" s="644" t="s">
        <v>1322</v>
      </c>
      <c r="E297" s="376" t="s">
        <v>1254</v>
      </c>
      <c r="F297" s="643" t="s">
        <v>1161</v>
      </c>
      <c r="G297" s="680"/>
      <c r="H297" s="643" t="s">
        <v>1172</v>
      </c>
      <c r="I297" s="643" t="s">
        <v>1154</v>
      </c>
      <c r="J297" s="645">
        <v>1200</v>
      </c>
      <c r="K297" s="646"/>
      <c r="L297" s="647">
        <f>L296+Table16[[#This Row],[المدين (إيداع)]]-Table16[[#This Row],[الدائن (السحب)]]</f>
        <v>251017.16999999993</v>
      </c>
    </row>
    <row r="298" spans="1:12" ht="23.25" hidden="1">
      <c r="A298" s="676">
        <f>SUBTOTAL(3,$E$8:E298)</f>
        <v>25</v>
      </c>
      <c r="B298" s="642">
        <v>42906</v>
      </c>
      <c r="C298" s="376" t="s">
        <v>1811</v>
      </c>
      <c r="D298" s="375" t="s">
        <v>2021</v>
      </c>
      <c r="E298" s="643" t="s">
        <v>1161</v>
      </c>
      <c r="F298" s="643" t="s">
        <v>1161</v>
      </c>
      <c r="G298" s="680"/>
      <c r="H298" s="643"/>
      <c r="I298" s="643" t="s">
        <v>1212</v>
      </c>
      <c r="J298" s="645">
        <v>690</v>
      </c>
      <c r="K298" s="646"/>
      <c r="L298" s="647">
        <f>L297+Table16[[#This Row],[المدين (إيداع)]]-Table16[[#This Row],[الدائن (السحب)]]</f>
        <v>251707.16999999993</v>
      </c>
    </row>
    <row r="299" spans="1:12" ht="23.25" hidden="1">
      <c r="A299" s="676">
        <f>SUBTOTAL(3,$E$8:E299)</f>
        <v>25</v>
      </c>
      <c r="B299" s="642">
        <v>42908</v>
      </c>
      <c r="C299" s="643"/>
      <c r="D299" s="375" t="s">
        <v>2048</v>
      </c>
      <c r="E299" s="643" t="s">
        <v>1737</v>
      </c>
      <c r="F299" s="643" t="s">
        <v>1737</v>
      </c>
      <c r="G299" s="680">
        <v>174</v>
      </c>
      <c r="H299" s="643"/>
      <c r="I299" s="643"/>
      <c r="J299" s="645">
        <v>1500</v>
      </c>
      <c r="K299" s="646"/>
      <c r="L299" s="647">
        <f>L298+Table16[[#This Row],[المدين (إيداع)]]-Table16[[#This Row],[الدائن (السحب)]]</f>
        <v>253207.16999999993</v>
      </c>
    </row>
    <row r="300" spans="1:12" ht="23.25" hidden="1">
      <c r="A300" s="676">
        <f>SUBTOTAL(3,$E$8:E300)</f>
        <v>25</v>
      </c>
      <c r="B300" s="642">
        <v>42908</v>
      </c>
      <c r="C300" s="643"/>
      <c r="D300" s="375" t="s">
        <v>2048</v>
      </c>
      <c r="E300" s="643" t="s">
        <v>1737</v>
      </c>
      <c r="F300" s="643" t="s">
        <v>1737</v>
      </c>
      <c r="G300" s="680">
        <v>174</v>
      </c>
      <c r="H300" s="643"/>
      <c r="I300" s="643"/>
      <c r="J300" s="645"/>
      <c r="K300" s="646">
        <v>1500</v>
      </c>
      <c r="L300" s="647">
        <f>L299+Table16[[#This Row],[المدين (إيداع)]]-Table16[[#This Row],[الدائن (السحب)]]</f>
        <v>251707.16999999993</v>
      </c>
    </row>
    <row r="301" spans="1:12" ht="23.25" hidden="1">
      <c r="A301" s="676">
        <f>SUBTOTAL(3,$E$8:E301)</f>
        <v>25</v>
      </c>
      <c r="B301" s="642">
        <v>42908</v>
      </c>
      <c r="C301" s="376" t="s">
        <v>1800</v>
      </c>
      <c r="D301" s="644" t="s">
        <v>1747</v>
      </c>
      <c r="E301" s="643" t="s">
        <v>1161</v>
      </c>
      <c r="F301" s="643" t="s">
        <v>1161</v>
      </c>
      <c r="G301" s="680"/>
      <c r="H301" s="643"/>
      <c r="I301" s="643" t="s">
        <v>1748</v>
      </c>
      <c r="J301" s="645">
        <v>3600</v>
      </c>
      <c r="K301" s="646"/>
      <c r="L301" s="647">
        <f>L300+Table16[[#This Row],[المدين (إيداع)]]-Table16[[#This Row],[الدائن (السحب)]]</f>
        <v>255307.16999999993</v>
      </c>
    </row>
    <row r="302" spans="1:12" ht="23.25" hidden="1">
      <c r="A302" s="676">
        <f>SUBTOTAL(3,$E$8:E302)</f>
        <v>25</v>
      </c>
      <c r="B302" s="642">
        <v>42909</v>
      </c>
      <c r="C302" s="376" t="s">
        <v>1800</v>
      </c>
      <c r="D302" s="644" t="s">
        <v>1734</v>
      </c>
      <c r="E302" s="376" t="s">
        <v>1219</v>
      </c>
      <c r="F302" s="643" t="s">
        <v>1161</v>
      </c>
      <c r="G302" s="680"/>
      <c r="H302" s="376" t="s">
        <v>1939</v>
      </c>
      <c r="I302" s="643" t="s">
        <v>1205</v>
      </c>
      <c r="J302" s="645">
        <v>19500</v>
      </c>
      <c r="K302" s="646"/>
      <c r="L302" s="647">
        <f>L301+Table16[[#This Row],[المدين (إيداع)]]-Table16[[#This Row],[الدائن (السحب)]]</f>
        <v>274807.16999999993</v>
      </c>
    </row>
    <row r="303" spans="1:12" ht="23.25" hidden="1">
      <c r="A303" s="676">
        <f>SUBTOTAL(3,$E$8:E303)</f>
        <v>25</v>
      </c>
      <c r="B303" s="642">
        <v>42909</v>
      </c>
      <c r="C303" s="643" t="s">
        <v>1800</v>
      </c>
      <c r="D303" s="644" t="s">
        <v>1744</v>
      </c>
      <c r="E303" s="643" t="s">
        <v>1164</v>
      </c>
      <c r="F303" s="643" t="s">
        <v>1165</v>
      </c>
      <c r="G303" s="680">
        <v>67133458</v>
      </c>
      <c r="H303" s="643"/>
      <c r="I303" s="643"/>
      <c r="J303" s="645">
        <v>2600</v>
      </c>
      <c r="K303" s="646"/>
      <c r="L303" s="647">
        <f>L302+Table16[[#This Row],[المدين (إيداع)]]-Table16[[#This Row],[الدائن (السحب)]]</f>
        <v>277407.16999999993</v>
      </c>
    </row>
    <row r="304" spans="1:12" ht="23.25" hidden="1">
      <c r="A304" s="676">
        <f>SUBTOTAL(3,$E$8:E304)</f>
        <v>25</v>
      </c>
      <c r="B304" s="642">
        <v>42909</v>
      </c>
      <c r="C304" s="643" t="s">
        <v>1800</v>
      </c>
      <c r="D304" s="644" t="s">
        <v>1744</v>
      </c>
      <c r="E304" s="643" t="s">
        <v>1164</v>
      </c>
      <c r="F304" s="643" t="s">
        <v>1165</v>
      </c>
      <c r="G304" s="680">
        <v>67143909</v>
      </c>
      <c r="H304" s="643"/>
      <c r="I304" s="643"/>
      <c r="J304" s="645">
        <v>1300</v>
      </c>
      <c r="K304" s="646"/>
      <c r="L304" s="647">
        <f>L303+Table16[[#This Row],[المدين (إيداع)]]-Table16[[#This Row],[الدائن (السحب)]]</f>
        <v>278707.16999999993</v>
      </c>
    </row>
    <row r="305" spans="1:12" ht="23.25">
      <c r="A305" s="676">
        <f>SUBTOTAL(3,$E$8:E305)</f>
        <v>26</v>
      </c>
      <c r="B305" s="642">
        <v>42909</v>
      </c>
      <c r="C305" s="643"/>
      <c r="D305" s="375" t="s">
        <v>2048</v>
      </c>
      <c r="E305" s="643" t="s">
        <v>1164</v>
      </c>
      <c r="F305" s="376" t="s">
        <v>1737</v>
      </c>
      <c r="G305" s="680">
        <v>173</v>
      </c>
      <c r="H305" s="643"/>
      <c r="I305" s="376" t="s">
        <v>1296</v>
      </c>
      <c r="J305" s="645">
        <v>900</v>
      </c>
      <c r="K305" s="646"/>
      <c r="L305" s="647">
        <f>L304+Table16[[#This Row],[المدين (إيداع)]]-Table16[[#This Row],[الدائن (السحب)]]</f>
        <v>279607.16999999993</v>
      </c>
    </row>
    <row r="306" spans="1:12" ht="23.25" hidden="1">
      <c r="A306" s="676">
        <f>SUBTOTAL(3,$E$8:E306)</f>
        <v>26</v>
      </c>
      <c r="B306" s="642">
        <v>42919</v>
      </c>
      <c r="C306" s="376" t="s">
        <v>1800</v>
      </c>
      <c r="D306" s="644" t="s">
        <v>1749</v>
      </c>
      <c r="E306" s="643" t="s">
        <v>1750</v>
      </c>
      <c r="F306" s="643" t="s">
        <v>1152</v>
      </c>
      <c r="G306" s="680"/>
      <c r="H306" s="643" t="s">
        <v>1250</v>
      </c>
      <c r="I306" s="643" t="s">
        <v>1190</v>
      </c>
      <c r="J306" s="645">
        <v>55000</v>
      </c>
      <c r="K306" s="646"/>
      <c r="L306" s="647">
        <f>L305+Table16[[#This Row],[المدين (إيداع)]]-Table16[[#This Row],[الدائن (السحب)]]</f>
        <v>334607.16999999993</v>
      </c>
    </row>
    <row r="307" spans="1:12" ht="23.25" hidden="1">
      <c r="A307" s="676">
        <f>SUBTOTAL(3,$E$8:E307)</f>
        <v>26</v>
      </c>
      <c r="B307" s="642">
        <v>42919</v>
      </c>
      <c r="C307" s="376" t="s">
        <v>1800</v>
      </c>
      <c r="D307" s="375" t="s">
        <v>1910</v>
      </c>
      <c r="E307" s="376" t="s">
        <v>1254</v>
      </c>
      <c r="F307" s="643" t="s">
        <v>1161</v>
      </c>
      <c r="G307" s="680"/>
      <c r="H307" s="643" t="s">
        <v>1172</v>
      </c>
      <c r="I307" s="376" t="s">
        <v>1908</v>
      </c>
      <c r="J307" s="645">
        <v>2100</v>
      </c>
      <c r="K307" s="646"/>
      <c r="L307" s="647">
        <f>L306+Table16[[#This Row],[المدين (إيداع)]]-Table16[[#This Row],[الدائن (السحب)]]</f>
        <v>336707.16999999993</v>
      </c>
    </row>
    <row r="308" spans="1:12" ht="23.25" hidden="1">
      <c r="A308" s="676">
        <f>SUBTOTAL(3,$E$8:E308)</f>
        <v>26</v>
      </c>
      <c r="B308" s="642">
        <v>42919</v>
      </c>
      <c r="C308" s="376" t="s">
        <v>1800</v>
      </c>
      <c r="D308" s="375" t="s">
        <v>1910</v>
      </c>
      <c r="E308" s="376" t="s">
        <v>1195</v>
      </c>
      <c r="F308" s="643" t="s">
        <v>1161</v>
      </c>
      <c r="G308" s="680"/>
      <c r="H308" s="376" t="s">
        <v>1196</v>
      </c>
      <c r="I308" s="376" t="s">
        <v>1909</v>
      </c>
      <c r="J308" s="645">
        <v>3200</v>
      </c>
      <c r="K308" s="646"/>
      <c r="L308" s="647">
        <f>L307+Table16[[#This Row],[المدين (إيداع)]]-Table16[[#This Row],[الدائن (السحب)]]</f>
        <v>339907.16999999993</v>
      </c>
    </row>
    <row r="309" spans="1:12" ht="23.25" hidden="1">
      <c r="A309" s="676">
        <f>SUBTOTAL(3,$E$8:E309)</f>
        <v>26</v>
      </c>
      <c r="B309" s="642">
        <v>42919</v>
      </c>
      <c r="C309" s="376" t="s">
        <v>1800</v>
      </c>
      <c r="D309" s="375" t="s">
        <v>2008</v>
      </c>
      <c r="E309" s="376" t="s">
        <v>1243</v>
      </c>
      <c r="F309" s="643" t="s">
        <v>1161</v>
      </c>
      <c r="G309" s="680"/>
      <c r="H309" s="376" t="s">
        <v>1181</v>
      </c>
      <c r="I309" s="376" t="s">
        <v>1182</v>
      </c>
      <c r="J309" s="645">
        <v>110050</v>
      </c>
      <c r="K309" s="646"/>
      <c r="L309" s="647">
        <f>L308+Table16[[#This Row],[المدين (إيداع)]]-Table16[[#This Row],[الدائن (السحب)]]</f>
        <v>449957.16999999993</v>
      </c>
    </row>
    <row r="310" spans="1:12" ht="23.25" hidden="1">
      <c r="A310" s="676">
        <f>SUBTOTAL(3,$E$8:E310)</f>
        <v>26</v>
      </c>
      <c r="B310" s="642">
        <v>42925</v>
      </c>
      <c r="C310" s="376" t="s">
        <v>1800</v>
      </c>
      <c r="D310" s="644" t="s">
        <v>1751</v>
      </c>
      <c r="E310" s="643" t="s">
        <v>1161</v>
      </c>
      <c r="F310" s="643" t="s">
        <v>1161</v>
      </c>
      <c r="G310" s="680"/>
      <c r="H310" s="643" t="s">
        <v>1752</v>
      </c>
      <c r="I310" s="643" t="s">
        <v>1296</v>
      </c>
      <c r="J310" s="645">
        <v>4200</v>
      </c>
      <c r="K310" s="646"/>
      <c r="L310" s="647">
        <f>L309+Table16[[#This Row],[المدين (إيداع)]]-Table16[[#This Row],[الدائن (السحب)]]</f>
        <v>454157.16999999993</v>
      </c>
    </row>
    <row r="311" spans="1:12" ht="23.25">
      <c r="A311" s="676">
        <f>SUBTOTAL(3,$E$8:E311)</f>
        <v>27</v>
      </c>
      <c r="B311" s="642">
        <v>42926</v>
      </c>
      <c r="C311" s="643"/>
      <c r="D311" s="644"/>
      <c r="E311" s="643" t="s">
        <v>1161</v>
      </c>
      <c r="F311" s="643" t="s">
        <v>1161</v>
      </c>
      <c r="G311" s="680"/>
      <c r="H311" s="643" t="s">
        <v>1753</v>
      </c>
      <c r="I311" s="376" t="s">
        <v>2085</v>
      </c>
      <c r="J311" s="645">
        <v>1520</v>
      </c>
      <c r="K311" s="646"/>
      <c r="L311" s="647">
        <f>L310+Table16[[#This Row],[المدين (إيداع)]]-Table16[[#This Row],[الدائن (السحب)]]</f>
        <v>455677.16999999993</v>
      </c>
    </row>
    <row r="312" spans="1:12" ht="23.25" hidden="1">
      <c r="A312" s="676">
        <f>SUBTOTAL(3,$E$8:E312)</f>
        <v>27</v>
      </c>
      <c r="B312" s="642">
        <v>42927</v>
      </c>
      <c r="C312" s="376" t="s">
        <v>1800</v>
      </c>
      <c r="D312" s="375" t="s">
        <v>1910</v>
      </c>
      <c r="E312" s="376" t="s">
        <v>1254</v>
      </c>
      <c r="F312" s="643" t="s">
        <v>1161</v>
      </c>
      <c r="G312" s="680"/>
      <c r="H312" s="643" t="s">
        <v>1172</v>
      </c>
      <c r="I312" s="376" t="s">
        <v>1908</v>
      </c>
      <c r="J312" s="645">
        <v>2800</v>
      </c>
      <c r="K312" s="646"/>
      <c r="L312" s="647">
        <f>L311+Table16[[#This Row],[المدين (إيداع)]]-Table16[[#This Row],[الدائن (السحب)]]</f>
        <v>458477.16999999993</v>
      </c>
    </row>
    <row r="313" spans="1:12" ht="23.25">
      <c r="A313" s="676">
        <f>SUBTOTAL(3,$E$8:E313)</f>
        <v>28</v>
      </c>
      <c r="B313" s="642">
        <v>42928</v>
      </c>
      <c r="C313" s="643"/>
      <c r="D313" s="644"/>
      <c r="E313" s="643" t="s">
        <v>1754</v>
      </c>
      <c r="F313" s="643" t="s">
        <v>1161</v>
      </c>
      <c r="G313" s="680"/>
      <c r="H313" s="643" t="s">
        <v>1177</v>
      </c>
      <c r="I313" s="376" t="s">
        <v>2085</v>
      </c>
      <c r="J313" s="645">
        <v>900</v>
      </c>
      <c r="K313" s="646"/>
      <c r="L313" s="647">
        <f>L312+Table16[[#This Row],[المدين (إيداع)]]-Table16[[#This Row],[الدائن (السحب)]]</f>
        <v>459377.16999999993</v>
      </c>
    </row>
    <row r="314" spans="1:12" ht="23.25">
      <c r="A314" s="676">
        <f>SUBTOTAL(3,$E$8:E314)</f>
        <v>29</v>
      </c>
      <c r="B314" s="642">
        <v>42928</v>
      </c>
      <c r="C314" s="643"/>
      <c r="D314" s="644"/>
      <c r="E314" s="643" t="s">
        <v>1755</v>
      </c>
      <c r="F314" s="643" t="s">
        <v>1161</v>
      </c>
      <c r="G314" s="680"/>
      <c r="H314" s="643" t="s">
        <v>1755</v>
      </c>
      <c r="I314" s="376" t="s">
        <v>2085</v>
      </c>
      <c r="J314" s="377">
        <v>1350</v>
      </c>
      <c r="K314" s="646"/>
      <c r="L314" s="647">
        <f>L313+Table16[[#This Row],[المدين (إيداع)]]-Table16[[#This Row],[الدائن (السحب)]]</f>
        <v>460727.16999999993</v>
      </c>
    </row>
    <row r="315" spans="1:12" ht="23.25" hidden="1">
      <c r="A315" s="676">
        <f>SUBTOTAL(3,$E$8:E315)</f>
        <v>29</v>
      </c>
      <c r="B315" s="642">
        <v>42928</v>
      </c>
      <c r="C315" s="376" t="s">
        <v>1800</v>
      </c>
      <c r="D315" s="644" t="s">
        <v>1760</v>
      </c>
      <c r="E315" s="643" t="s">
        <v>1161</v>
      </c>
      <c r="F315" s="643" t="s">
        <v>1161</v>
      </c>
      <c r="G315" s="680"/>
      <c r="H315" s="643" t="s">
        <v>1161</v>
      </c>
      <c r="I315" s="376" t="s">
        <v>1810</v>
      </c>
      <c r="J315" s="645">
        <v>1800</v>
      </c>
      <c r="K315" s="646"/>
      <c r="L315" s="647">
        <f>L314+Table16[[#This Row],[المدين (إيداع)]]-Table16[[#This Row],[الدائن (السحب)]]</f>
        <v>462527.16999999993</v>
      </c>
    </row>
    <row r="316" spans="1:12" ht="23.25" hidden="1">
      <c r="A316" s="676">
        <f>SUBTOTAL(3,$E$8:E316)</f>
        <v>29</v>
      </c>
      <c r="B316" s="642">
        <v>42929</v>
      </c>
      <c r="C316" s="376" t="s">
        <v>1811</v>
      </c>
      <c r="D316" s="375" t="s">
        <v>2013</v>
      </c>
      <c r="E316" s="643" t="s">
        <v>1161</v>
      </c>
      <c r="F316" s="643" t="s">
        <v>1161</v>
      </c>
      <c r="G316" s="680"/>
      <c r="H316" s="643" t="s">
        <v>1171</v>
      </c>
      <c r="I316" s="643" t="s">
        <v>1212</v>
      </c>
      <c r="J316" s="645">
        <v>300</v>
      </c>
      <c r="K316" s="646"/>
      <c r="L316" s="647">
        <f>L315+Table16[[#This Row],[المدين (إيداع)]]-Table16[[#This Row],[الدائن (السحب)]]</f>
        <v>462827.16999999993</v>
      </c>
    </row>
    <row r="317" spans="1:12" ht="23.25" hidden="1">
      <c r="A317" s="676">
        <f>SUBTOTAL(3,$E$8:E317)</f>
        <v>29</v>
      </c>
      <c r="B317" s="642">
        <v>42929</v>
      </c>
      <c r="C317" s="376" t="s">
        <v>1800</v>
      </c>
      <c r="D317" s="644" t="s">
        <v>1760</v>
      </c>
      <c r="E317" s="643" t="s">
        <v>1161</v>
      </c>
      <c r="F317" s="643" t="s">
        <v>1161</v>
      </c>
      <c r="G317" s="680"/>
      <c r="H317" s="643" t="s">
        <v>1756</v>
      </c>
      <c r="I317" s="643" t="s">
        <v>1163</v>
      </c>
      <c r="J317" s="645">
        <v>1800</v>
      </c>
      <c r="K317" s="646"/>
      <c r="L317" s="647">
        <f>L316+Table16[[#This Row],[المدين (إيداع)]]-Table16[[#This Row],[الدائن (السحب)]]</f>
        <v>464627.16999999993</v>
      </c>
    </row>
    <row r="318" spans="1:12" ht="23.25" hidden="1">
      <c r="A318" s="676">
        <f>SUBTOTAL(3,$E$8:E318)</f>
        <v>29</v>
      </c>
      <c r="B318" s="642">
        <v>42929</v>
      </c>
      <c r="C318" s="376" t="s">
        <v>1800</v>
      </c>
      <c r="D318" s="375" t="s">
        <v>2055</v>
      </c>
      <c r="E318" s="643" t="s">
        <v>1161</v>
      </c>
      <c r="F318" s="643" t="s">
        <v>1161</v>
      </c>
      <c r="G318" s="680"/>
      <c r="H318" s="643" t="s">
        <v>1757</v>
      </c>
      <c r="I318" s="643" t="s">
        <v>1212</v>
      </c>
      <c r="J318" s="645">
        <v>300</v>
      </c>
      <c r="K318" s="646"/>
      <c r="L318" s="647">
        <f>L317+Table16[[#This Row],[المدين (إيداع)]]-Table16[[#This Row],[الدائن (السحب)]]</f>
        <v>464927.16999999993</v>
      </c>
    </row>
    <row r="319" spans="1:12" ht="23.25" hidden="1">
      <c r="A319" s="676">
        <f>SUBTOTAL(3,$E$8:E319)</f>
        <v>29</v>
      </c>
      <c r="B319" s="642">
        <v>42931</v>
      </c>
      <c r="C319" s="376" t="s">
        <v>1800</v>
      </c>
      <c r="D319" s="375" t="s">
        <v>2013</v>
      </c>
      <c r="E319" s="643" t="s">
        <v>1161</v>
      </c>
      <c r="F319" s="643" t="s">
        <v>1161</v>
      </c>
      <c r="G319" s="680"/>
      <c r="H319" s="643" t="s">
        <v>1758</v>
      </c>
      <c r="I319" s="643" t="s">
        <v>1212</v>
      </c>
      <c r="J319" s="645">
        <v>1200</v>
      </c>
      <c r="K319" s="646"/>
      <c r="L319" s="647">
        <f>L318+Table16[[#This Row],[المدين (إيداع)]]-Table16[[#This Row],[الدائن (السحب)]]</f>
        <v>466127.16999999993</v>
      </c>
    </row>
    <row r="320" spans="1:12" ht="23.25" hidden="1">
      <c r="A320" s="676">
        <f>SUBTOTAL(3,$E$8:E320)</f>
        <v>29</v>
      </c>
      <c r="B320" s="642">
        <v>42932</v>
      </c>
      <c r="C320" s="376" t="s">
        <v>1800</v>
      </c>
      <c r="D320" s="644" t="s">
        <v>1761</v>
      </c>
      <c r="E320" s="643" t="s">
        <v>1161</v>
      </c>
      <c r="F320" s="643" t="s">
        <v>1161</v>
      </c>
      <c r="G320" s="680"/>
      <c r="H320" s="376" t="s">
        <v>1809</v>
      </c>
      <c r="I320" s="643" t="s">
        <v>1163</v>
      </c>
      <c r="J320" s="645">
        <v>900</v>
      </c>
      <c r="K320" s="646"/>
      <c r="L320" s="647">
        <f>L319+Table16[[#This Row],[المدين (إيداع)]]-Table16[[#This Row],[الدائن (السحب)]]</f>
        <v>467027.16999999993</v>
      </c>
    </row>
    <row r="321" spans="1:12" ht="23.25" hidden="1">
      <c r="A321" s="676">
        <f>SUBTOTAL(3,$E$8:E321)</f>
        <v>29</v>
      </c>
      <c r="B321" s="642">
        <v>42933</v>
      </c>
      <c r="C321" s="376" t="s">
        <v>1800</v>
      </c>
      <c r="D321" s="644" t="s">
        <v>1761</v>
      </c>
      <c r="E321" s="643" t="s">
        <v>1164</v>
      </c>
      <c r="F321" s="643" t="s">
        <v>1165</v>
      </c>
      <c r="G321" s="680">
        <v>1463</v>
      </c>
      <c r="H321" s="376" t="s">
        <v>1808</v>
      </c>
      <c r="I321" s="643" t="s">
        <v>1163</v>
      </c>
      <c r="J321" s="645">
        <v>26133</v>
      </c>
      <c r="K321" s="646"/>
      <c r="L321" s="647">
        <f>L320+Table16[[#This Row],[المدين (إيداع)]]-Table16[[#This Row],[الدائن (السحب)]]</f>
        <v>493160.16999999993</v>
      </c>
    </row>
    <row r="322" spans="1:12" ht="23.25" hidden="1">
      <c r="A322" s="676">
        <f>SUBTOTAL(3,$E$8:E322)</f>
        <v>29</v>
      </c>
      <c r="B322" s="642">
        <v>42933</v>
      </c>
      <c r="C322" s="376" t="s">
        <v>1800</v>
      </c>
      <c r="D322" s="375" t="s">
        <v>2013</v>
      </c>
      <c r="E322" s="643" t="s">
        <v>1161</v>
      </c>
      <c r="F322" s="643" t="s">
        <v>1161</v>
      </c>
      <c r="G322" s="680"/>
      <c r="H322" s="643" t="s">
        <v>1759</v>
      </c>
      <c r="I322" s="643" t="s">
        <v>1212</v>
      </c>
      <c r="J322" s="645">
        <v>600</v>
      </c>
      <c r="K322" s="646"/>
      <c r="L322" s="647">
        <f>L321+Table16[[#This Row],[المدين (إيداع)]]-Table16[[#This Row],[الدائن (السحب)]]</f>
        <v>493760.16999999993</v>
      </c>
    </row>
    <row r="323" spans="1:12" ht="23.25" hidden="1">
      <c r="A323" s="676">
        <f>SUBTOTAL(3,$E$8:E323)</f>
        <v>29</v>
      </c>
      <c r="B323" s="642">
        <v>42934</v>
      </c>
      <c r="C323" s="376" t="s">
        <v>1800</v>
      </c>
      <c r="D323" s="375" t="s">
        <v>1910</v>
      </c>
      <c r="E323" s="643" t="s">
        <v>1161</v>
      </c>
      <c r="F323" s="643" t="s">
        <v>1161</v>
      </c>
      <c r="G323" s="680"/>
      <c r="H323" s="643" t="s">
        <v>1762</v>
      </c>
      <c r="I323" s="376" t="s">
        <v>1908</v>
      </c>
      <c r="J323" s="645">
        <v>900</v>
      </c>
      <c r="K323" s="646"/>
      <c r="L323" s="647">
        <f>L322+Table16[[#This Row],[المدين (إيداع)]]-Table16[[#This Row],[الدائن (السحب)]]</f>
        <v>494660.16999999993</v>
      </c>
    </row>
    <row r="324" spans="1:12" ht="23.25" hidden="1">
      <c r="A324" s="676">
        <f>SUBTOTAL(3,$E$8:E324)</f>
        <v>29</v>
      </c>
      <c r="B324" s="642">
        <v>42934</v>
      </c>
      <c r="C324" s="376" t="s">
        <v>1800</v>
      </c>
      <c r="D324" s="644" t="s">
        <v>1763</v>
      </c>
      <c r="E324" s="643" t="s">
        <v>1164</v>
      </c>
      <c r="F324" s="643" t="s">
        <v>1165</v>
      </c>
      <c r="G324" s="680">
        <v>726</v>
      </c>
      <c r="H324" s="643"/>
      <c r="I324" s="643"/>
      <c r="J324" s="645">
        <v>3000</v>
      </c>
      <c r="K324" s="646"/>
      <c r="L324" s="647">
        <f>L323+Table16[[#This Row],[المدين (إيداع)]]-Table16[[#This Row],[الدائن (السحب)]]</f>
        <v>497660.16999999993</v>
      </c>
    </row>
    <row r="325" spans="1:12" ht="23.25" hidden="1">
      <c r="A325" s="676">
        <f>SUBTOTAL(3,$E$8:E325)</f>
        <v>29</v>
      </c>
      <c r="B325" s="642">
        <v>42934</v>
      </c>
      <c r="C325" s="376" t="s">
        <v>1800</v>
      </c>
      <c r="D325" s="375" t="s">
        <v>1930</v>
      </c>
      <c r="E325" s="643" t="s">
        <v>1156</v>
      </c>
      <c r="F325" s="643" t="s">
        <v>1157</v>
      </c>
      <c r="G325" s="680"/>
      <c r="H325" s="643" t="s">
        <v>1746</v>
      </c>
      <c r="I325" s="643" t="s">
        <v>1157</v>
      </c>
      <c r="J325" s="645"/>
      <c r="K325" s="646">
        <v>25</v>
      </c>
      <c r="L325" s="647">
        <f>L324+Table16[[#This Row],[المدين (إيداع)]]-Table16[[#This Row],[الدائن (السحب)]]</f>
        <v>497635.16999999993</v>
      </c>
    </row>
    <row r="326" spans="1:12" ht="23.25" hidden="1">
      <c r="A326" s="676">
        <f>SUBTOTAL(3,$E$8:E326)</f>
        <v>29</v>
      </c>
      <c r="B326" s="642">
        <v>42934</v>
      </c>
      <c r="C326" s="643" t="s">
        <v>1800</v>
      </c>
      <c r="D326" s="644" t="s">
        <v>1749</v>
      </c>
      <c r="E326" s="376" t="s">
        <v>1254</v>
      </c>
      <c r="F326" s="643" t="s">
        <v>1161</v>
      </c>
      <c r="G326" s="680"/>
      <c r="H326" s="643" t="s">
        <v>1172</v>
      </c>
      <c r="I326" s="643" t="s">
        <v>1154</v>
      </c>
      <c r="J326" s="645">
        <v>1000</v>
      </c>
      <c r="K326" s="646"/>
      <c r="L326" s="647">
        <f>L325+Table16[[#This Row],[المدين (إيداع)]]-Table16[[#This Row],[الدائن (السحب)]]</f>
        <v>498635.16999999993</v>
      </c>
    </row>
    <row r="327" spans="1:12" ht="23.25" hidden="1">
      <c r="A327" s="676">
        <f>SUBTOTAL(3,$E$8:E327)</f>
        <v>29</v>
      </c>
      <c r="B327" s="642">
        <v>42934</v>
      </c>
      <c r="C327" s="376" t="s">
        <v>1800</v>
      </c>
      <c r="D327" s="644" t="s">
        <v>1760</v>
      </c>
      <c r="E327" s="643" t="s">
        <v>1161</v>
      </c>
      <c r="F327" s="643" t="s">
        <v>1161</v>
      </c>
      <c r="G327" s="680"/>
      <c r="H327" s="643" t="s">
        <v>1215</v>
      </c>
      <c r="I327" s="643" t="s">
        <v>1163</v>
      </c>
      <c r="J327" s="645">
        <v>9200</v>
      </c>
      <c r="K327" s="646"/>
      <c r="L327" s="647">
        <f>L326+Table16[[#This Row],[المدين (إيداع)]]-Table16[[#This Row],[الدائن (السحب)]]</f>
        <v>507835.16999999993</v>
      </c>
    </row>
    <row r="328" spans="1:12" ht="23.25" hidden="1">
      <c r="A328" s="676">
        <f>SUBTOTAL(3,$E$8:E328)</f>
        <v>29</v>
      </c>
      <c r="B328" s="642">
        <v>42935</v>
      </c>
      <c r="C328" s="643" t="s">
        <v>1800</v>
      </c>
      <c r="D328" s="644" t="s">
        <v>1731</v>
      </c>
      <c r="E328" s="643" t="s">
        <v>1161</v>
      </c>
      <c r="F328" s="643" t="s">
        <v>1161</v>
      </c>
      <c r="G328" s="680"/>
      <c r="H328" s="643" t="s">
        <v>1764</v>
      </c>
      <c r="I328" s="643" t="s">
        <v>1296</v>
      </c>
      <c r="J328" s="645">
        <v>10992</v>
      </c>
      <c r="K328" s="646"/>
      <c r="L328" s="647">
        <f>L327+Table16[[#This Row],[المدين (إيداع)]]-Table16[[#This Row],[الدائن (السحب)]]</f>
        <v>518827.16999999993</v>
      </c>
    </row>
    <row r="329" spans="1:12" ht="23.25" hidden="1">
      <c r="A329" s="676">
        <f>SUBTOTAL(3,$E$8:E329)</f>
        <v>29</v>
      </c>
      <c r="B329" s="642">
        <v>42936</v>
      </c>
      <c r="C329" s="376" t="s">
        <v>1800</v>
      </c>
      <c r="D329" s="644" t="s">
        <v>1751</v>
      </c>
      <c r="E329" s="643" t="s">
        <v>1164</v>
      </c>
      <c r="F329" s="643" t="s">
        <v>1165</v>
      </c>
      <c r="G329" s="680">
        <v>3524</v>
      </c>
      <c r="H329" s="376" t="s">
        <v>1869</v>
      </c>
      <c r="I329" s="643" t="s">
        <v>1296</v>
      </c>
      <c r="J329" s="645">
        <v>15750</v>
      </c>
      <c r="K329" s="646"/>
      <c r="L329" s="647">
        <f>L328+Table16[[#This Row],[المدين (إيداع)]]-Table16[[#This Row],[الدائن (السحب)]]</f>
        <v>534577.16999999993</v>
      </c>
    </row>
    <row r="330" spans="1:12" ht="23.25" hidden="1">
      <c r="A330" s="676">
        <f>SUBTOTAL(3,$E$8:E330)</f>
        <v>29</v>
      </c>
      <c r="B330" s="642">
        <v>42936</v>
      </c>
      <c r="C330" s="376" t="s">
        <v>1800</v>
      </c>
      <c r="D330" s="644" t="s">
        <v>1751</v>
      </c>
      <c r="E330" s="643" t="s">
        <v>1164</v>
      </c>
      <c r="F330" s="643" t="s">
        <v>1165</v>
      </c>
      <c r="G330" s="680">
        <v>2146</v>
      </c>
      <c r="H330" s="376" t="s">
        <v>2093</v>
      </c>
      <c r="I330" s="643" t="s">
        <v>1296</v>
      </c>
      <c r="J330" s="645">
        <v>2100</v>
      </c>
      <c r="K330" s="646"/>
      <c r="L330" s="647">
        <f>L329+Table16[[#This Row],[المدين (إيداع)]]-Table16[[#This Row],[الدائن (السحب)]]</f>
        <v>536677.16999999993</v>
      </c>
    </row>
    <row r="331" spans="1:12" ht="23.25" hidden="1">
      <c r="A331" s="676">
        <f>SUBTOTAL(3,$E$8:E331)</f>
        <v>29</v>
      </c>
      <c r="B331" s="642">
        <v>42936</v>
      </c>
      <c r="C331" s="376" t="s">
        <v>1800</v>
      </c>
      <c r="D331" s="644" t="s">
        <v>1760</v>
      </c>
      <c r="E331" s="643" t="s">
        <v>1164</v>
      </c>
      <c r="F331" s="643" t="s">
        <v>1165</v>
      </c>
      <c r="G331" s="680">
        <v>5565</v>
      </c>
      <c r="H331" s="643"/>
      <c r="I331" s="643" t="s">
        <v>1163</v>
      </c>
      <c r="J331" s="645">
        <v>1500</v>
      </c>
      <c r="K331" s="646"/>
      <c r="L331" s="647">
        <f>L330+Table16[[#This Row],[المدين (إيداع)]]-Table16[[#This Row],[الدائن (السحب)]]</f>
        <v>538177.16999999993</v>
      </c>
    </row>
    <row r="332" spans="1:12" ht="23.25" hidden="1">
      <c r="A332" s="676">
        <f>SUBTOTAL(3,$E$8:E332)</f>
        <v>29</v>
      </c>
      <c r="B332" s="642">
        <v>42936</v>
      </c>
      <c r="C332" s="376" t="s">
        <v>1800</v>
      </c>
      <c r="D332" s="644" t="s">
        <v>1760</v>
      </c>
      <c r="E332" s="643" t="s">
        <v>1164</v>
      </c>
      <c r="F332" s="643" t="s">
        <v>1165</v>
      </c>
      <c r="G332" s="680">
        <v>5575</v>
      </c>
      <c r="H332" s="643"/>
      <c r="I332" s="643" t="s">
        <v>1163</v>
      </c>
      <c r="J332" s="645">
        <v>1500</v>
      </c>
      <c r="K332" s="646"/>
      <c r="L332" s="647">
        <f>L331+Table16[[#This Row],[المدين (إيداع)]]-Table16[[#This Row],[الدائن (السحب)]]</f>
        <v>539677.16999999993</v>
      </c>
    </row>
    <row r="333" spans="1:12" ht="23.25" hidden="1">
      <c r="A333" s="676">
        <f>SUBTOTAL(3,$E$8:E333)</f>
        <v>29</v>
      </c>
      <c r="B333" s="642">
        <v>42936</v>
      </c>
      <c r="C333" s="376" t="s">
        <v>1800</v>
      </c>
      <c r="D333" s="644" t="s">
        <v>1760</v>
      </c>
      <c r="E333" s="643" t="s">
        <v>1164</v>
      </c>
      <c r="F333" s="643" t="s">
        <v>1165</v>
      </c>
      <c r="G333" s="680">
        <v>77630</v>
      </c>
      <c r="H333" s="643"/>
      <c r="I333" s="643" t="s">
        <v>1163</v>
      </c>
      <c r="J333" s="645">
        <v>8400</v>
      </c>
      <c r="K333" s="646"/>
      <c r="L333" s="647">
        <f>L332+Table16[[#This Row],[المدين (إيداع)]]-Table16[[#This Row],[الدائن (السحب)]]</f>
        <v>548077.16999999993</v>
      </c>
    </row>
    <row r="334" spans="1:12" ht="23.25" hidden="1">
      <c r="A334" s="676">
        <f>SUBTOTAL(3,$E$8:E334)</f>
        <v>29</v>
      </c>
      <c r="B334" s="642">
        <v>42936</v>
      </c>
      <c r="C334" s="376" t="s">
        <v>1800</v>
      </c>
      <c r="D334" s="644" t="s">
        <v>1761</v>
      </c>
      <c r="E334" s="643" t="s">
        <v>1164</v>
      </c>
      <c r="F334" s="643" t="s">
        <v>1165</v>
      </c>
      <c r="G334" s="680"/>
      <c r="H334" s="376" t="s">
        <v>1803</v>
      </c>
      <c r="I334" s="643" t="s">
        <v>1163</v>
      </c>
      <c r="J334" s="645">
        <v>3600</v>
      </c>
      <c r="K334" s="646"/>
      <c r="L334" s="647">
        <f>L333+Table16[[#This Row],[المدين (إيداع)]]-Table16[[#This Row],[الدائن (السحب)]]</f>
        <v>551677.16999999993</v>
      </c>
    </row>
    <row r="335" spans="1:12" ht="23.25">
      <c r="A335" s="676">
        <f>SUBTOTAL(3,$E$8:E335)</f>
        <v>30</v>
      </c>
      <c r="B335" s="642">
        <v>42936</v>
      </c>
      <c r="C335" s="643"/>
      <c r="D335" s="644"/>
      <c r="E335" s="643" t="s">
        <v>1164</v>
      </c>
      <c r="F335" s="643" t="s">
        <v>1165</v>
      </c>
      <c r="G335" s="680"/>
      <c r="H335" s="643"/>
      <c r="I335" s="643"/>
      <c r="J335" s="645">
        <v>1300</v>
      </c>
      <c r="K335" s="646"/>
      <c r="L335" s="647">
        <f>L334+Table16[[#This Row],[المدين (إيداع)]]-Table16[[#This Row],[الدائن (السحب)]]</f>
        <v>552977.16999999993</v>
      </c>
    </row>
    <row r="336" spans="1:12" ht="23.25" hidden="1">
      <c r="A336" s="676">
        <f>SUBTOTAL(3,$E$8:E336)</f>
        <v>30</v>
      </c>
      <c r="B336" s="642">
        <v>42936</v>
      </c>
      <c r="C336" s="376" t="s">
        <v>1800</v>
      </c>
      <c r="D336" s="644" t="s">
        <v>1760</v>
      </c>
      <c r="E336" s="643" t="s">
        <v>1164</v>
      </c>
      <c r="F336" s="643" t="s">
        <v>1165</v>
      </c>
      <c r="G336" s="680">
        <v>66519175</v>
      </c>
      <c r="H336" s="643"/>
      <c r="I336" s="643" t="s">
        <v>1163</v>
      </c>
      <c r="J336" s="645">
        <v>15200</v>
      </c>
      <c r="K336" s="646"/>
      <c r="L336" s="647">
        <f>L335+Table16[[#This Row],[المدين (إيداع)]]-Table16[[#This Row],[الدائن (السحب)]]</f>
        <v>568177.16999999993</v>
      </c>
    </row>
    <row r="337" spans="1:12" ht="23.25" hidden="1">
      <c r="A337" s="676">
        <f>SUBTOTAL(3,$E$8:E337)</f>
        <v>30</v>
      </c>
      <c r="B337" s="642">
        <v>42936</v>
      </c>
      <c r="C337" s="376" t="s">
        <v>1800</v>
      </c>
      <c r="D337" s="644" t="s">
        <v>1751</v>
      </c>
      <c r="E337" s="643" t="s">
        <v>1164</v>
      </c>
      <c r="F337" s="643" t="s">
        <v>1165</v>
      </c>
      <c r="G337" s="680">
        <v>189</v>
      </c>
      <c r="H337" s="376" t="s">
        <v>2092</v>
      </c>
      <c r="I337" s="643" t="s">
        <v>1296</v>
      </c>
      <c r="J337" s="645">
        <v>1950</v>
      </c>
      <c r="K337" s="646"/>
      <c r="L337" s="647">
        <f>L336+Table16[[#This Row],[المدين (إيداع)]]-Table16[[#This Row],[الدائن (السحب)]]</f>
        <v>570127.16999999993</v>
      </c>
    </row>
    <row r="338" spans="1:12" ht="23.25" hidden="1">
      <c r="A338" s="676">
        <f>SUBTOTAL(3,$E$8:E338)</f>
        <v>30</v>
      </c>
      <c r="B338" s="642">
        <v>42936</v>
      </c>
      <c r="C338" s="376" t="s">
        <v>1800</v>
      </c>
      <c r="D338" s="375" t="s">
        <v>2056</v>
      </c>
      <c r="E338" s="643" t="s">
        <v>1161</v>
      </c>
      <c r="F338" s="643" t="s">
        <v>1161</v>
      </c>
      <c r="G338" s="680"/>
      <c r="H338" s="643" t="s">
        <v>1765</v>
      </c>
      <c r="I338" s="643" t="s">
        <v>1212</v>
      </c>
      <c r="J338" s="645">
        <v>500</v>
      </c>
      <c r="K338" s="646"/>
      <c r="L338" s="647">
        <f>L337+Table16[[#This Row],[المدين (إيداع)]]-Table16[[#This Row],[الدائن (السحب)]]</f>
        <v>570627.16999999993</v>
      </c>
    </row>
    <row r="339" spans="1:12" ht="23.25" hidden="1">
      <c r="A339" s="676">
        <f>SUBTOTAL(3,$E$8:E339)</f>
        <v>30</v>
      </c>
      <c r="B339" s="642">
        <v>42940</v>
      </c>
      <c r="C339" s="376" t="s">
        <v>1800</v>
      </c>
      <c r="D339" s="644" t="s">
        <v>55</v>
      </c>
      <c r="E339" s="643" t="s">
        <v>1766</v>
      </c>
      <c r="F339" s="643" t="s">
        <v>1169</v>
      </c>
      <c r="G339" s="680">
        <v>292</v>
      </c>
      <c r="H339" s="643"/>
      <c r="I339" s="643"/>
      <c r="J339" s="645"/>
      <c r="K339" s="646">
        <v>340000</v>
      </c>
      <c r="L339" s="647">
        <f>L338+Table16[[#This Row],[المدين (إيداع)]]-Table16[[#This Row],[الدائن (السحب)]]</f>
        <v>230627.16999999993</v>
      </c>
    </row>
    <row r="340" spans="1:12" ht="23.25">
      <c r="A340" s="676">
        <f>SUBTOTAL(3,$E$8:E340)</f>
        <v>31</v>
      </c>
      <c r="B340" s="642">
        <v>42940</v>
      </c>
      <c r="C340" s="643"/>
      <c r="D340" s="644"/>
      <c r="E340" s="643" t="s">
        <v>1164</v>
      </c>
      <c r="F340" s="643" t="s">
        <v>1165</v>
      </c>
      <c r="G340" s="680"/>
      <c r="H340" s="643"/>
      <c r="I340" s="643"/>
      <c r="J340" s="645">
        <v>7000</v>
      </c>
      <c r="K340" s="646"/>
      <c r="L340" s="647">
        <f>L339+Table16[[#This Row],[المدين (إيداع)]]-Table16[[#This Row],[الدائن (السحب)]]</f>
        <v>237627.16999999993</v>
      </c>
    </row>
    <row r="341" spans="1:12" ht="23.25">
      <c r="A341" s="676">
        <f>SUBTOTAL(3,$E$8:E341)</f>
        <v>32</v>
      </c>
      <c r="B341" s="642">
        <v>42940</v>
      </c>
      <c r="C341" s="643"/>
      <c r="D341" s="644"/>
      <c r="E341" s="643" t="s">
        <v>1164</v>
      </c>
      <c r="F341" s="643" t="s">
        <v>1165</v>
      </c>
      <c r="G341" s="680"/>
      <c r="H341" s="643"/>
      <c r="I341" s="643"/>
      <c r="J341" s="645">
        <v>40000</v>
      </c>
      <c r="K341" s="646"/>
      <c r="L341" s="647">
        <f>L340+Table16[[#This Row],[المدين (إيداع)]]-Table16[[#This Row],[الدائن (السحب)]]</f>
        <v>277627.16999999993</v>
      </c>
    </row>
    <row r="342" spans="1:12" ht="23.25" hidden="1">
      <c r="A342" s="676">
        <f>SUBTOTAL(3,$E$8:E342)</f>
        <v>32</v>
      </c>
      <c r="B342" s="642">
        <v>42940</v>
      </c>
      <c r="C342" s="376" t="s">
        <v>1800</v>
      </c>
      <c r="D342" s="644" t="s">
        <v>1751</v>
      </c>
      <c r="E342" s="643" t="s">
        <v>1164</v>
      </c>
      <c r="F342" s="643" t="s">
        <v>1165</v>
      </c>
      <c r="G342" s="680"/>
      <c r="H342" s="376" t="s">
        <v>2094</v>
      </c>
      <c r="I342" s="643" t="s">
        <v>1296</v>
      </c>
      <c r="J342" s="645">
        <v>800</v>
      </c>
      <c r="K342" s="646"/>
      <c r="L342" s="647">
        <f>L341+Table16[[#This Row],[المدين (إيداع)]]-Table16[[#This Row],[الدائن (السحب)]]</f>
        <v>278427.16999999993</v>
      </c>
    </row>
    <row r="343" spans="1:12" ht="23.25" hidden="1">
      <c r="A343" s="676">
        <f>SUBTOTAL(3,$E$8:E343)</f>
        <v>32</v>
      </c>
      <c r="B343" s="642">
        <v>42940</v>
      </c>
      <c r="C343" s="376" t="s">
        <v>1800</v>
      </c>
      <c r="D343" s="375" t="s">
        <v>2058</v>
      </c>
      <c r="E343" s="643" t="s">
        <v>1161</v>
      </c>
      <c r="F343" s="643" t="s">
        <v>1161</v>
      </c>
      <c r="G343" s="680"/>
      <c r="H343" s="376" t="s">
        <v>1804</v>
      </c>
      <c r="I343" s="643" t="s">
        <v>1212</v>
      </c>
      <c r="J343" s="645">
        <v>1200</v>
      </c>
      <c r="K343" s="646"/>
      <c r="L343" s="647">
        <f>L342+Table16[[#This Row],[المدين (إيداع)]]-Table16[[#This Row],[الدائن (السحب)]]</f>
        <v>279627.16999999993</v>
      </c>
    </row>
    <row r="344" spans="1:12" ht="23.25" hidden="1">
      <c r="A344" s="676">
        <f>SUBTOTAL(3,$E$8:E344)</f>
        <v>32</v>
      </c>
      <c r="B344" s="642">
        <v>42940</v>
      </c>
      <c r="C344" s="376" t="s">
        <v>1800</v>
      </c>
      <c r="D344" s="375" t="s">
        <v>1734</v>
      </c>
      <c r="E344" s="376" t="s">
        <v>1219</v>
      </c>
      <c r="F344" s="643" t="s">
        <v>1161</v>
      </c>
      <c r="G344" s="680"/>
      <c r="H344" s="376" t="s">
        <v>1939</v>
      </c>
      <c r="I344" s="643" t="s">
        <v>1205</v>
      </c>
      <c r="J344" s="645">
        <v>20000</v>
      </c>
      <c r="K344" s="646"/>
      <c r="L344" s="647">
        <f>L343+Table16[[#This Row],[المدين (إيداع)]]-Table16[[#This Row],[الدائن (السحب)]]</f>
        <v>299627.16999999993</v>
      </c>
    </row>
    <row r="345" spans="1:12" ht="23.25" hidden="1">
      <c r="A345" s="676">
        <f>SUBTOTAL(3,$E$8:E345)</f>
        <v>32</v>
      </c>
      <c r="B345" s="642">
        <v>42942</v>
      </c>
      <c r="C345" s="376" t="s">
        <v>1800</v>
      </c>
      <c r="D345" s="375" t="s">
        <v>1734</v>
      </c>
      <c r="E345" s="376" t="s">
        <v>1219</v>
      </c>
      <c r="F345" s="643" t="s">
        <v>1161</v>
      </c>
      <c r="G345" s="680"/>
      <c r="H345" s="376" t="s">
        <v>1939</v>
      </c>
      <c r="I345" s="643" t="s">
        <v>1205</v>
      </c>
      <c r="J345" s="645">
        <v>16050</v>
      </c>
      <c r="K345" s="646"/>
      <c r="L345" s="647">
        <f>L344+Table16[[#This Row],[المدين (إيداع)]]-Table16[[#This Row],[الدائن (السحب)]]</f>
        <v>315677.16999999993</v>
      </c>
    </row>
    <row r="346" spans="1:12" ht="23.25">
      <c r="A346" s="676">
        <f>SUBTOTAL(3,$E$8:E346)</f>
        <v>33</v>
      </c>
      <c r="B346" s="642">
        <v>42942</v>
      </c>
      <c r="C346" s="643"/>
      <c r="D346" s="644"/>
      <c r="E346" s="376" t="s">
        <v>1219</v>
      </c>
      <c r="F346" s="643" t="s">
        <v>1161</v>
      </c>
      <c r="G346" s="680"/>
      <c r="H346" s="643" t="s">
        <v>1204</v>
      </c>
      <c r="I346" s="376" t="s">
        <v>1951</v>
      </c>
      <c r="J346" s="645">
        <v>300</v>
      </c>
      <c r="K346" s="646"/>
      <c r="L346" s="647">
        <f>L345+Table16[[#This Row],[المدين (إيداع)]]-Table16[[#This Row],[الدائن (السحب)]]</f>
        <v>315977.16999999993</v>
      </c>
    </row>
    <row r="347" spans="1:12" ht="23.25" hidden="1">
      <c r="A347" s="676">
        <f>SUBTOTAL(3,$E$8:E347)</f>
        <v>33</v>
      </c>
      <c r="B347" s="642">
        <v>42942</v>
      </c>
      <c r="C347" s="376" t="s">
        <v>1800</v>
      </c>
      <c r="D347" s="375" t="s">
        <v>1952</v>
      </c>
      <c r="E347" s="376" t="s">
        <v>1219</v>
      </c>
      <c r="F347" s="643" t="s">
        <v>1161</v>
      </c>
      <c r="G347" s="680"/>
      <c r="H347" s="376" t="s">
        <v>1947</v>
      </c>
      <c r="I347" s="643" t="s">
        <v>1205</v>
      </c>
      <c r="J347" s="645">
        <v>538</v>
      </c>
      <c r="K347" s="646"/>
      <c r="L347" s="647">
        <f>L346+Table16[[#This Row],[المدين (إيداع)]]-Table16[[#This Row],[الدائن (السحب)]]</f>
        <v>316515.16999999993</v>
      </c>
    </row>
    <row r="348" spans="1:12" ht="23.25" hidden="1">
      <c r="A348" s="676">
        <f>SUBTOTAL(3,$E$8:E348)</f>
        <v>33</v>
      </c>
      <c r="B348" s="642">
        <v>42942</v>
      </c>
      <c r="C348" s="643"/>
      <c r="D348" s="375" t="s">
        <v>2106</v>
      </c>
      <c r="E348" s="643" t="s">
        <v>1767</v>
      </c>
      <c r="F348" s="643" t="s">
        <v>1161</v>
      </c>
      <c r="G348" s="680"/>
      <c r="H348" s="643" t="s">
        <v>1768</v>
      </c>
      <c r="I348" s="643"/>
      <c r="J348" s="645">
        <v>90000</v>
      </c>
      <c r="K348" s="646"/>
      <c r="L348" s="647">
        <f>L347+Table16[[#This Row],[المدين (إيداع)]]-Table16[[#This Row],[الدائن (السحب)]]</f>
        <v>406515.16999999993</v>
      </c>
    </row>
    <row r="349" spans="1:12" ht="23.25">
      <c r="A349" s="676">
        <f>SUBTOTAL(3,$E$8:E349)</f>
        <v>34</v>
      </c>
      <c r="B349" s="642">
        <v>42943</v>
      </c>
      <c r="C349" s="643"/>
      <c r="D349" s="644"/>
      <c r="E349" s="643" t="s">
        <v>1216</v>
      </c>
      <c r="F349" s="643" t="s">
        <v>1216</v>
      </c>
      <c r="G349" s="680" t="s">
        <v>1769</v>
      </c>
      <c r="H349" s="643"/>
      <c r="I349" s="643"/>
      <c r="J349" s="645"/>
      <c r="K349" s="646">
        <v>750</v>
      </c>
      <c r="L349" s="647">
        <f>L348+Table16[[#This Row],[المدين (إيداع)]]-Table16[[#This Row],[الدائن (السحب)]]</f>
        <v>405765.16999999993</v>
      </c>
    </row>
    <row r="350" spans="1:12" ht="23.25">
      <c r="A350" s="676">
        <f>SUBTOTAL(3,$E$8:E350)</f>
        <v>35</v>
      </c>
      <c r="B350" s="642">
        <v>42943</v>
      </c>
      <c r="C350" s="643"/>
      <c r="D350" s="644"/>
      <c r="E350" s="643" t="s">
        <v>1217</v>
      </c>
      <c r="F350" s="643" t="s">
        <v>1217</v>
      </c>
      <c r="G350" s="680" t="s">
        <v>1769</v>
      </c>
      <c r="H350" s="643"/>
      <c r="I350" s="643"/>
      <c r="J350" s="645"/>
      <c r="K350" s="646">
        <v>80000</v>
      </c>
      <c r="L350" s="647">
        <f>L349+Table16[[#This Row],[المدين (إيداع)]]-Table16[[#This Row],[الدائن (السحب)]]</f>
        <v>325765.16999999993</v>
      </c>
    </row>
    <row r="351" spans="1:12" ht="23.25" hidden="1">
      <c r="A351" s="676">
        <f>SUBTOTAL(3,$E$8:E351)</f>
        <v>35</v>
      </c>
      <c r="B351" s="642">
        <v>42946</v>
      </c>
      <c r="C351" s="376" t="s">
        <v>1800</v>
      </c>
      <c r="D351" s="375" t="s">
        <v>1952</v>
      </c>
      <c r="E351" s="376" t="s">
        <v>1219</v>
      </c>
      <c r="F351" s="643" t="s">
        <v>1161</v>
      </c>
      <c r="G351" s="680"/>
      <c r="H351" s="376" t="s">
        <v>1938</v>
      </c>
      <c r="I351" s="643" t="s">
        <v>1205</v>
      </c>
      <c r="J351" s="645">
        <v>20000</v>
      </c>
      <c r="K351" s="646"/>
      <c r="L351" s="647">
        <f>L350+Table16[[#This Row],[المدين (إيداع)]]-Table16[[#This Row],[الدائن (السحب)]]</f>
        <v>345765.16999999993</v>
      </c>
    </row>
    <row r="352" spans="1:12" ht="23.25" hidden="1">
      <c r="A352" s="676">
        <f>SUBTOTAL(3,$E$8:E352)</f>
        <v>35</v>
      </c>
      <c r="B352" s="642">
        <v>42946</v>
      </c>
      <c r="C352" s="376" t="s">
        <v>1800</v>
      </c>
      <c r="D352" s="644" t="s">
        <v>1770</v>
      </c>
      <c r="E352" s="376" t="s">
        <v>1208</v>
      </c>
      <c r="F352" s="643" t="s">
        <v>1161</v>
      </c>
      <c r="G352" s="680"/>
      <c r="H352" s="376" t="s">
        <v>1209</v>
      </c>
      <c r="I352" s="376" t="s">
        <v>1224</v>
      </c>
      <c r="J352" s="645">
        <v>8000</v>
      </c>
      <c r="K352" s="646"/>
      <c r="L352" s="647">
        <f>L351+Table16[[#This Row],[المدين (إيداع)]]-Table16[[#This Row],[الدائن (السحب)]]</f>
        <v>353765.16999999993</v>
      </c>
    </row>
    <row r="353" spans="1:12" ht="23.25" hidden="1">
      <c r="A353" s="676">
        <f>SUBTOTAL(3,$E$8:E353)</f>
        <v>35</v>
      </c>
      <c r="B353" s="642">
        <v>42946</v>
      </c>
      <c r="C353" s="376" t="s">
        <v>1800</v>
      </c>
      <c r="D353" s="375" t="s">
        <v>1952</v>
      </c>
      <c r="E353" s="376" t="s">
        <v>1219</v>
      </c>
      <c r="F353" s="643" t="s">
        <v>1161</v>
      </c>
      <c r="G353" s="680"/>
      <c r="H353" s="376" t="s">
        <v>1938</v>
      </c>
      <c r="I353" s="643" t="s">
        <v>1205</v>
      </c>
      <c r="J353" s="645">
        <v>20000</v>
      </c>
      <c r="K353" s="646"/>
      <c r="L353" s="647">
        <f>L352+Table16[[#This Row],[المدين (إيداع)]]-Table16[[#This Row],[الدائن (السحب)]]</f>
        <v>373765.16999999993</v>
      </c>
    </row>
    <row r="354" spans="1:12" ht="23.25" hidden="1">
      <c r="A354" s="676">
        <f>SUBTOTAL(3,$E$8:E354)</f>
        <v>35</v>
      </c>
      <c r="B354" s="642">
        <v>42947</v>
      </c>
      <c r="C354" s="376" t="s">
        <v>1800</v>
      </c>
      <c r="D354" s="375" t="s">
        <v>2013</v>
      </c>
      <c r="E354" s="643" t="s">
        <v>1161</v>
      </c>
      <c r="F354" s="643" t="s">
        <v>1161</v>
      </c>
      <c r="G354" s="680"/>
      <c r="H354" s="643"/>
      <c r="I354" s="643" t="s">
        <v>1212</v>
      </c>
      <c r="J354" s="645">
        <v>700</v>
      </c>
      <c r="K354" s="646"/>
      <c r="L354" s="647">
        <f>L353+Table16[[#This Row],[المدين (إيداع)]]-Table16[[#This Row],[الدائن (السحب)]]</f>
        <v>374465.16999999993</v>
      </c>
    </row>
    <row r="355" spans="1:12" ht="23.25" hidden="1">
      <c r="A355" s="676">
        <f>SUBTOTAL(3,$E$8:E355)</f>
        <v>35</v>
      </c>
      <c r="B355" s="642">
        <v>42947</v>
      </c>
      <c r="C355" s="376" t="s">
        <v>1800</v>
      </c>
      <c r="D355" s="375" t="s">
        <v>2055</v>
      </c>
      <c r="E355" s="643" t="s">
        <v>1161</v>
      </c>
      <c r="F355" s="643" t="s">
        <v>1161</v>
      </c>
      <c r="G355" s="680"/>
      <c r="H355" s="643"/>
      <c r="I355" s="643" t="s">
        <v>1212</v>
      </c>
      <c r="J355" s="645">
        <v>300</v>
      </c>
      <c r="K355" s="646"/>
      <c r="L355" s="647">
        <f>L354+Table16[[#This Row],[المدين (إيداع)]]-Table16[[#This Row],[الدائن (السحب)]]</f>
        <v>374765.16999999993</v>
      </c>
    </row>
    <row r="356" spans="1:12" ht="23.25" hidden="1">
      <c r="A356" s="676">
        <f>SUBTOTAL(3,$E$8:E356)</f>
        <v>35</v>
      </c>
      <c r="B356" s="642">
        <v>42947</v>
      </c>
      <c r="C356" s="376" t="s">
        <v>1800</v>
      </c>
      <c r="D356" s="644" t="s">
        <v>55</v>
      </c>
      <c r="E356" s="643" t="s">
        <v>1169</v>
      </c>
      <c r="F356" s="643" t="s">
        <v>1169</v>
      </c>
      <c r="G356" s="680">
        <v>294</v>
      </c>
      <c r="H356" s="376" t="s">
        <v>1875</v>
      </c>
      <c r="I356" s="643"/>
      <c r="J356" s="645"/>
      <c r="K356" s="646">
        <v>90000</v>
      </c>
      <c r="L356" s="647">
        <f>L355+Table16[[#This Row],[المدين (إيداع)]]-Table16[[#This Row],[الدائن (السحب)]]</f>
        <v>284765.16999999993</v>
      </c>
    </row>
    <row r="357" spans="1:12" ht="23.25" hidden="1">
      <c r="A357" s="676">
        <f>SUBTOTAL(3,$E$8:E357)</f>
        <v>35</v>
      </c>
      <c r="B357" s="642">
        <v>42950</v>
      </c>
      <c r="C357" s="376" t="s">
        <v>1800</v>
      </c>
      <c r="D357" s="644" t="s">
        <v>1672</v>
      </c>
      <c r="E357" s="643" t="s">
        <v>1737</v>
      </c>
      <c r="F357" s="643" t="s">
        <v>1737</v>
      </c>
      <c r="G357" s="680">
        <v>1012</v>
      </c>
      <c r="H357" s="643"/>
      <c r="I357" s="643"/>
      <c r="J357" s="645"/>
      <c r="K357" s="646">
        <v>3000</v>
      </c>
      <c r="L357" s="647">
        <f>L356+Table16[[#This Row],[المدين (إيداع)]]-Table16[[#This Row],[الدائن (السحب)]]</f>
        <v>281765.16999999993</v>
      </c>
    </row>
    <row r="358" spans="1:12" ht="23.25" hidden="1">
      <c r="A358" s="676">
        <f>SUBTOTAL(3,$E$8:E358)</f>
        <v>35</v>
      </c>
      <c r="B358" s="642">
        <v>42950</v>
      </c>
      <c r="C358" s="376" t="s">
        <v>1800</v>
      </c>
      <c r="D358" s="644" t="s">
        <v>1672</v>
      </c>
      <c r="E358" s="643" t="s">
        <v>1164</v>
      </c>
      <c r="F358" s="643" t="s">
        <v>1165</v>
      </c>
      <c r="G358" s="680">
        <v>1012</v>
      </c>
      <c r="H358" s="643"/>
      <c r="I358" s="643"/>
      <c r="J358" s="645">
        <v>3000</v>
      </c>
      <c r="K358" s="646"/>
      <c r="L358" s="647">
        <f>L357+Table16[[#This Row],[المدين (إيداع)]]-Table16[[#This Row],[الدائن (السحب)]]</f>
        <v>284765.16999999993</v>
      </c>
    </row>
    <row r="359" spans="1:12" ht="23.25" hidden="1">
      <c r="A359" s="676">
        <f>SUBTOTAL(3,$E$8:E359)</f>
        <v>35</v>
      </c>
      <c r="B359" s="642">
        <v>42950</v>
      </c>
      <c r="C359" s="376" t="s">
        <v>1800</v>
      </c>
      <c r="D359" s="375" t="s">
        <v>1927</v>
      </c>
      <c r="E359" s="376" t="s">
        <v>1195</v>
      </c>
      <c r="F359" s="643" t="s">
        <v>1161</v>
      </c>
      <c r="G359" s="680"/>
      <c r="H359" s="376" t="s">
        <v>1196</v>
      </c>
      <c r="I359" s="376" t="s">
        <v>1911</v>
      </c>
      <c r="J359" s="645">
        <v>3200</v>
      </c>
      <c r="K359" s="646"/>
      <c r="L359" s="647">
        <f>L358+Table16[[#This Row],[المدين (إيداع)]]-Table16[[#This Row],[الدائن (السحب)]]</f>
        <v>287965.16999999993</v>
      </c>
    </row>
    <row r="360" spans="1:12" ht="23.25" hidden="1">
      <c r="A360" s="676">
        <f>SUBTOTAL(3,$E$8:E360)</f>
        <v>35</v>
      </c>
      <c r="B360" s="642">
        <v>42950</v>
      </c>
      <c r="C360" s="376" t="s">
        <v>1800</v>
      </c>
      <c r="D360" s="375" t="s">
        <v>1932</v>
      </c>
      <c r="E360" s="376" t="s">
        <v>1254</v>
      </c>
      <c r="F360" s="643" t="s">
        <v>1161</v>
      </c>
      <c r="G360" s="680"/>
      <c r="H360" s="643" t="s">
        <v>1172</v>
      </c>
      <c r="I360" s="376" t="s">
        <v>1931</v>
      </c>
      <c r="J360" s="645">
        <v>3200</v>
      </c>
      <c r="K360" s="646"/>
      <c r="L360" s="647">
        <f>L359+Table16[[#This Row],[المدين (إيداع)]]-Table16[[#This Row],[الدائن (السحب)]]</f>
        <v>291165.16999999993</v>
      </c>
    </row>
    <row r="361" spans="1:12" ht="23.25" hidden="1">
      <c r="A361" s="676">
        <f>SUBTOTAL(3,$E$8:E361)</f>
        <v>35</v>
      </c>
      <c r="B361" s="642">
        <v>42951</v>
      </c>
      <c r="C361" s="376" t="s">
        <v>1800</v>
      </c>
      <c r="D361" s="644" t="s">
        <v>1672</v>
      </c>
      <c r="E361" s="643" t="s">
        <v>1164</v>
      </c>
      <c r="F361" s="643" t="s">
        <v>1165</v>
      </c>
      <c r="G361" s="680">
        <v>6892</v>
      </c>
      <c r="H361" s="643"/>
      <c r="I361" s="643" t="s">
        <v>1154</v>
      </c>
      <c r="J361" s="645">
        <v>2100</v>
      </c>
      <c r="K361" s="646"/>
      <c r="L361" s="647">
        <f>L360+Table16[[#This Row],[المدين (إيداع)]]-Table16[[#This Row],[الدائن (السحب)]]</f>
        <v>293265.16999999993</v>
      </c>
    </row>
    <row r="362" spans="1:12" ht="23.25" hidden="1">
      <c r="A362" s="676">
        <f>SUBTOTAL(3,$E$8:E362)</f>
        <v>35</v>
      </c>
      <c r="B362" s="642">
        <v>42951</v>
      </c>
      <c r="C362" s="376" t="s">
        <v>1800</v>
      </c>
      <c r="D362" s="644" t="s">
        <v>1672</v>
      </c>
      <c r="E362" s="643" t="s">
        <v>1164</v>
      </c>
      <c r="F362" s="643" t="s">
        <v>1165</v>
      </c>
      <c r="G362" s="680">
        <v>28802</v>
      </c>
      <c r="H362" s="643"/>
      <c r="I362" s="643" t="s">
        <v>1154</v>
      </c>
      <c r="J362" s="645">
        <v>750</v>
      </c>
      <c r="K362" s="646"/>
      <c r="L362" s="647">
        <f>L361+Table16[[#This Row],[المدين (إيداع)]]-Table16[[#This Row],[الدائن (السحب)]]</f>
        <v>294015.16999999993</v>
      </c>
    </row>
    <row r="363" spans="1:12" ht="23.25" hidden="1">
      <c r="A363" s="676">
        <f>SUBTOTAL(3,$E$8:E363)</f>
        <v>35</v>
      </c>
      <c r="B363" s="642">
        <v>42951</v>
      </c>
      <c r="C363" s="376" t="s">
        <v>1800</v>
      </c>
      <c r="D363" s="644" t="s">
        <v>1672</v>
      </c>
      <c r="E363" s="643" t="s">
        <v>1164</v>
      </c>
      <c r="F363" s="643" t="s">
        <v>1165</v>
      </c>
      <c r="G363" s="680">
        <v>899</v>
      </c>
      <c r="H363" s="643"/>
      <c r="I363" s="643" t="s">
        <v>1154</v>
      </c>
      <c r="J363" s="645">
        <v>3000</v>
      </c>
      <c r="K363" s="646"/>
      <c r="L363" s="647">
        <f>L362+Table16[[#This Row],[المدين (إيداع)]]-Table16[[#This Row],[الدائن (السحب)]]</f>
        <v>297015.16999999993</v>
      </c>
    </row>
    <row r="364" spans="1:12" ht="23.25" hidden="1">
      <c r="A364" s="676">
        <f>SUBTOTAL(3,$E$8:E364)</f>
        <v>35</v>
      </c>
      <c r="B364" s="642">
        <v>42953</v>
      </c>
      <c r="C364" s="376" t="s">
        <v>1811</v>
      </c>
      <c r="D364" s="375" t="s">
        <v>2021</v>
      </c>
      <c r="E364" s="643" t="s">
        <v>1161</v>
      </c>
      <c r="F364" s="643" t="s">
        <v>1161</v>
      </c>
      <c r="G364" s="680"/>
      <c r="H364" s="643" t="s">
        <v>1771</v>
      </c>
      <c r="I364" s="643" t="s">
        <v>1212</v>
      </c>
      <c r="J364" s="645">
        <v>300</v>
      </c>
      <c r="K364" s="646"/>
      <c r="L364" s="647">
        <f>L363+Table16[[#This Row],[المدين (إيداع)]]-Table16[[#This Row],[الدائن (السحب)]]</f>
        <v>297315.16999999993</v>
      </c>
    </row>
    <row r="365" spans="1:12" ht="23.25" hidden="1">
      <c r="A365" s="676">
        <f>SUBTOTAL(3,$E$8:E365)</f>
        <v>35</v>
      </c>
      <c r="B365" s="642">
        <v>42953</v>
      </c>
      <c r="C365" s="376" t="s">
        <v>1800</v>
      </c>
      <c r="D365" s="375" t="s">
        <v>1930</v>
      </c>
      <c r="E365" s="643" t="s">
        <v>1156</v>
      </c>
      <c r="F365" s="643" t="s">
        <v>1157</v>
      </c>
      <c r="G365" s="680"/>
      <c r="H365" s="643" t="s">
        <v>1158</v>
      </c>
      <c r="I365" s="643" t="s">
        <v>1157</v>
      </c>
      <c r="J365" s="645"/>
      <c r="K365" s="646">
        <v>25</v>
      </c>
      <c r="L365" s="647">
        <f>L364+Table16[[#This Row],[المدين (إيداع)]]-Table16[[#This Row],[الدائن (السحب)]]</f>
        <v>297290.16999999993</v>
      </c>
    </row>
    <row r="366" spans="1:12" ht="23.25" hidden="1">
      <c r="A366" s="676">
        <f>SUBTOTAL(3,$E$8:E366)</f>
        <v>35</v>
      </c>
      <c r="B366" s="642">
        <v>42955</v>
      </c>
      <c r="C366" s="376" t="s">
        <v>1811</v>
      </c>
      <c r="D366" s="375" t="s">
        <v>2021</v>
      </c>
      <c r="E366" s="643" t="s">
        <v>1161</v>
      </c>
      <c r="F366" s="643" t="s">
        <v>1161</v>
      </c>
      <c r="G366" s="680"/>
      <c r="H366" s="643" t="s">
        <v>1263</v>
      </c>
      <c r="I366" s="643" t="s">
        <v>1212</v>
      </c>
      <c r="J366" s="645">
        <v>855</v>
      </c>
      <c r="K366" s="646"/>
      <c r="L366" s="647">
        <f>L365+Table16[[#This Row],[المدين (إيداع)]]-Table16[[#This Row],[الدائن (السحب)]]</f>
        <v>298145.16999999993</v>
      </c>
    </row>
    <row r="367" spans="1:12" ht="23.25" hidden="1">
      <c r="A367" s="676">
        <f>SUBTOTAL(3,$E$8:E367)</f>
        <v>35</v>
      </c>
      <c r="B367" s="642">
        <v>42957</v>
      </c>
      <c r="C367" s="643"/>
      <c r="D367" s="375" t="s">
        <v>2063</v>
      </c>
      <c r="E367" s="643" t="s">
        <v>1164</v>
      </c>
      <c r="F367" s="643" t="s">
        <v>1165</v>
      </c>
      <c r="G367" s="680">
        <v>3252</v>
      </c>
      <c r="H367" s="376" t="s">
        <v>2028</v>
      </c>
      <c r="I367" s="376" t="s">
        <v>2025</v>
      </c>
      <c r="J367" s="645">
        <v>3150</v>
      </c>
      <c r="K367" s="646"/>
      <c r="L367" s="647">
        <f>L366+Table16[[#This Row],[المدين (إيداع)]]-Table16[[#This Row],[الدائن (السحب)]]</f>
        <v>301295.16999999993</v>
      </c>
    </row>
    <row r="368" spans="1:12" ht="23.25" hidden="1">
      <c r="A368" s="676">
        <f>SUBTOTAL(3,$E$8:E368)</f>
        <v>35</v>
      </c>
      <c r="B368" s="642">
        <v>42957</v>
      </c>
      <c r="C368" s="643"/>
      <c r="D368" s="375" t="s">
        <v>2063</v>
      </c>
      <c r="E368" s="643" t="s">
        <v>1164</v>
      </c>
      <c r="F368" s="643" t="s">
        <v>1165</v>
      </c>
      <c r="G368" s="680">
        <v>97</v>
      </c>
      <c r="H368" s="376" t="s">
        <v>2026</v>
      </c>
      <c r="I368" s="376" t="s">
        <v>2025</v>
      </c>
      <c r="J368" s="645">
        <v>25450</v>
      </c>
      <c r="K368" s="646"/>
      <c r="L368" s="647">
        <f>L367+Table16[[#This Row],[المدين (إيداع)]]-Table16[[#This Row],[الدائن (السحب)]]</f>
        <v>326745.16999999993</v>
      </c>
    </row>
    <row r="369" spans="1:12" ht="23.25" hidden="1">
      <c r="A369" s="676">
        <f>SUBTOTAL(3,$E$8:E369)</f>
        <v>35</v>
      </c>
      <c r="B369" s="642">
        <v>42957</v>
      </c>
      <c r="C369" s="376" t="s">
        <v>1800</v>
      </c>
      <c r="D369" s="375" t="s">
        <v>1898</v>
      </c>
      <c r="E369" s="643" t="s">
        <v>1164</v>
      </c>
      <c r="F369" s="643" t="s">
        <v>1165</v>
      </c>
      <c r="G369" s="680">
        <v>66519212</v>
      </c>
      <c r="H369" s="376" t="s">
        <v>1870</v>
      </c>
      <c r="I369" s="376" t="s">
        <v>1163</v>
      </c>
      <c r="J369" s="645">
        <v>16400</v>
      </c>
      <c r="K369" s="646"/>
      <c r="L369" s="647">
        <f>L368+Table16[[#This Row],[المدين (إيداع)]]-Table16[[#This Row],[الدائن (السحب)]]</f>
        <v>343145.16999999993</v>
      </c>
    </row>
    <row r="370" spans="1:12" ht="23.25" hidden="1">
      <c r="A370" s="676">
        <f>SUBTOTAL(3,$E$8:E370)</f>
        <v>35</v>
      </c>
      <c r="B370" s="642">
        <v>42957</v>
      </c>
      <c r="C370" s="643"/>
      <c r="D370" s="375" t="s">
        <v>2061</v>
      </c>
      <c r="E370" s="643" t="s">
        <v>1161</v>
      </c>
      <c r="F370" s="643" t="s">
        <v>1161</v>
      </c>
      <c r="G370" s="680"/>
      <c r="H370" s="643"/>
      <c r="I370" s="376" t="s">
        <v>1212</v>
      </c>
      <c r="J370" s="645">
        <v>250</v>
      </c>
      <c r="K370" s="646"/>
      <c r="L370" s="647">
        <f>L369+Table16[[#This Row],[المدين (إيداع)]]-Table16[[#This Row],[الدائن (السحب)]]</f>
        <v>343395.16999999993</v>
      </c>
    </row>
    <row r="371" spans="1:12" ht="23.25" hidden="1">
      <c r="A371" s="676">
        <f>SUBTOTAL(3,$E$8:E371)</f>
        <v>35</v>
      </c>
      <c r="B371" s="642">
        <v>42959</v>
      </c>
      <c r="C371" s="376" t="s">
        <v>1800</v>
      </c>
      <c r="D371" s="375" t="s">
        <v>1952</v>
      </c>
      <c r="E371" s="643" t="s">
        <v>1219</v>
      </c>
      <c r="F371" s="643" t="s">
        <v>1161</v>
      </c>
      <c r="G371" s="680"/>
      <c r="H371" s="376" t="s">
        <v>1938</v>
      </c>
      <c r="I371" s="643" t="s">
        <v>1205</v>
      </c>
      <c r="J371" s="645">
        <v>20000</v>
      </c>
      <c r="K371" s="646"/>
      <c r="L371" s="647">
        <f>L370+Table16[[#This Row],[المدين (إيداع)]]-Table16[[#This Row],[الدائن (السحب)]]</f>
        <v>363395.16999999993</v>
      </c>
    </row>
    <row r="372" spans="1:12" ht="23.25" hidden="1">
      <c r="A372" s="676">
        <f>SUBTOTAL(3,$E$8:E372)</f>
        <v>35</v>
      </c>
      <c r="B372" s="642">
        <v>42960</v>
      </c>
      <c r="C372" s="376" t="s">
        <v>1800</v>
      </c>
      <c r="D372" s="375" t="s">
        <v>1952</v>
      </c>
      <c r="E372" s="643" t="s">
        <v>1219</v>
      </c>
      <c r="F372" s="643" t="s">
        <v>1161</v>
      </c>
      <c r="G372" s="680"/>
      <c r="H372" s="376" t="s">
        <v>1938</v>
      </c>
      <c r="I372" s="376" t="s">
        <v>1205</v>
      </c>
      <c r="J372" s="645">
        <v>16000</v>
      </c>
      <c r="K372" s="646"/>
      <c r="L372" s="647">
        <f>L371+Table16[[#This Row],[المدين (إيداع)]]-Table16[[#This Row],[الدائن (السحب)]]</f>
        <v>379395.16999999993</v>
      </c>
    </row>
    <row r="373" spans="1:12" ht="23.25" hidden="1">
      <c r="A373" s="676">
        <f>SUBTOTAL(3,$E$8:E373)</f>
        <v>35</v>
      </c>
      <c r="B373" s="642">
        <v>42960</v>
      </c>
      <c r="C373" s="376" t="s">
        <v>1811</v>
      </c>
      <c r="D373" s="375" t="s">
        <v>2014</v>
      </c>
      <c r="E373" s="643" t="s">
        <v>1319</v>
      </c>
      <c r="F373" s="643" t="s">
        <v>1161</v>
      </c>
      <c r="G373" s="680"/>
      <c r="H373" s="643" t="s">
        <v>1171</v>
      </c>
      <c r="I373" s="643" t="s">
        <v>1212</v>
      </c>
      <c r="J373" s="645">
        <v>300</v>
      </c>
      <c r="K373" s="646"/>
      <c r="L373" s="647">
        <f>L372+Table16[[#This Row],[المدين (إيداع)]]-Table16[[#This Row],[الدائن (السحب)]]</f>
        <v>379695.16999999993</v>
      </c>
    </row>
    <row r="374" spans="1:12" ht="23.25" hidden="1">
      <c r="A374" s="676">
        <f>SUBTOTAL(3,$E$8:E374)</f>
        <v>35</v>
      </c>
      <c r="B374" s="642">
        <v>42960</v>
      </c>
      <c r="C374" s="376" t="s">
        <v>1811</v>
      </c>
      <c r="D374" s="375" t="s">
        <v>2014</v>
      </c>
      <c r="E374" s="643" t="s">
        <v>1319</v>
      </c>
      <c r="F374" s="643" t="s">
        <v>1161</v>
      </c>
      <c r="G374" s="680"/>
      <c r="H374" s="643" t="s">
        <v>1772</v>
      </c>
      <c r="I374" s="643" t="s">
        <v>1212</v>
      </c>
      <c r="J374" s="645">
        <v>2500</v>
      </c>
      <c r="K374" s="646"/>
      <c r="L374" s="647">
        <f>L373+Table16[[#This Row],[المدين (إيداع)]]-Table16[[#This Row],[الدائن (السحب)]]</f>
        <v>382195.16999999993</v>
      </c>
    </row>
    <row r="375" spans="1:12" ht="23.25" hidden="1">
      <c r="A375" s="676">
        <f>SUBTOTAL(3,$E$8:E375)</f>
        <v>35</v>
      </c>
      <c r="B375" s="642">
        <v>42961</v>
      </c>
      <c r="C375" s="376" t="s">
        <v>1800</v>
      </c>
      <c r="D375" s="644" t="s">
        <v>1773</v>
      </c>
      <c r="E375" s="643" t="s">
        <v>1203</v>
      </c>
      <c r="F375" s="643" t="s">
        <v>1161</v>
      </c>
      <c r="G375" s="680"/>
      <c r="H375" s="376" t="s">
        <v>1940</v>
      </c>
      <c r="I375" s="643" t="s">
        <v>1205</v>
      </c>
      <c r="J375" s="645">
        <v>98000</v>
      </c>
      <c r="K375" s="646"/>
      <c r="L375" s="647">
        <f>L374+Table16[[#This Row],[المدين (إيداع)]]-Table16[[#This Row],[الدائن (السحب)]]</f>
        <v>480195.16999999993</v>
      </c>
    </row>
    <row r="376" spans="1:12" ht="23.25" hidden="1">
      <c r="A376" s="676">
        <f>SUBTOTAL(3,$E$8:E376)</f>
        <v>35</v>
      </c>
      <c r="B376" s="642">
        <v>42961</v>
      </c>
      <c r="C376" s="376" t="s">
        <v>1800</v>
      </c>
      <c r="D376" s="644" t="s">
        <v>1774</v>
      </c>
      <c r="E376" s="376" t="s">
        <v>1208</v>
      </c>
      <c r="F376" s="643" t="s">
        <v>1161</v>
      </c>
      <c r="G376" s="680"/>
      <c r="H376" s="643" t="s">
        <v>1209</v>
      </c>
      <c r="I376" s="376" t="s">
        <v>1224</v>
      </c>
      <c r="J376" s="645">
        <v>8000</v>
      </c>
      <c r="K376" s="646"/>
      <c r="L376" s="647">
        <f>L375+Table16[[#This Row],[المدين (إيداع)]]-Table16[[#This Row],[الدائن (السحب)]]</f>
        <v>488195.16999999993</v>
      </c>
    </row>
    <row r="377" spans="1:12" ht="23.25" hidden="1">
      <c r="A377" s="676">
        <f>SUBTOTAL(3,$E$8:E377)</f>
        <v>35</v>
      </c>
      <c r="B377" s="642">
        <v>42961</v>
      </c>
      <c r="C377" s="376" t="s">
        <v>1800</v>
      </c>
      <c r="D377" s="375" t="s">
        <v>2014</v>
      </c>
      <c r="E377" s="643" t="s">
        <v>1161</v>
      </c>
      <c r="F377" s="643" t="s">
        <v>1161</v>
      </c>
      <c r="G377" s="680"/>
      <c r="H377" s="643" t="s">
        <v>1775</v>
      </c>
      <c r="I377" s="643" t="s">
        <v>1212</v>
      </c>
      <c r="J377" s="645">
        <v>350</v>
      </c>
      <c r="K377" s="646"/>
      <c r="L377" s="647">
        <f>L376+Table16[[#This Row],[المدين (إيداع)]]-Table16[[#This Row],[الدائن (السحب)]]</f>
        <v>488545.16999999993</v>
      </c>
    </row>
    <row r="378" spans="1:12" ht="23.25" hidden="1">
      <c r="A378" s="676">
        <f>SUBTOTAL(3,$E$8:E378)</f>
        <v>35</v>
      </c>
      <c r="B378" s="642">
        <v>42961</v>
      </c>
      <c r="C378" s="643" t="s">
        <v>1800</v>
      </c>
      <c r="D378" s="644" t="s">
        <v>1749</v>
      </c>
      <c r="E378" s="376" t="s">
        <v>1254</v>
      </c>
      <c r="F378" s="643" t="s">
        <v>1161</v>
      </c>
      <c r="G378" s="680"/>
      <c r="H378" s="643" t="s">
        <v>1172</v>
      </c>
      <c r="I378" s="643" t="s">
        <v>1154</v>
      </c>
      <c r="J378" s="645">
        <v>1000</v>
      </c>
      <c r="K378" s="646"/>
      <c r="L378" s="647">
        <f>L377+Table16[[#This Row],[المدين (إيداع)]]-Table16[[#This Row],[الدائن (السحب)]]</f>
        <v>489545.16999999993</v>
      </c>
    </row>
    <row r="379" spans="1:12" ht="23.25" hidden="1">
      <c r="A379" s="676">
        <f>SUBTOTAL(3,$E$8:E379)</f>
        <v>35</v>
      </c>
      <c r="B379" s="642">
        <v>42961</v>
      </c>
      <c r="C379" s="376" t="s">
        <v>1800</v>
      </c>
      <c r="D379" s="375" t="s">
        <v>2014</v>
      </c>
      <c r="E379" s="643" t="s">
        <v>1161</v>
      </c>
      <c r="F379" s="643" t="s">
        <v>1161</v>
      </c>
      <c r="G379" s="680"/>
      <c r="H379" s="643" t="s">
        <v>1776</v>
      </c>
      <c r="I379" s="643" t="s">
        <v>1212</v>
      </c>
      <c r="J379" s="645">
        <v>300</v>
      </c>
      <c r="K379" s="646"/>
      <c r="L379" s="647">
        <f>L378+Table16[[#This Row],[المدين (إيداع)]]-Table16[[#This Row],[الدائن (السحب)]]</f>
        <v>489845.16999999993</v>
      </c>
    </row>
    <row r="380" spans="1:12" ht="23.25" hidden="1">
      <c r="A380" s="676">
        <f>SUBTOTAL(3,$E$8:E380)</f>
        <v>35</v>
      </c>
      <c r="B380" s="642">
        <v>42962</v>
      </c>
      <c r="C380" s="376" t="s">
        <v>1800</v>
      </c>
      <c r="D380" s="375" t="s">
        <v>2014</v>
      </c>
      <c r="E380" s="643" t="s">
        <v>1152</v>
      </c>
      <c r="F380" s="643" t="s">
        <v>1152</v>
      </c>
      <c r="G380" s="680"/>
      <c r="H380" s="643" t="s">
        <v>1777</v>
      </c>
      <c r="I380" s="643" t="s">
        <v>1212</v>
      </c>
      <c r="J380" s="645">
        <v>300</v>
      </c>
      <c r="K380" s="646"/>
      <c r="L380" s="647">
        <f>L379+Table16[[#This Row],[المدين (إيداع)]]-Table16[[#This Row],[الدائن (السحب)]]</f>
        <v>490145.16999999993</v>
      </c>
    </row>
    <row r="381" spans="1:12" ht="23.25" hidden="1">
      <c r="A381" s="676">
        <f>SUBTOTAL(3,$E$8:E381)</f>
        <v>35</v>
      </c>
      <c r="B381" s="642">
        <v>42962</v>
      </c>
      <c r="C381" s="643" t="s">
        <v>1800</v>
      </c>
      <c r="D381" s="644" t="s">
        <v>1731</v>
      </c>
      <c r="E381" s="643" t="s">
        <v>1161</v>
      </c>
      <c r="F381" s="643" t="s">
        <v>1161</v>
      </c>
      <c r="G381" s="680"/>
      <c r="H381" s="643" t="s">
        <v>1817</v>
      </c>
      <c r="I381" s="643" t="s">
        <v>1296</v>
      </c>
      <c r="J381" s="645">
        <v>1200</v>
      </c>
      <c r="K381" s="646"/>
      <c r="L381" s="647">
        <f>L380+Table16[[#This Row],[المدين (إيداع)]]-Table16[[#This Row],[الدائن (السحب)]]</f>
        <v>491345.16999999993</v>
      </c>
    </row>
    <row r="382" spans="1:12" ht="23.25" hidden="1">
      <c r="A382" s="676">
        <f>SUBTOTAL(3,$E$8:E382)</f>
        <v>35</v>
      </c>
      <c r="B382" s="642">
        <v>42963</v>
      </c>
      <c r="C382" s="643" t="s">
        <v>1800</v>
      </c>
      <c r="D382" s="644" t="s">
        <v>1731</v>
      </c>
      <c r="E382" s="643" t="s">
        <v>1161</v>
      </c>
      <c r="F382" s="643" t="s">
        <v>1161</v>
      </c>
      <c r="G382" s="680"/>
      <c r="H382" s="643" t="s">
        <v>1778</v>
      </c>
      <c r="I382" s="643" t="s">
        <v>1296</v>
      </c>
      <c r="J382" s="645">
        <v>42000</v>
      </c>
      <c r="K382" s="646"/>
      <c r="L382" s="647">
        <f>L381+Table16[[#This Row],[المدين (إيداع)]]-Table16[[#This Row],[الدائن (السحب)]]</f>
        <v>533345.16999999993</v>
      </c>
    </row>
    <row r="383" spans="1:12" ht="23.25" hidden="1">
      <c r="A383" s="676">
        <f>SUBTOTAL(3,$E$8:E383)</f>
        <v>35</v>
      </c>
      <c r="B383" s="642">
        <v>42964</v>
      </c>
      <c r="C383" s="643"/>
      <c r="D383" s="375" t="s">
        <v>2071</v>
      </c>
      <c r="E383" s="376" t="s">
        <v>1839</v>
      </c>
      <c r="F383" s="643" t="s">
        <v>1161</v>
      </c>
      <c r="G383" s="680"/>
      <c r="H383" s="376" t="s">
        <v>2065</v>
      </c>
      <c r="I383" s="376" t="s">
        <v>1154</v>
      </c>
      <c r="J383" s="645">
        <v>1800</v>
      </c>
      <c r="K383" s="646"/>
      <c r="L383" s="647">
        <f>L382+Table16[[#This Row],[المدين (إيداع)]]-Table16[[#This Row],[الدائن (السحب)]]</f>
        <v>535145.16999999993</v>
      </c>
    </row>
    <row r="384" spans="1:12" ht="23.25" hidden="1">
      <c r="A384" s="676">
        <f>SUBTOTAL(3,$E$8:E384)</f>
        <v>35</v>
      </c>
      <c r="B384" s="642">
        <v>42967</v>
      </c>
      <c r="C384" s="643" t="s">
        <v>1800</v>
      </c>
      <c r="D384" s="644" t="s">
        <v>1731</v>
      </c>
      <c r="E384" s="643" t="s">
        <v>1161</v>
      </c>
      <c r="F384" s="643" t="s">
        <v>1161</v>
      </c>
      <c r="G384" s="680"/>
      <c r="H384" s="643" t="s">
        <v>1736</v>
      </c>
      <c r="I384" s="643" t="s">
        <v>1296</v>
      </c>
      <c r="J384" s="645">
        <v>21350</v>
      </c>
      <c r="K384" s="646"/>
      <c r="L384" s="647">
        <f>L383+Table16[[#This Row],[المدين (إيداع)]]-Table16[[#This Row],[الدائن (السحب)]]</f>
        <v>556495.16999999993</v>
      </c>
    </row>
    <row r="385" spans="1:12" ht="23.25">
      <c r="A385" s="676">
        <f>SUBTOTAL(3,$E$8:E385)</f>
        <v>36</v>
      </c>
      <c r="B385" s="642">
        <v>42968</v>
      </c>
      <c r="C385" s="643"/>
      <c r="D385" s="644"/>
      <c r="E385" s="643" t="s">
        <v>1169</v>
      </c>
      <c r="F385" s="643" t="s">
        <v>1169</v>
      </c>
      <c r="G385" s="680">
        <v>296</v>
      </c>
      <c r="H385" s="643" t="s">
        <v>1779</v>
      </c>
      <c r="I385" s="643"/>
      <c r="J385" s="645"/>
      <c r="K385" s="646">
        <v>16500</v>
      </c>
      <c r="L385" s="647">
        <f>L384+Table16[[#This Row],[المدين (إيداع)]]-Table16[[#This Row],[الدائن (السحب)]]</f>
        <v>539995.16999999993</v>
      </c>
    </row>
    <row r="386" spans="1:12" ht="23.25" hidden="1">
      <c r="A386" s="676">
        <f>SUBTOTAL(3,$E$8:E386)</f>
        <v>36</v>
      </c>
      <c r="B386" s="642">
        <v>42968</v>
      </c>
      <c r="C386" s="376" t="s">
        <v>1800</v>
      </c>
      <c r="D386" s="375" t="s">
        <v>2014</v>
      </c>
      <c r="E386" s="643" t="s">
        <v>1161</v>
      </c>
      <c r="F386" s="643" t="s">
        <v>1161</v>
      </c>
      <c r="G386" s="680"/>
      <c r="H386" s="643" t="s">
        <v>1780</v>
      </c>
      <c r="I386" s="643" t="s">
        <v>1212</v>
      </c>
      <c r="J386" s="645">
        <v>1050</v>
      </c>
      <c r="K386" s="646"/>
      <c r="L386" s="647">
        <f>L385+Table16[[#This Row],[المدين (إيداع)]]-Table16[[#This Row],[الدائن (السحب)]]</f>
        <v>541045.16999999993</v>
      </c>
    </row>
    <row r="387" spans="1:12" ht="23.25" hidden="1">
      <c r="A387" s="676">
        <f>SUBTOTAL(3,$E$8:E387)</f>
        <v>36</v>
      </c>
      <c r="B387" s="642">
        <v>42970</v>
      </c>
      <c r="C387" s="376" t="s">
        <v>1800</v>
      </c>
      <c r="D387" s="375" t="s">
        <v>1669</v>
      </c>
      <c r="E387" s="643" t="s">
        <v>1766</v>
      </c>
      <c r="F387" s="643" t="s">
        <v>1169</v>
      </c>
      <c r="G387" s="680">
        <v>299</v>
      </c>
      <c r="H387" s="643" t="s">
        <v>1413</v>
      </c>
      <c r="I387" s="643" t="s">
        <v>1781</v>
      </c>
      <c r="J387" s="645"/>
      <c r="K387" s="646">
        <v>128368</v>
      </c>
      <c r="L387" s="647">
        <f>L386+Table16[[#This Row],[المدين (إيداع)]]-Table16[[#This Row],[الدائن (السحب)]]</f>
        <v>412677.16999999993</v>
      </c>
    </row>
    <row r="388" spans="1:12" ht="23.25" hidden="1">
      <c r="A388" s="676">
        <f>SUBTOTAL(3,$E$8:E388)</f>
        <v>36</v>
      </c>
      <c r="B388" s="642">
        <v>42971</v>
      </c>
      <c r="C388" s="376" t="s">
        <v>1800</v>
      </c>
      <c r="D388" s="644" t="s">
        <v>1782</v>
      </c>
      <c r="E388" s="643" t="s">
        <v>1164</v>
      </c>
      <c r="F388" s="643" t="s">
        <v>1165</v>
      </c>
      <c r="G388" s="680">
        <v>10896</v>
      </c>
      <c r="H388" s="643"/>
      <c r="I388" s="643" t="s">
        <v>1224</v>
      </c>
      <c r="J388" s="645">
        <v>750</v>
      </c>
      <c r="K388" s="646"/>
      <c r="L388" s="647">
        <f>L387+Table16[[#This Row],[المدين (إيداع)]]-Table16[[#This Row],[الدائن (السحب)]]</f>
        <v>413427.16999999993</v>
      </c>
    </row>
    <row r="389" spans="1:12" ht="23.25" hidden="1">
      <c r="A389" s="676">
        <f>SUBTOTAL(3,$E$8:E389)</f>
        <v>36</v>
      </c>
      <c r="B389" s="642">
        <v>42971</v>
      </c>
      <c r="C389" s="376" t="s">
        <v>1800</v>
      </c>
      <c r="D389" s="375" t="s">
        <v>2040</v>
      </c>
      <c r="E389" s="643" t="s">
        <v>1164</v>
      </c>
      <c r="F389" s="643" t="s">
        <v>1165</v>
      </c>
      <c r="G389" s="680">
        <v>3059</v>
      </c>
      <c r="H389" s="376" t="s">
        <v>2032</v>
      </c>
      <c r="I389" s="376" t="s">
        <v>1899</v>
      </c>
      <c r="J389" s="645">
        <v>3000</v>
      </c>
      <c r="K389" s="646"/>
      <c r="L389" s="647">
        <f>L388+Table16[[#This Row],[المدين (إيداع)]]-Table16[[#This Row],[الدائن (السحب)]]</f>
        <v>416427.16999999993</v>
      </c>
    </row>
    <row r="390" spans="1:12" ht="23.25" hidden="1">
      <c r="A390" s="676">
        <f>SUBTOTAL(3,$E$8:E390)</f>
        <v>36</v>
      </c>
      <c r="B390" s="642">
        <v>42971</v>
      </c>
      <c r="C390" s="376" t="s">
        <v>1800</v>
      </c>
      <c r="D390" s="644" t="s">
        <v>1742</v>
      </c>
      <c r="E390" s="643" t="s">
        <v>1164</v>
      </c>
      <c r="F390" s="643" t="s">
        <v>1165</v>
      </c>
      <c r="G390" s="680"/>
      <c r="H390" s="643"/>
      <c r="I390" s="643" t="s">
        <v>1224</v>
      </c>
      <c r="J390" s="645">
        <v>900</v>
      </c>
      <c r="K390" s="646"/>
      <c r="L390" s="647">
        <f>L389+Table16[[#This Row],[المدين (إيداع)]]-Table16[[#This Row],[الدائن (السحب)]]</f>
        <v>417327.16999999993</v>
      </c>
    </row>
    <row r="391" spans="1:12" ht="23.25" hidden="1">
      <c r="A391" s="676">
        <f>SUBTOTAL(3,$E$8:E391)</f>
        <v>36</v>
      </c>
      <c r="B391" s="642">
        <v>42971</v>
      </c>
      <c r="C391" s="643" t="s">
        <v>1800</v>
      </c>
      <c r="D391" s="644" t="s">
        <v>1731</v>
      </c>
      <c r="E391" s="643" t="s">
        <v>1164</v>
      </c>
      <c r="F391" s="643" t="s">
        <v>1165</v>
      </c>
      <c r="G391" s="680">
        <v>806876</v>
      </c>
      <c r="H391" s="643" t="s">
        <v>1819</v>
      </c>
      <c r="I391" s="643" t="s">
        <v>1783</v>
      </c>
      <c r="J391" s="645">
        <v>2400</v>
      </c>
      <c r="K391" s="646"/>
      <c r="L391" s="647">
        <f>L390+Table16[[#This Row],[المدين (إيداع)]]-Table16[[#This Row],[الدائن (السحب)]]</f>
        <v>419727.16999999993</v>
      </c>
    </row>
    <row r="392" spans="1:12" ht="23.25" hidden="1">
      <c r="A392" s="676">
        <f>SUBTOTAL(3,$E$8:E392)</f>
        <v>36</v>
      </c>
      <c r="B392" s="642">
        <v>42971</v>
      </c>
      <c r="C392" s="376" t="s">
        <v>1800</v>
      </c>
      <c r="D392" s="375" t="s">
        <v>2055</v>
      </c>
      <c r="E392" s="643" t="s">
        <v>1161</v>
      </c>
      <c r="F392" s="643" t="s">
        <v>1161</v>
      </c>
      <c r="G392" s="680"/>
      <c r="H392" s="643" t="s">
        <v>1784</v>
      </c>
      <c r="I392" s="643" t="s">
        <v>1212</v>
      </c>
      <c r="J392" s="645">
        <v>350</v>
      </c>
      <c r="K392" s="646"/>
      <c r="L392" s="647">
        <f>L391+Table16[[#This Row],[المدين (إيداع)]]-Table16[[#This Row],[الدائن (السحب)]]</f>
        <v>420077.16999999993</v>
      </c>
    </row>
    <row r="393" spans="1:12" ht="23.25" hidden="1">
      <c r="A393" s="676">
        <f>SUBTOTAL(3,$E$8:E393)</f>
        <v>36</v>
      </c>
      <c r="B393" s="642">
        <v>42974</v>
      </c>
      <c r="C393" s="643" t="s">
        <v>1800</v>
      </c>
      <c r="D393" s="644" t="s">
        <v>1731</v>
      </c>
      <c r="E393" s="643" t="s">
        <v>1161</v>
      </c>
      <c r="F393" s="643" t="s">
        <v>1161</v>
      </c>
      <c r="G393" s="680"/>
      <c r="H393" s="643" t="s">
        <v>1816</v>
      </c>
      <c r="I393" s="643" t="s">
        <v>1296</v>
      </c>
      <c r="J393" s="645">
        <v>2220</v>
      </c>
      <c r="K393" s="646"/>
      <c r="L393" s="647">
        <f>L392+Table16[[#This Row],[المدين (إيداع)]]-Table16[[#This Row],[الدائن (السحب)]]</f>
        <v>422297.16999999993</v>
      </c>
    </row>
    <row r="394" spans="1:12" ht="23.25" hidden="1">
      <c r="A394" s="676">
        <f>SUBTOTAL(3,$E$8:E394)</f>
        <v>36</v>
      </c>
      <c r="B394" s="642">
        <v>42974</v>
      </c>
      <c r="C394" s="376" t="s">
        <v>1800</v>
      </c>
      <c r="D394" s="644" t="s">
        <v>1773</v>
      </c>
      <c r="E394" s="376" t="s">
        <v>1219</v>
      </c>
      <c r="F394" s="643" t="s">
        <v>1161</v>
      </c>
      <c r="G394" s="680"/>
      <c r="H394" s="376" t="s">
        <v>1940</v>
      </c>
      <c r="I394" s="643" t="s">
        <v>1205</v>
      </c>
      <c r="J394" s="645">
        <v>8404</v>
      </c>
      <c r="K394" s="646"/>
      <c r="L394" s="647">
        <f>L393+Table16[[#This Row],[المدين (إيداع)]]-Table16[[#This Row],[الدائن (السحب)]]</f>
        <v>430701.16999999993</v>
      </c>
    </row>
    <row r="395" spans="1:12" ht="23.25" hidden="1">
      <c r="A395" s="676">
        <f>SUBTOTAL(3,$E$8:E395)</f>
        <v>36</v>
      </c>
      <c r="B395" s="642">
        <v>42975</v>
      </c>
      <c r="C395" s="376" t="s">
        <v>1800</v>
      </c>
      <c r="D395" s="375" t="s">
        <v>1815</v>
      </c>
      <c r="E395" s="643" t="s">
        <v>1152</v>
      </c>
      <c r="F395" s="643" t="s">
        <v>1152</v>
      </c>
      <c r="G395" s="680"/>
      <c r="H395" s="643" t="s">
        <v>1250</v>
      </c>
      <c r="I395" s="643" t="s">
        <v>1190</v>
      </c>
      <c r="J395" s="645">
        <v>50000</v>
      </c>
      <c r="K395" s="646"/>
      <c r="L395" s="647">
        <f>L394+Table16[[#This Row],[المدين (إيداع)]]-Table16[[#This Row],[الدائن (السحب)]]</f>
        <v>480701.16999999993</v>
      </c>
    </row>
    <row r="396" spans="1:12" ht="23.25" hidden="1">
      <c r="A396" s="676">
        <f>SUBTOTAL(3,$E$8:E396)</f>
        <v>36</v>
      </c>
      <c r="B396" s="642">
        <v>42975</v>
      </c>
      <c r="C396" s="376" t="s">
        <v>1800</v>
      </c>
      <c r="D396" s="375" t="s">
        <v>1930</v>
      </c>
      <c r="E396" s="643" t="s">
        <v>1156</v>
      </c>
      <c r="F396" s="643" t="s">
        <v>1157</v>
      </c>
      <c r="G396" s="680"/>
      <c r="H396" s="643" t="s">
        <v>1158</v>
      </c>
      <c r="I396" s="643" t="s">
        <v>1157</v>
      </c>
      <c r="J396" s="645"/>
      <c r="K396" s="646">
        <v>25</v>
      </c>
      <c r="L396" s="647">
        <f>L395+Table16[[#This Row],[المدين (إيداع)]]-Table16[[#This Row],[الدائن (السحب)]]</f>
        <v>480676.16999999993</v>
      </c>
    </row>
    <row r="397" spans="1:12" ht="23.25" hidden="1">
      <c r="A397" s="676">
        <f>SUBTOTAL(3,$E$8:E397)</f>
        <v>36</v>
      </c>
      <c r="B397" s="642">
        <v>42975</v>
      </c>
      <c r="C397" s="376" t="s">
        <v>1800</v>
      </c>
      <c r="D397" s="375" t="s">
        <v>1773</v>
      </c>
      <c r="E397" s="376" t="s">
        <v>1219</v>
      </c>
      <c r="F397" s="643" t="s">
        <v>1161</v>
      </c>
      <c r="G397" s="680"/>
      <c r="H397" s="376" t="s">
        <v>1941</v>
      </c>
      <c r="I397" s="643" t="s">
        <v>1205</v>
      </c>
      <c r="J397" s="645">
        <v>20000</v>
      </c>
      <c r="K397" s="646"/>
      <c r="L397" s="647">
        <f>L396+Table16[[#This Row],[المدين (إيداع)]]-Table16[[#This Row],[الدائن (السحب)]]</f>
        <v>500676.16999999993</v>
      </c>
    </row>
    <row r="398" spans="1:12" ht="23.25" hidden="1">
      <c r="A398" s="676">
        <f>SUBTOTAL(3,$E$8:E398)</f>
        <v>36</v>
      </c>
      <c r="B398" s="642">
        <v>42975</v>
      </c>
      <c r="C398" s="376" t="s">
        <v>1800</v>
      </c>
      <c r="D398" s="375" t="s">
        <v>1812</v>
      </c>
      <c r="E398" s="643" t="s">
        <v>1169</v>
      </c>
      <c r="F398" s="643" t="s">
        <v>1169</v>
      </c>
      <c r="G398" s="680">
        <v>298</v>
      </c>
      <c r="H398" s="376" t="s">
        <v>1179</v>
      </c>
      <c r="I398" s="376" t="s">
        <v>1180</v>
      </c>
      <c r="J398" s="645"/>
      <c r="K398" s="646">
        <v>31680</v>
      </c>
      <c r="L398" s="647">
        <f>L397+Table16[[#This Row],[المدين (إيداع)]]-Table16[[#This Row],[الدائن (السحب)]]</f>
        <v>468996.16999999993</v>
      </c>
    </row>
    <row r="399" spans="1:12" ht="23.25">
      <c r="A399" s="676">
        <f>SUBTOTAL(3,$E$8:E399)</f>
        <v>37</v>
      </c>
      <c r="B399" s="642">
        <v>42976</v>
      </c>
      <c r="C399" s="643"/>
      <c r="D399" s="644"/>
      <c r="E399" s="643" t="s">
        <v>1161</v>
      </c>
      <c r="F399" s="643" t="s">
        <v>1161</v>
      </c>
      <c r="G399" s="680"/>
      <c r="H399" s="643" t="s">
        <v>1785</v>
      </c>
      <c r="I399" s="643"/>
      <c r="J399" s="645">
        <v>2000</v>
      </c>
      <c r="K399" s="646"/>
      <c r="L399" s="647">
        <f>L398+Table16[[#This Row],[المدين (إيداع)]]-Table16[[#This Row],[الدائن (السحب)]]</f>
        <v>470996.16999999993</v>
      </c>
    </row>
    <row r="400" spans="1:12" ht="23.25">
      <c r="A400" s="676">
        <f>SUBTOTAL(3,$E$8:E400)</f>
        <v>38</v>
      </c>
      <c r="B400" s="642">
        <v>42976</v>
      </c>
      <c r="C400" s="643"/>
      <c r="D400" s="644"/>
      <c r="E400" s="643" t="s">
        <v>1161</v>
      </c>
      <c r="F400" s="643" t="s">
        <v>1161</v>
      </c>
      <c r="G400" s="680"/>
      <c r="H400" s="643" t="s">
        <v>1785</v>
      </c>
      <c r="I400" s="643"/>
      <c r="J400" s="645">
        <v>6000</v>
      </c>
      <c r="K400" s="646"/>
      <c r="L400" s="647">
        <f>L399+Table16[[#This Row],[المدين (إيداع)]]-Table16[[#This Row],[الدائن (السحب)]]</f>
        <v>476996.16999999993</v>
      </c>
    </row>
    <row r="401" spans="1:12" ht="23.25" hidden="1">
      <c r="A401" s="676">
        <f>SUBTOTAL(3,$E$8:E401)</f>
        <v>38</v>
      </c>
      <c r="B401" s="642">
        <v>42976</v>
      </c>
      <c r="C401" s="643" t="s">
        <v>1800</v>
      </c>
      <c r="D401" s="644" t="s">
        <v>1823</v>
      </c>
      <c r="E401" s="643" t="s">
        <v>1161</v>
      </c>
      <c r="F401" s="643" t="s">
        <v>1161</v>
      </c>
      <c r="G401" s="680"/>
      <c r="H401" s="643" t="s">
        <v>1786</v>
      </c>
      <c r="I401" s="643" t="s">
        <v>1305</v>
      </c>
      <c r="J401" s="645">
        <v>1200</v>
      </c>
      <c r="K401" s="646"/>
      <c r="L401" s="647">
        <f>L400+Table16[[#This Row],[المدين (إيداع)]]-Table16[[#This Row],[الدائن (السحب)]]</f>
        <v>478196.16999999993</v>
      </c>
    </row>
    <row r="402" spans="1:12" ht="23.25" hidden="1">
      <c r="A402" s="676">
        <f>SUBTOTAL(3,$E$8:E402)</f>
        <v>38</v>
      </c>
      <c r="B402" s="642">
        <v>42977</v>
      </c>
      <c r="C402" s="376" t="s">
        <v>1811</v>
      </c>
      <c r="D402" s="375" t="s">
        <v>2014</v>
      </c>
      <c r="E402" s="643" t="s">
        <v>1161</v>
      </c>
      <c r="F402" s="643" t="s">
        <v>1161</v>
      </c>
      <c r="G402" s="680"/>
      <c r="H402" s="643"/>
      <c r="I402" s="643" t="s">
        <v>1212</v>
      </c>
      <c r="J402" s="645">
        <v>400</v>
      </c>
      <c r="K402" s="646"/>
      <c r="L402" s="647">
        <f>L401+Table16[[#This Row],[المدين (إيداع)]]-Table16[[#This Row],[الدائن (السحب)]]</f>
        <v>478596.16999999993</v>
      </c>
    </row>
    <row r="403" spans="1:12" ht="23.25" hidden="1">
      <c r="A403" s="676">
        <f>SUBTOTAL(3,$E$8:E403)</f>
        <v>38</v>
      </c>
      <c r="B403" s="642">
        <v>42977</v>
      </c>
      <c r="C403" s="376" t="s">
        <v>1800</v>
      </c>
      <c r="D403" s="375" t="s">
        <v>1813</v>
      </c>
      <c r="E403" s="643" t="s">
        <v>1169</v>
      </c>
      <c r="F403" s="643" t="s">
        <v>1169</v>
      </c>
      <c r="G403" s="680">
        <v>297</v>
      </c>
      <c r="H403" s="376" t="s">
        <v>1875</v>
      </c>
      <c r="I403" s="643"/>
      <c r="J403" s="645"/>
      <c r="K403" s="646">
        <v>60000</v>
      </c>
      <c r="L403" s="647">
        <f>L402+Table16[[#This Row],[المدين (إيداع)]]-Table16[[#This Row],[الدائن (السحب)]]</f>
        <v>418596.16999999993</v>
      </c>
    </row>
    <row r="404" spans="1:12" ht="23.25" hidden="1">
      <c r="A404" s="676">
        <f>SUBTOTAL(3,$E$8:E404)</f>
        <v>38</v>
      </c>
      <c r="B404" s="642">
        <v>42977</v>
      </c>
      <c r="C404" s="376" t="s">
        <v>1811</v>
      </c>
      <c r="D404" s="375" t="s">
        <v>2014</v>
      </c>
      <c r="E404" s="643" t="s">
        <v>1161</v>
      </c>
      <c r="F404" s="643" t="s">
        <v>1161</v>
      </c>
      <c r="G404" s="680"/>
      <c r="H404" s="643" t="s">
        <v>1787</v>
      </c>
      <c r="I404" s="643" t="s">
        <v>1212</v>
      </c>
      <c r="J404" s="645">
        <v>600</v>
      </c>
      <c r="K404" s="646"/>
      <c r="L404" s="647">
        <f>L403+Table16[[#This Row],[المدين (إيداع)]]-Table16[[#This Row],[الدائن (السحب)]]</f>
        <v>419196.16999999993</v>
      </c>
    </row>
    <row r="405" spans="1:12" ht="23.25" hidden="1">
      <c r="A405" s="676">
        <f>SUBTOTAL(3,$E$8:E405)</f>
        <v>38</v>
      </c>
      <c r="B405" s="642">
        <v>42980</v>
      </c>
      <c r="C405" s="376" t="s">
        <v>1800</v>
      </c>
      <c r="D405" s="375" t="s">
        <v>1773</v>
      </c>
      <c r="E405" s="643" t="s">
        <v>1219</v>
      </c>
      <c r="F405" s="643" t="s">
        <v>1161</v>
      </c>
      <c r="G405" s="680"/>
      <c r="H405" s="376" t="s">
        <v>1941</v>
      </c>
      <c r="I405" s="643" t="s">
        <v>1205</v>
      </c>
      <c r="J405" s="645">
        <v>20000</v>
      </c>
      <c r="K405" s="646"/>
      <c r="L405" s="647">
        <f>L404+Table16[[#This Row],[المدين (إيداع)]]-Table16[[#This Row],[الدائن (السحب)]]</f>
        <v>439196.16999999993</v>
      </c>
    </row>
    <row r="406" spans="1:12" ht="23.25" hidden="1">
      <c r="A406" s="676">
        <f>SUBTOTAL(3,$E$8:E406)</f>
        <v>38</v>
      </c>
      <c r="B406" s="642">
        <v>42980</v>
      </c>
      <c r="C406" s="376" t="s">
        <v>1800</v>
      </c>
      <c r="D406" s="375" t="s">
        <v>1773</v>
      </c>
      <c r="E406" s="643" t="s">
        <v>1219</v>
      </c>
      <c r="F406" s="643" t="s">
        <v>1161</v>
      </c>
      <c r="G406" s="680"/>
      <c r="H406" s="376" t="s">
        <v>1941</v>
      </c>
      <c r="I406" s="643" t="s">
        <v>1205</v>
      </c>
      <c r="J406" s="645">
        <v>20000</v>
      </c>
      <c r="K406" s="646"/>
      <c r="L406" s="647">
        <f>L405+Table16[[#This Row],[المدين (إيداع)]]-Table16[[#This Row],[الدائن (السحب)]]</f>
        <v>459196.16999999993</v>
      </c>
    </row>
    <row r="407" spans="1:12" ht="23.25" hidden="1">
      <c r="A407" s="676">
        <f>SUBTOTAL(3,$E$8:E407)</f>
        <v>38</v>
      </c>
      <c r="B407" s="642">
        <v>42982</v>
      </c>
      <c r="C407" s="376" t="s">
        <v>1800</v>
      </c>
      <c r="D407" s="375" t="s">
        <v>1773</v>
      </c>
      <c r="E407" s="643" t="s">
        <v>1219</v>
      </c>
      <c r="F407" s="643" t="s">
        <v>1161</v>
      </c>
      <c r="G407" s="680"/>
      <c r="H407" s="376" t="s">
        <v>1941</v>
      </c>
      <c r="I407" s="643" t="s">
        <v>1205</v>
      </c>
      <c r="J407" s="645">
        <v>20000</v>
      </c>
      <c r="K407" s="646"/>
      <c r="L407" s="647">
        <f>L406+Table16[[#This Row],[المدين (إيداع)]]-Table16[[#This Row],[الدائن (السحب)]]</f>
        <v>479196.16999999993</v>
      </c>
    </row>
    <row r="408" spans="1:12" ht="23.25" hidden="1">
      <c r="A408" s="676">
        <f>SUBTOTAL(3,$E$8:E408)</f>
        <v>38</v>
      </c>
      <c r="B408" s="642">
        <v>42983</v>
      </c>
      <c r="C408" s="376" t="s">
        <v>1811</v>
      </c>
      <c r="D408" s="375" t="s">
        <v>2023</v>
      </c>
      <c r="E408" s="643" t="s">
        <v>1161</v>
      </c>
      <c r="F408" s="643" t="s">
        <v>1161</v>
      </c>
      <c r="G408" s="680"/>
      <c r="H408" s="643" t="s">
        <v>1788</v>
      </c>
      <c r="I408" s="643" t="s">
        <v>1212</v>
      </c>
      <c r="J408" s="645">
        <v>2000</v>
      </c>
      <c r="K408" s="646"/>
      <c r="L408" s="647">
        <f>L407+Table16[[#This Row],[المدين (إيداع)]]-Table16[[#This Row],[الدائن (السحب)]]</f>
        <v>481196.16999999993</v>
      </c>
    </row>
    <row r="409" spans="1:12" ht="23.25" hidden="1">
      <c r="A409" s="676">
        <f>SUBTOTAL(3,$E$8:E409)</f>
        <v>38</v>
      </c>
      <c r="B409" s="642">
        <v>42984</v>
      </c>
      <c r="C409" s="376" t="s">
        <v>1800</v>
      </c>
      <c r="D409" s="375" t="s">
        <v>1829</v>
      </c>
      <c r="E409" s="376" t="s">
        <v>1243</v>
      </c>
      <c r="F409" s="643" t="s">
        <v>1161</v>
      </c>
      <c r="G409" s="680"/>
      <c r="H409" s="376" t="s">
        <v>1181</v>
      </c>
      <c r="I409" s="376" t="s">
        <v>1182</v>
      </c>
      <c r="J409" s="645">
        <v>64200</v>
      </c>
      <c r="K409" s="646"/>
      <c r="L409" s="647">
        <f>L408+Table16[[#This Row],[المدين (إيداع)]]-Table16[[#This Row],[الدائن (السحب)]]</f>
        <v>545396.16999999993</v>
      </c>
    </row>
    <row r="410" spans="1:12" ht="23.25" hidden="1">
      <c r="A410" s="676">
        <f>SUBTOTAL(3,$E$8:E410)</f>
        <v>38</v>
      </c>
      <c r="B410" s="642">
        <v>42984</v>
      </c>
      <c r="C410" s="376" t="s">
        <v>1800</v>
      </c>
      <c r="D410" s="375" t="s">
        <v>1829</v>
      </c>
      <c r="E410" s="376" t="s">
        <v>1243</v>
      </c>
      <c r="F410" s="643" t="s">
        <v>1161</v>
      </c>
      <c r="G410" s="680"/>
      <c r="H410" s="376" t="s">
        <v>1181</v>
      </c>
      <c r="I410" s="376" t="s">
        <v>1182</v>
      </c>
      <c r="J410" s="645">
        <v>39200</v>
      </c>
      <c r="K410" s="646"/>
      <c r="L410" s="647">
        <f>L409+Table16[[#This Row],[المدين (إيداع)]]-Table16[[#This Row],[الدائن (السحب)]]</f>
        <v>584596.16999999993</v>
      </c>
    </row>
    <row r="411" spans="1:12" ht="23.25" hidden="1">
      <c r="A411" s="676">
        <f>SUBTOTAL(3,$E$8:E411)</f>
        <v>38</v>
      </c>
      <c r="B411" s="642">
        <v>42984</v>
      </c>
      <c r="C411" s="376" t="s">
        <v>1800</v>
      </c>
      <c r="D411" s="375" t="s">
        <v>1773</v>
      </c>
      <c r="E411" s="643" t="s">
        <v>1219</v>
      </c>
      <c r="F411" s="643" t="s">
        <v>1161</v>
      </c>
      <c r="G411" s="680"/>
      <c r="H411" s="376" t="s">
        <v>1941</v>
      </c>
      <c r="I411" s="643" t="s">
        <v>1205</v>
      </c>
      <c r="J411" s="645">
        <v>19000</v>
      </c>
      <c r="K411" s="646"/>
      <c r="L411" s="647">
        <f>L410+Table16[[#This Row],[المدين (إيداع)]]-Table16[[#This Row],[الدائن (السحب)]]</f>
        <v>603596.16999999993</v>
      </c>
    </row>
    <row r="412" spans="1:12" ht="23.25" hidden="1">
      <c r="A412" s="676">
        <f>SUBTOTAL(3,$E$8:E412)</f>
        <v>38</v>
      </c>
      <c r="B412" s="642">
        <v>42985</v>
      </c>
      <c r="C412" s="643"/>
      <c r="D412" s="375" t="s">
        <v>2071</v>
      </c>
      <c r="E412" s="376" t="s">
        <v>1839</v>
      </c>
      <c r="F412" s="643" t="s">
        <v>1161</v>
      </c>
      <c r="G412" s="680"/>
      <c r="H412" s="376" t="s">
        <v>2066</v>
      </c>
      <c r="I412" s="376" t="s">
        <v>1154</v>
      </c>
      <c r="J412" s="645">
        <v>300</v>
      </c>
      <c r="K412" s="646"/>
      <c r="L412" s="647">
        <f>L411+Table16[[#This Row],[المدين (إيداع)]]-Table16[[#This Row],[الدائن (السحب)]]</f>
        <v>603896.16999999993</v>
      </c>
    </row>
    <row r="413" spans="1:12" ht="23.25" hidden="1">
      <c r="A413" s="676">
        <f>SUBTOTAL(3,$E$8:E413)</f>
        <v>38</v>
      </c>
      <c r="B413" s="642">
        <v>42991</v>
      </c>
      <c r="C413" s="376" t="s">
        <v>1800</v>
      </c>
      <c r="D413" s="375" t="s">
        <v>1814</v>
      </c>
      <c r="E413" s="643" t="s">
        <v>1164</v>
      </c>
      <c r="F413" s="643" t="s">
        <v>1165</v>
      </c>
      <c r="G413" s="680">
        <v>1236</v>
      </c>
      <c r="H413" s="643"/>
      <c r="I413" s="376" t="s">
        <v>1154</v>
      </c>
      <c r="J413" s="645">
        <v>750</v>
      </c>
      <c r="K413" s="646"/>
      <c r="L413" s="647">
        <f>L412+Table16[[#This Row],[المدين (إيداع)]]-Table16[[#This Row],[الدائن (السحب)]]</f>
        <v>604646.16999999993</v>
      </c>
    </row>
    <row r="414" spans="1:12" ht="23.25" hidden="1">
      <c r="A414" s="676">
        <f>SUBTOTAL(3,$E$8:E414)</f>
        <v>38</v>
      </c>
      <c r="B414" s="642">
        <v>42991</v>
      </c>
      <c r="C414" s="376" t="s">
        <v>1800</v>
      </c>
      <c r="D414" s="375" t="s">
        <v>1814</v>
      </c>
      <c r="E414" s="643" t="s">
        <v>1164</v>
      </c>
      <c r="F414" s="643" t="s">
        <v>1165</v>
      </c>
      <c r="G414" s="680">
        <v>1444</v>
      </c>
      <c r="H414" s="643"/>
      <c r="I414" s="643"/>
      <c r="J414" s="645">
        <v>2400</v>
      </c>
      <c r="K414" s="646"/>
      <c r="L414" s="647">
        <f>L413+Table16[[#This Row],[المدين (إيداع)]]-Table16[[#This Row],[الدائن (السحب)]]</f>
        <v>607046.16999999993</v>
      </c>
    </row>
    <row r="415" spans="1:12" ht="23.25" hidden="1">
      <c r="A415" s="676">
        <f>SUBTOTAL(3,$E$8:E415)</f>
        <v>38</v>
      </c>
      <c r="B415" s="642">
        <v>42991</v>
      </c>
      <c r="C415" s="643" t="s">
        <v>1800</v>
      </c>
      <c r="D415" s="644" t="s">
        <v>1824</v>
      </c>
      <c r="E415" s="643" t="s">
        <v>1161</v>
      </c>
      <c r="F415" s="643" t="s">
        <v>1161</v>
      </c>
      <c r="G415" s="680"/>
      <c r="H415" s="643" t="s">
        <v>1816</v>
      </c>
      <c r="I415" s="643" t="s">
        <v>1305</v>
      </c>
      <c r="J415" s="645">
        <v>1110</v>
      </c>
      <c r="K415" s="646"/>
      <c r="L415" s="647">
        <f>L414+Table16[[#This Row],[المدين (إيداع)]]-Table16[[#This Row],[الدائن (السحب)]]</f>
        <v>608156.16999999993</v>
      </c>
    </row>
    <row r="416" spans="1:12" ht="23.25" hidden="1">
      <c r="A416" s="676">
        <f>SUBTOTAL(3,$E$8:E416)</f>
        <v>38</v>
      </c>
      <c r="B416" s="642">
        <v>42991</v>
      </c>
      <c r="C416" s="376" t="s">
        <v>1800</v>
      </c>
      <c r="D416" s="375" t="s">
        <v>1930</v>
      </c>
      <c r="E416" s="643" t="s">
        <v>1156</v>
      </c>
      <c r="F416" s="643" t="s">
        <v>1157</v>
      </c>
      <c r="G416" s="680"/>
      <c r="H416" s="643" t="s">
        <v>1158</v>
      </c>
      <c r="I416" s="643" t="s">
        <v>1157</v>
      </c>
      <c r="J416" s="645"/>
      <c r="K416" s="646">
        <v>25</v>
      </c>
      <c r="L416" s="647">
        <f>L415+Table16[[#This Row],[المدين (إيداع)]]-Table16[[#This Row],[الدائن (السحب)]]</f>
        <v>608131.16999999993</v>
      </c>
    </row>
    <row r="417" spans="1:12" ht="23.25">
      <c r="A417" s="676">
        <f>SUBTOTAL(3,$E$8:E417)</f>
        <v>39</v>
      </c>
      <c r="B417" s="642">
        <v>42992</v>
      </c>
      <c r="C417" s="643"/>
      <c r="D417" s="644"/>
      <c r="E417" s="643" t="s">
        <v>1169</v>
      </c>
      <c r="F417" s="643" t="s">
        <v>1169</v>
      </c>
      <c r="G417" s="680">
        <v>300</v>
      </c>
      <c r="H417" s="643" t="s">
        <v>992</v>
      </c>
      <c r="I417" s="643"/>
      <c r="J417" s="645"/>
      <c r="K417" s="646">
        <v>250000</v>
      </c>
      <c r="L417" s="647">
        <f>L416+Table16[[#This Row],[المدين (إيداع)]]-Table16[[#This Row],[الدائن (السحب)]]</f>
        <v>358131.16999999993</v>
      </c>
    </row>
    <row r="418" spans="1:12" ht="23.25" hidden="1">
      <c r="A418" s="676">
        <f>SUBTOTAL(3,$E$8:E418)</f>
        <v>39</v>
      </c>
      <c r="B418" s="642">
        <v>42992</v>
      </c>
      <c r="C418" s="376" t="s">
        <v>1800</v>
      </c>
      <c r="D418" s="375" t="s">
        <v>1773</v>
      </c>
      <c r="E418" s="643" t="s">
        <v>1219</v>
      </c>
      <c r="F418" s="643" t="s">
        <v>1161</v>
      </c>
      <c r="G418" s="680"/>
      <c r="H418" s="376" t="s">
        <v>1942</v>
      </c>
      <c r="I418" s="643" t="s">
        <v>1205</v>
      </c>
      <c r="J418" s="645">
        <v>20000</v>
      </c>
      <c r="K418" s="646"/>
      <c r="L418" s="647">
        <f>L417+Table16[[#This Row],[المدين (إيداع)]]-Table16[[#This Row],[الدائن (السحب)]]</f>
        <v>378131.16999999993</v>
      </c>
    </row>
    <row r="419" spans="1:12" ht="23.25" hidden="1">
      <c r="A419" s="676">
        <f>SUBTOTAL(3,$E$8:E419)</f>
        <v>39</v>
      </c>
      <c r="B419" s="642">
        <v>42995</v>
      </c>
      <c r="C419" s="376" t="s">
        <v>1800</v>
      </c>
      <c r="D419" s="375" t="s">
        <v>1829</v>
      </c>
      <c r="E419" s="643" t="s">
        <v>1161</v>
      </c>
      <c r="F419" s="643" t="s">
        <v>1161</v>
      </c>
      <c r="G419" s="680"/>
      <c r="H419" s="376" t="s">
        <v>1324</v>
      </c>
      <c r="I419" s="643" t="s">
        <v>1296</v>
      </c>
      <c r="J419" s="645">
        <v>78000</v>
      </c>
      <c r="K419" s="646"/>
      <c r="L419" s="647">
        <f>L418+Table16[[#This Row],[المدين (إيداع)]]-Table16[[#This Row],[الدائن (السحب)]]</f>
        <v>456131.16999999993</v>
      </c>
    </row>
    <row r="420" spans="1:12" ht="23.25" hidden="1">
      <c r="A420" s="676">
        <f>SUBTOTAL(3,$E$8:E420)</f>
        <v>39</v>
      </c>
      <c r="B420" s="642">
        <v>42995</v>
      </c>
      <c r="C420" s="376" t="s">
        <v>1800</v>
      </c>
      <c r="D420" s="375" t="s">
        <v>1773</v>
      </c>
      <c r="E420" s="643" t="s">
        <v>1219</v>
      </c>
      <c r="F420" s="643" t="s">
        <v>1161</v>
      </c>
      <c r="G420" s="680"/>
      <c r="H420" s="376" t="s">
        <v>1942</v>
      </c>
      <c r="I420" s="643" t="s">
        <v>1205</v>
      </c>
      <c r="J420" s="645">
        <v>20000</v>
      </c>
      <c r="K420" s="646"/>
      <c r="L420" s="647">
        <f>L419+Table16[[#This Row],[المدين (إيداع)]]-Table16[[#This Row],[الدائن (السحب)]]</f>
        <v>476131.16999999993</v>
      </c>
    </row>
    <row r="421" spans="1:12" ht="23.25" hidden="1">
      <c r="A421" s="676">
        <f>SUBTOTAL(3,$E$8:E421)</f>
        <v>39</v>
      </c>
      <c r="B421" s="642">
        <v>42997</v>
      </c>
      <c r="C421" s="643"/>
      <c r="D421" s="375" t="s">
        <v>2064</v>
      </c>
      <c r="E421" s="643" t="s">
        <v>1164</v>
      </c>
      <c r="F421" s="643" t="s">
        <v>1165</v>
      </c>
      <c r="G421" s="680">
        <v>78</v>
      </c>
      <c r="H421" s="724" t="s">
        <v>2142</v>
      </c>
      <c r="I421" s="376" t="s">
        <v>2025</v>
      </c>
      <c r="J421" s="645">
        <v>6000</v>
      </c>
      <c r="K421" s="646"/>
      <c r="L421" s="647">
        <f>L420+Table16[[#This Row],[المدين (إيداع)]]-Table16[[#This Row],[الدائن (السحب)]]</f>
        <v>482131.16999999993</v>
      </c>
    </row>
    <row r="422" spans="1:12" ht="23.25" hidden="1">
      <c r="A422" s="676">
        <f>SUBTOTAL(3,$E$8:E422)</f>
        <v>39</v>
      </c>
      <c r="B422" s="642">
        <v>42997</v>
      </c>
      <c r="C422" s="643"/>
      <c r="D422" s="375" t="s">
        <v>2064</v>
      </c>
      <c r="E422" s="643" t="s">
        <v>1164</v>
      </c>
      <c r="F422" s="643" t="s">
        <v>1165</v>
      </c>
      <c r="G422" s="680">
        <v>5620</v>
      </c>
      <c r="H422" s="724" t="s">
        <v>2143</v>
      </c>
      <c r="I422" s="376" t="s">
        <v>2025</v>
      </c>
      <c r="J422" s="645">
        <v>3400</v>
      </c>
      <c r="K422" s="646"/>
      <c r="L422" s="647">
        <f>L421+Table16[[#This Row],[المدين (إيداع)]]-Table16[[#This Row],[الدائن (السحب)]]</f>
        <v>485531.16999999993</v>
      </c>
    </row>
    <row r="423" spans="1:12" ht="23.25">
      <c r="A423" s="676">
        <f>SUBTOTAL(3,$E$8:E423)</f>
        <v>40</v>
      </c>
      <c r="B423" s="642">
        <v>42997</v>
      </c>
      <c r="C423" s="643"/>
      <c r="D423" s="644"/>
      <c r="E423" s="643" t="s">
        <v>1164</v>
      </c>
      <c r="F423" s="643" t="s">
        <v>1165</v>
      </c>
      <c r="G423" s="680">
        <v>4192</v>
      </c>
      <c r="H423" s="643"/>
      <c r="I423" s="643"/>
      <c r="J423" s="645">
        <v>3150</v>
      </c>
      <c r="K423" s="646"/>
      <c r="L423" s="647">
        <f>L422+Table16[[#This Row],[المدين (إيداع)]]-Table16[[#This Row],[الدائن (السحب)]]</f>
        <v>488681.16999999993</v>
      </c>
    </row>
    <row r="424" spans="1:12" ht="23.25" hidden="1">
      <c r="A424" s="676">
        <f>SUBTOTAL(3,$E$8:E424)</f>
        <v>40</v>
      </c>
      <c r="B424" s="642">
        <v>42997</v>
      </c>
      <c r="C424" s="643" t="s">
        <v>1800</v>
      </c>
      <c r="D424" s="644" t="s">
        <v>1731</v>
      </c>
      <c r="E424" s="643" t="s">
        <v>1164</v>
      </c>
      <c r="F424" s="643" t="s">
        <v>1165</v>
      </c>
      <c r="G424" s="680">
        <v>4742</v>
      </c>
      <c r="H424" s="376" t="s">
        <v>1803</v>
      </c>
      <c r="I424" s="643" t="s">
        <v>1296</v>
      </c>
      <c r="J424" s="645">
        <v>7750</v>
      </c>
      <c r="K424" s="646"/>
      <c r="L424" s="647">
        <f>L423+Table16[[#This Row],[المدين (إيداع)]]-Table16[[#This Row],[الدائن (السحب)]]</f>
        <v>496431.16999999993</v>
      </c>
    </row>
    <row r="425" spans="1:12" ht="23.25" hidden="1">
      <c r="A425" s="676">
        <f>SUBTOTAL(3,$E$8:E425)</f>
        <v>40</v>
      </c>
      <c r="B425" s="642">
        <v>42997</v>
      </c>
      <c r="C425" s="376" t="s">
        <v>1800</v>
      </c>
      <c r="D425" s="375" t="s">
        <v>1930</v>
      </c>
      <c r="E425" s="643" t="s">
        <v>1156</v>
      </c>
      <c r="F425" s="643" t="s">
        <v>1157</v>
      </c>
      <c r="G425" s="680"/>
      <c r="H425" s="643" t="s">
        <v>1158</v>
      </c>
      <c r="I425" s="643" t="s">
        <v>1157</v>
      </c>
      <c r="J425" s="645"/>
      <c r="K425" s="646">
        <v>25</v>
      </c>
      <c r="L425" s="647">
        <f>L424+Table16[[#This Row],[المدين (إيداع)]]-Table16[[#This Row],[الدائن (السحب)]]</f>
        <v>496406.16999999993</v>
      </c>
    </row>
    <row r="426" spans="1:12" ht="23.25" hidden="1">
      <c r="A426" s="676">
        <f>SUBTOTAL(3,$E$8:E426)</f>
        <v>40</v>
      </c>
      <c r="B426" s="642">
        <v>42997</v>
      </c>
      <c r="C426" s="376" t="s">
        <v>1800</v>
      </c>
      <c r="D426" s="375" t="s">
        <v>1929</v>
      </c>
      <c r="E426" s="376" t="s">
        <v>1254</v>
      </c>
      <c r="F426" s="643" t="s">
        <v>1161</v>
      </c>
      <c r="G426" s="680"/>
      <c r="H426" s="643" t="s">
        <v>1172</v>
      </c>
      <c r="I426" s="376" t="s">
        <v>1928</v>
      </c>
      <c r="J426" s="645">
        <v>3700</v>
      </c>
      <c r="K426" s="646"/>
      <c r="L426" s="647">
        <f>L425+Table16[[#This Row],[المدين (إيداع)]]-Table16[[#This Row],[الدائن (السحب)]]</f>
        <v>500106.16999999993</v>
      </c>
    </row>
    <row r="427" spans="1:12" ht="23.25" hidden="1">
      <c r="A427" s="676">
        <f>SUBTOTAL(3,$E$8:E427)</f>
        <v>40</v>
      </c>
      <c r="B427" s="642">
        <v>42998</v>
      </c>
      <c r="C427" s="643" t="s">
        <v>1800</v>
      </c>
      <c r="D427" s="644" t="s">
        <v>56</v>
      </c>
      <c r="E427" s="643" t="s">
        <v>1169</v>
      </c>
      <c r="F427" s="643" t="s">
        <v>1169</v>
      </c>
      <c r="G427" s="680">
        <v>354</v>
      </c>
      <c r="H427" s="643" t="s">
        <v>1221</v>
      </c>
      <c r="I427" s="643" t="s">
        <v>1732</v>
      </c>
      <c r="J427" s="645"/>
      <c r="K427" s="646">
        <v>195000</v>
      </c>
      <c r="L427" s="647">
        <f>L426+Table16[[#This Row],[المدين (إيداع)]]-Table16[[#This Row],[الدائن (السحب)]]</f>
        <v>305106.16999999993</v>
      </c>
    </row>
    <row r="428" spans="1:12" ht="23.25" hidden="1">
      <c r="A428" s="676">
        <f>SUBTOTAL(3,$E$8:E428)</f>
        <v>40</v>
      </c>
      <c r="B428" s="642">
        <v>42998</v>
      </c>
      <c r="C428" s="376" t="s">
        <v>1800</v>
      </c>
      <c r="D428" s="375" t="s">
        <v>2010</v>
      </c>
      <c r="E428" s="376" t="s">
        <v>1243</v>
      </c>
      <c r="F428" s="643" t="s">
        <v>1161</v>
      </c>
      <c r="G428" s="680"/>
      <c r="H428" s="376" t="s">
        <v>1181</v>
      </c>
      <c r="I428" s="376" t="s">
        <v>1182</v>
      </c>
      <c r="J428" s="645">
        <v>55800</v>
      </c>
      <c r="K428" s="646"/>
      <c r="L428" s="647">
        <f>L427+Table16[[#This Row],[المدين (إيداع)]]-Table16[[#This Row],[الدائن (السحب)]]</f>
        <v>360906.16999999993</v>
      </c>
    </row>
    <row r="429" spans="1:12" ht="23.25" hidden="1">
      <c r="A429" s="676">
        <f>SUBTOTAL(3,$E$8:E429)</f>
        <v>40</v>
      </c>
      <c r="B429" s="642">
        <v>42998</v>
      </c>
      <c r="C429" s="376" t="s">
        <v>1800</v>
      </c>
      <c r="D429" s="375" t="s">
        <v>1829</v>
      </c>
      <c r="E429" s="643" t="s">
        <v>1754</v>
      </c>
      <c r="F429" s="643" t="s">
        <v>1161</v>
      </c>
      <c r="G429" s="680"/>
      <c r="H429" s="643" t="s">
        <v>1177</v>
      </c>
      <c r="I429" s="376" t="s">
        <v>1783</v>
      </c>
      <c r="J429" s="645">
        <v>900</v>
      </c>
      <c r="K429" s="646"/>
      <c r="L429" s="647">
        <f>L428+Table16[[#This Row],[المدين (إيداع)]]-Table16[[#This Row],[الدائن (السحب)]]</f>
        <v>361806.16999999993</v>
      </c>
    </row>
    <row r="430" spans="1:12" ht="23.25" hidden="1">
      <c r="A430" s="676">
        <f>SUBTOTAL(3,$E$8:E430)</f>
        <v>40</v>
      </c>
      <c r="B430" s="642">
        <v>42998</v>
      </c>
      <c r="C430" s="643" t="s">
        <v>1800</v>
      </c>
      <c r="D430" s="644" t="s">
        <v>1820</v>
      </c>
      <c r="E430" s="643" t="s">
        <v>1169</v>
      </c>
      <c r="F430" s="643" t="s">
        <v>1169</v>
      </c>
      <c r="G430" s="680">
        <v>351</v>
      </c>
      <c r="H430" s="643" t="s">
        <v>1821</v>
      </c>
      <c r="I430" s="643" t="s">
        <v>1822</v>
      </c>
      <c r="J430" s="645"/>
      <c r="K430" s="646">
        <v>65000</v>
      </c>
      <c r="L430" s="647">
        <f>L429+Table16[[#This Row],[المدين (إيداع)]]-Table16[[#This Row],[الدائن (السحب)]]</f>
        <v>296806.16999999993</v>
      </c>
    </row>
    <row r="431" spans="1:12" ht="23.25" hidden="1">
      <c r="A431" s="676">
        <f>SUBTOTAL(3,$E$8:E431)</f>
        <v>40</v>
      </c>
      <c r="B431" s="642">
        <v>42999</v>
      </c>
      <c r="C431" s="643" t="s">
        <v>1800</v>
      </c>
      <c r="D431" s="644" t="s">
        <v>1670</v>
      </c>
      <c r="E431" s="643" t="s">
        <v>1169</v>
      </c>
      <c r="F431" s="643" t="s">
        <v>1169</v>
      </c>
      <c r="G431" s="680">
        <v>356</v>
      </c>
      <c r="H431" s="643" t="s">
        <v>1413</v>
      </c>
      <c r="I431" s="643" t="s">
        <v>1732</v>
      </c>
      <c r="J431" s="645"/>
      <c r="K431" s="646">
        <v>128000</v>
      </c>
      <c r="L431" s="647">
        <f>L430+Table16[[#This Row],[المدين (إيداع)]]-Table16[[#This Row],[الدائن (السحب)]]</f>
        <v>168806.16999999993</v>
      </c>
    </row>
    <row r="432" spans="1:12" ht="23.25" hidden="1">
      <c r="A432" s="676">
        <f>SUBTOTAL(3,$E$8:E432)</f>
        <v>40</v>
      </c>
      <c r="B432" s="642">
        <v>42999</v>
      </c>
      <c r="C432" s="376" t="s">
        <v>1811</v>
      </c>
      <c r="D432" s="375" t="s">
        <v>2023</v>
      </c>
      <c r="E432" s="643" t="s">
        <v>1161</v>
      </c>
      <c r="F432" s="643" t="s">
        <v>1161</v>
      </c>
      <c r="G432" s="680"/>
      <c r="H432" s="643" t="s">
        <v>1765</v>
      </c>
      <c r="I432" s="643" t="s">
        <v>1212</v>
      </c>
      <c r="J432" s="645">
        <v>1250</v>
      </c>
      <c r="K432" s="646"/>
      <c r="L432" s="647">
        <f>L431+Table16[[#This Row],[المدين (إيداع)]]-Table16[[#This Row],[الدائن (السحب)]]</f>
        <v>170056.16999999993</v>
      </c>
    </row>
    <row r="433" spans="1:12" ht="23.25" hidden="1">
      <c r="A433" s="676">
        <f>SUBTOTAL(3,$E$8:E433)</f>
        <v>40</v>
      </c>
      <c r="B433" s="642">
        <v>43004</v>
      </c>
      <c r="C433" s="376" t="s">
        <v>1800</v>
      </c>
      <c r="D433" s="375" t="s">
        <v>1929</v>
      </c>
      <c r="E433" s="643" t="s">
        <v>1161</v>
      </c>
      <c r="F433" s="643" t="s">
        <v>1161</v>
      </c>
      <c r="G433" s="680"/>
      <c r="H433" s="643" t="s">
        <v>1789</v>
      </c>
      <c r="I433" s="376" t="s">
        <v>1928</v>
      </c>
      <c r="J433" s="645">
        <v>300</v>
      </c>
      <c r="K433" s="646"/>
      <c r="L433" s="647">
        <f>L432+Table16[[#This Row],[المدين (إيداع)]]-Table16[[#This Row],[الدائن (السحب)]]</f>
        <v>170356.16999999993</v>
      </c>
    </row>
    <row r="434" spans="1:12" ht="23.25" hidden="1">
      <c r="A434" s="676">
        <f>SUBTOTAL(3,$E$8:E434)</f>
        <v>40</v>
      </c>
      <c r="B434" s="642">
        <v>43004</v>
      </c>
      <c r="C434" s="376" t="s">
        <v>1800</v>
      </c>
      <c r="D434" s="375" t="s">
        <v>1929</v>
      </c>
      <c r="E434" s="643" t="s">
        <v>1161</v>
      </c>
      <c r="F434" s="643" t="s">
        <v>1161</v>
      </c>
      <c r="G434" s="680"/>
      <c r="H434" s="643" t="s">
        <v>1789</v>
      </c>
      <c r="I434" s="376" t="s">
        <v>1928</v>
      </c>
      <c r="J434" s="645">
        <v>300</v>
      </c>
      <c r="K434" s="646"/>
      <c r="L434" s="647">
        <f>L433+Table16[[#This Row],[المدين (إيداع)]]-Table16[[#This Row],[الدائن (السحب)]]</f>
        <v>170656.16999999993</v>
      </c>
    </row>
    <row r="435" spans="1:12" ht="23.25" hidden="1">
      <c r="A435" s="676">
        <f>SUBTOTAL(3,$E$8:E435)</f>
        <v>40</v>
      </c>
      <c r="B435" s="642">
        <v>43004</v>
      </c>
      <c r="C435" s="376" t="s">
        <v>1800</v>
      </c>
      <c r="D435" s="375" t="s">
        <v>1929</v>
      </c>
      <c r="E435" s="643" t="s">
        <v>1161</v>
      </c>
      <c r="F435" s="643" t="s">
        <v>1161</v>
      </c>
      <c r="G435" s="680"/>
      <c r="H435" s="643" t="s">
        <v>1789</v>
      </c>
      <c r="I435" s="376" t="s">
        <v>1928</v>
      </c>
      <c r="J435" s="645">
        <v>300</v>
      </c>
      <c r="K435" s="646"/>
      <c r="L435" s="647">
        <f>L434+Table16[[#This Row],[المدين (إيداع)]]-Table16[[#This Row],[الدائن (السحب)]]</f>
        <v>170956.16999999993</v>
      </c>
    </row>
    <row r="436" spans="1:12" ht="23.25" hidden="1">
      <c r="A436" s="676">
        <f>SUBTOTAL(3,$E$8:E436)</f>
        <v>40</v>
      </c>
      <c r="B436" s="642">
        <v>43004</v>
      </c>
      <c r="C436" s="376" t="s">
        <v>1800</v>
      </c>
      <c r="D436" s="375" t="s">
        <v>1929</v>
      </c>
      <c r="E436" s="643" t="s">
        <v>1161</v>
      </c>
      <c r="F436" s="643" t="s">
        <v>1161</v>
      </c>
      <c r="G436" s="680"/>
      <c r="H436" s="643" t="s">
        <v>1789</v>
      </c>
      <c r="I436" s="376" t="s">
        <v>1928</v>
      </c>
      <c r="J436" s="645">
        <v>300</v>
      </c>
      <c r="K436" s="646"/>
      <c r="L436" s="647">
        <f>L435+Table16[[#This Row],[المدين (إيداع)]]-Table16[[#This Row],[الدائن (السحب)]]</f>
        <v>171256.16999999993</v>
      </c>
    </row>
    <row r="437" spans="1:12" ht="23.25" hidden="1">
      <c r="A437" s="676">
        <f>SUBTOTAL(3,$E$8:E437)</f>
        <v>40</v>
      </c>
      <c r="B437" s="642">
        <v>43005</v>
      </c>
      <c r="C437" s="643" t="s">
        <v>1800</v>
      </c>
      <c r="D437" s="644" t="s">
        <v>1790</v>
      </c>
      <c r="E437" s="643" t="s">
        <v>1737</v>
      </c>
      <c r="F437" s="643" t="s">
        <v>1737</v>
      </c>
      <c r="G437" s="680">
        <v>280</v>
      </c>
      <c r="H437" s="643" t="s">
        <v>1413</v>
      </c>
      <c r="I437" s="643"/>
      <c r="J437" s="645"/>
      <c r="K437" s="646">
        <v>25000</v>
      </c>
      <c r="L437" s="647">
        <f>L436+Table16[[#This Row],[المدين (إيداع)]]-Table16[[#This Row],[الدائن (السحب)]]</f>
        <v>146256.16999999993</v>
      </c>
    </row>
    <row r="438" spans="1:12" ht="23.25" hidden="1">
      <c r="A438" s="676">
        <f>SUBTOTAL(3,$E$8:E438)</f>
        <v>40</v>
      </c>
      <c r="B438" s="642">
        <v>43005</v>
      </c>
      <c r="C438" s="643" t="s">
        <v>1800</v>
      </c>
      <c r="D438" s="644" t="s">
        <v>1790</v>
      </c>
      <c r="E438" s="643" t="s">
        <v>1164</v>
      </c>
      <c r="F438" s="643" t="s">
        <v>1165</v>
      </c>
      <c r="G438" s="680">
        <v>280</v>
      </c>
      <c r="H438" s="643" t="s">
        <v>1413</v>
      </c>
      <c r="I438" s="643"/>
      <c r="J438" s="645">
        <v>25000</v>
      </c>
      <c r="K438" s="646"/>
      <c r="L438" s="647">
        <f>L437+Table16[[#This Row],[المدين (إيداع)]]-Table16[[#This Row],[الدائن (السحب)]]</f>
        <v>171256.16999999993</v>
      </c>
    </row>
    <row r="439" spans="1:12" ht="23.25" hidden="1">
      <c r="A439" s="676">
        <f>SUBTOTAL(3,$E$8:E439)</f>
        <v>40</v>
      </c>
      <c r="B439" s="642">
        <v>43005</v>
      </c>
      <c r="C439" s="643" t="s">
        <v>1800</v>
      </c>
      <c r="D439" s="644" t="s">
        <v>1828</v>
      </c>
      <c r="E439" s="643" t="s">
        <v>1164</v>
      </c>
      <c r="F439" s="643" t="s">
        <v>1165</v>
      </c>
      <c r="G439" s="680">
        <v>7140</v>
      </c>
      <c r="H439" s="643"/>
      <c r="I439" s="643" t="s">
        <v>1154</v>
      </c>
      <c r="J439" s="645">
        <v>2100</v>
      </c>
      <c r="K439" s="646"/>
      <c r="L439" s="647">
        <f>L438+Table16[[#This Row],[المدين (إيداع)]]-Table16[[#This Row],[الدائن (السحب)]]</f>
        <v>173356.16999999993</v>
      </c>
    </row>
    <row r="440" spans="1:12" ht="23.25" hidden="1">
      <c r="A440" s="676">
        <f>SUBTOTAL(3,$E$8:E440)</f>
        <v>40</v>
      </c>
      <c r="B440" s="642">
        <v>43005</v>
      </c>
      <c r="C440" s="643" t="s">
        <v>1800</v>
      </c>
      <c r="D440" s="644" t="s">
        <v>1828</v>
      </c>
      <c r="E440" s="643" t="s">
        <v>1164</v>
      </c>
      <c r="F440" s="643" t="s">
        <v>1165</v>
      </c>
      <c r="G440" s="680">
        <v>1241</v>
      </c>
      <c r="H440" s="643"/>
      <c r="I440" s="643" t="s">
        <v>1154</v>
      </c>
      <c r="J440" s="645">
        <v>3000</v>
      </c>
      <c r="K440" s="646"/>
      <c r="L440" s="647">
        <f>L439+Table16[[#This Row],[المدين (إيداع)]]-Table16[[#This Row],[الدائن (السحب)]]</f>
        <v>176356.16999999993</v>
      </c>
    </row>
    <row r="441" spans="1:12" ht="23.25" hidden="1">
      <c r="A441" s="676">
        <f>SUBTOTAL(3,$E$8:E441)</f>
        <v>40</v>
      </c>
      <c r="B441" s="642">
        <v>43006</v>
      </c>
      <c r="C441" s="376" t="s">
        <v>1800</v>
      </c>
      <c r="D441" s="375" t="s">
        <v>1829</v>
      </c>
      <c r="E441" s="643" t="s">
        <v>1164</v>
      </c>
      <c r="F441" s="643" t="s">
        <v>1165</v>
      </c>
      <c r="G441" s="680">
        <v>670</v>
      </c>
      <c r="H441" s="376" t="s">
        <v>1872</v>
      </c>
      <c r="I441" s="376" t="s">
        <v>1783</v>
      </c>
      <c r="J441" s="645">
        <v>7000</v>
      </c>
      <c r="K441" s="646"/>
      <c r="L441" s="647">
        <f>L440+Table16[[#This Row],[المدين (إيداع)]]-Table16[[#This Row],[الدائن (السحب)]]</f>
        <v>183356.16999999993</v>
      </c>
    </row>
    <row r="442" spans="1:12" ht="42">
      <c r="A442" s="676">
        <f>SUBTOTAL(3,$E$8:E442)</f>
        <v>41</v>
      </c>
      <c r="B442" s="642">
        <v>43006</v>
      </c>
      <c r="C442" s="643"/>
      <c r="D442" s="644"/>
      <c r="E442" s="643" t="s">
        <v>1217</v>
      </c>
      <c r="F442" s="643" t="s">
        <v>1217</v>
      </c>
      <c r="G442" s="681" t="s">
        <v>1791</v>
      </c>
      <c r="H442" s="643"/>
      <c r="I442" s="643"/>
      <c r="J442" s="645">
        <v>50000</v>
      </c>
      <c r="K442" s="646"/>
      <c r="L442" s="647">
        <f>L441+Table16[[#This Row],[المدين (إيداع)]]-Table16[[#This Row],[الدائن (السحب)]]</f>
        <v>233356.16999999993</v>
      </c>
    </row>
    <row r="443" spans="1:12" ht="23.25" hidden="1">
      <c r="A443" s="676">
        <f>SUBTOTAL(3,$E$8:E443)</f>
        <v>41</v>
      </c>
      <c r="B443" s="642">
        <v>43006</v>
      </c>
      <c r="C443" s="376" t="s">
        <v>1800</v>
      </c>
      <c r="D443" s="375" t="s">
        <v>1829</v>
      </c>
      <c r="E443" s="643" t="s">
        <v>1161</v>
      </c>
      <c r="F443" s="643" t="s">
        <v>1161</v>
      </c>
      <c r="G443" s="680"/>
      <c r="H443" s="376" t="s">
        <v>1324</v>
      </c>
      <c r="I443" s="376" t="s">
        <v>1296</v>
      </c>
      <c r="J443" s="645">
        <v>3000</v>
      </c>
      <c r="K443" s="646"/>
      <c r="L443" s="647">
        <f>L442+Table16[[#This Row],[المدين (إيداع)]]-Table16[[#This Row],[الدائن (السحب)]]</f>
        <v>236356.16999999993</v>
      </c>
    </row>
    <row r="444" spans="1:12" ht="23.25" hidden="1">
      <c r="A444" s="676">
        <f>SUBTOTAL(3,$E$8:E444)</f>
        <v>41</v>
      </c>
      <c r="B444" s="642">
        <v>43006</v>
      </c>
      <c r="C444" s="643" t="s">
        <v>1800</v>
      </c>
      <c r="D444" s="644" t="s">
        <v>1828</v>
      </c>
      <c r="E444" s="643" t="s">
        <v>1161</v>
      </c>
      <c r="F444" s="643" t="s">
        <v>1161</v>
      </c>
      <c r="G444" s="680"/>
      <c r="H444" s="643"/>
      <c r="I444" s="643" t="s">
        <v>1154</v>
      </c>
      <c r="J444" s="645">
        <v>26287</v>
      </c>
      <c r="K444" s="646"/>
      <c r="L444" s="647">
        <f>L443+Table16[[#This Row],[المدين (إيداع)]]-Table16[[#This Row],[الدائن (السحب)]]</f>
        <v>262643.16999999993</v>
      </c>
    </row>
    <row r="445" spans="1:12" ht="23.25" hidden="1">
      <c r="A445" s="676">
        <f>SUBTOTAL(3,$E$8:E445)</f>
        <v>41</v>
      </c>
      <c r="B445" s="642">
        <v>43006</v>
      </c>
      <c r="C445" s="376" t="s">
        <v>1811</v>
      </c>
      <c r="D445" s="375" t="s">
        <v>2023</v>
      </c>
      <c r="E445" s="643" t="s">
        <v>1161</v>
      </c>
      <c r="F445" s="643" t="s">
        <v>1161</v>
      </c>
      <c r="G445" s="680"/>
      <c r="H445" s="643"/>
      <c r="I445" s="643" t="s">
        <v>1212</v>
      </c>
      <c r="J445" s="645">
        <v>300</v>
      </c>
      <c r="K445" s="646"/>
      <c r="L445" s="647">
        <f>L444+Table16[[#This Row],[المدين (إيداع)]]-Table16[[#This Row],[الدائن (السحب)]]</f>
        <v>262943.16999999993</v>
      </c>
    </row>
    <row r="446" spans="1:12" ht="23.25" hidden="1">
      <c r="A446" s="676">
        <f>SUBTOTAL(3,$E$8:E446)</f>
        <v>41</v>
      </c>
      <c r="B446" s="642">
        <v>43009</v>
      </c>
      <c r="C446" s="376" t="s">
        <v>1800</v>
      </c>
      <c r="D446" s="375" t="s">
        <v>1930</v>
      </c>
      <c r="E446" s="643" t="s">
        <v>1156</v>
      </c>
      <c r="F446" s="643" t="s">
        <v>1157</v>
      </c>
      <c r="G446" s="680"/>
      <c r="H446" s="643" t="s">
        <v>1158</v>
      </c>
      <c r="I446" s="643" t="s">
        <v>1157</v>
      </c>
      <c r="J446" s="645"/>
      <c r="K446" s="646">
        <v>25</v>
      </c>
      <c r="L446" s="647">
        <f>L445+Table16[[#This Row],[المدين (إيداع)]]-Table16[[#This Row],[الدائن (السحب)]]</f>
        <v>262918.16999999993</v>
      </c>
    </row>
    <row r="447" spans="1:12" ht="23.25">
      <c r="A447" s="676">
        <f>SUBTOTAL(3,$E$8:E447)</f>
        <v>42</v>
      </c>
      <c r="B447" s="642">
        <v>43009</v>
      </c>
      <c r="C447" s="643"/>
      <c r="D447" s="644"/>
      <c r="E447" s="643" t="s">
        <v>1161</v>
      </c>
      <c r="F447" s="643" t="s">
        <v>1161</v>
      </c>
      <c r="G447" s="680"/>
      <c r="H447" s="643" t="s">
        <v>1785</v>
      </c>
      <c r="I447" s="643"/>
      <c r="J447" s="645">
        <v>2000</v>
      </c>
      <c r="K447" s="646"/>
      <c r="L447" s="647">
        <f>L446+Table16[[#This Row],[المدين (إيداع)]]-Table16[[#This Row],[الدائن (السحب)]]</f>
        <v>264918.16999999993</v>
      </c>
    </row>
    <row r="448" spans="1:12" ht="23.25" hidden="1">
      <c r="A448" s="676">
        <f>SUBTOTAL(3,$E$8:E448)</f>
        <v>42</v>
      </c>
      <c r="B448" s="642">
        <v>43009</v>
      </c>
      <c r="C448" s="376" t="s">
        <v>1800</v>
      </c>
      <c r="D448" s="375" t="s">
        <v>1929</v>
      </c>
      <c r="E448" s="643" t="s">
        <v>1161</v>
      </c>
      <c r="F448" s="643" t="s">
        <v>1161</v>
      </c>
      <c r="G448" s="680"/>
      <c r="H448" s="643" t="s">
        <v>1792</v>
      </c>
      <c r="I448" s="376" t="s">
        <v>1928</v>
      </c>
      <c r="J448" s="645">
        <v>300</v>
      </c>
      <c r="K448" s="646"/>
      <c r="L448" s="647">
        <f>L447+Table16[[#This Row],[المدين (إيداع)]]-Table16[[#This Row],[الدائن (السحب)]]</f>
        <v>265218.16999999993</v>
      </c>
    </row>
    <row r="449" spans="1:12" ht="23.25" hidden="1">
      <c r="A449" s="676">
        <f>SUBTOTAL(3,$E$8:E449)</f>
        <v>42</v>
      </c>
      <c r="B449" s="642">
        <v>43010</v>
      </c>
      <c r="C449" s="376" t="s">
        <v>1811</v>
      </c>
      <c r="D449" s="375" t="s">
        <v>2016</v>
      </c>
      <c r="E449" s="643" t="s">
        <v>1161</v>
      </c>
      <c r="F449" s="643" t="s">
        <v>1161</v>
      </c>
      <c r="G449" s="680"/>
      <c r="H449" s="643" t="s">
        <v>1793</v>
      </c>
      <c r="I449" s="643" t="s">
        <v>1212</v>
      </c>
      <c r="J449" s="645">
        <v>700</v>
      </c>
      <c r="K449" s="646"/>
      <c r="L449" s="647">
        <f>L448+Table16[[#This Row],[المدين (إيداع)]]-Table16[[#This Row],[الدائن (السحب)]]</f>
        <v>265918.16999999993</v>
      </c>
    </row>
    <row r="450" spans="1:12" ht="23.25">
      <c r="A450" s="676">
        <f>SUBTOTAL(3,$E$8:E450)</f>
        <v>43</v>
      </c>
      <c r="B450" s="642">
        <v>43011</v>
      </c>
      <c r="C450" s="643"/>
      <c r="D450" s="644"/>
      <c r="E450" s="643" t="s">
        <v>1161</v>
      </c>
      <c r="F450" s="643" t="s">
        <v>1161</v>
      </c>
      <c r="G450" s="680"/>
      <c r="H450" s="643" t="s">
        <v>1794</v>
      </c>
      <c r="I450" s="643"/>
      <c r="J450" s="645">
        <v>25200</v>
      </c>
      <c r="K450" s="646"/>
      <c r="L450" s="647">
        <f>L449+Table16[[#This Row],[المدين (إيداع)]]-Table16[[#This Row],[الدائن (السحب)]]</f>
        <v>291118.16999999993</v>
      </c>
    </row>
    <row r="451" spans="1:12" ht="23.25" hidden="1">
      <c r="A451" s="676">
        <f>SUBTOTAL(3,$E$8:E451)</f>
        <v>43</v>
      </c>
      <c r="B451" s="642">
        <v>43011</v>
      </c>
      <c r="C451" s="376" t="s">
        <v>1800</v>
      </c>
      <c r="D451" s="375" t="s">
        <v>1874</v>
      </c>
      <c r="E451" s="643" t="s">
        <v>1169</v>
      </c>
      <c r="F451" s="643" t="s">
        <v>1169</v>
      </c>
      <c r="G451" s="680">
        <v>355</v>
      </c>
      <c r="H451" s="376" t="s">
        <v>1875</v>
      </c>
      <c r="I451" s="376" t="s">
        <v>67</v>
      </c>
      <c r="J451" s="645"/>
      <c r="K451" s="646">
        <v>105000</v>
      </c>
      <c r="L451" s="647">
        <f>L450+Table16[[#This Row],[المدين (إيداع)]]-Table16[[#This Row],[الدائن (السحب)]]</f>
        <v>186118.16999999993</v>
      </c>
    </row>
    <row r="452" spans="1:12" ht="23.25" hidden="1">
      <c r="A452" s="676">
        <f>SUBTOTAL(3,$E$8:E452)</f>
        <v>43</v>
      </c>
      <c r="B452" s="642">
        <v>43012</v>
      </c>
      <c r="C452" s="376" t="s">
        <v>1800</v>
      </c>
      <c r="D452" s="375" t="s">
        <v>1877</v>
      </c>
      <c r="E452" s="643" t="s">
        <v>1152</v>
      </c>
      <c r="F452" s="643" t="s">
        <v>1152</v>
      </c>
      <c r="G452" s="680"/>
      <c r="H452" s="643"/>
      <c r="I452" s="643" t="s">
        <v>1781</v>
      </c>
      <c r="J452" s="645">
        <v>13000</v>
      </c>
      <c r="K452" s="646"/>
      <c r="L452" s="647">
        <f>L451+Table16[[#This Row],[المدين (إيداع)]]-Table16[[#This Row],[الدائن (السحب)]]</f>
        <v>199118.16999999993</v>
      </c>
    </row>
    <row r="453" spans="1:12" ht="23.25" hidden="1">
      <c r="A453" s="676">
        <f>SUBTOTAL(3,$E$8:E453)</f>
        <v>43</v>
      </c>
      <c r="B453" s="642">
        <v>43012</v>
      </c>
      <c r="C453" s="376" t="s">
        <v>1800</v>
      </c>
      <c r="D453" s="375" t="s">
        <v>57</v>
      </c>
      <c r="E453" s="643" t="s">
        <v>1169</v>
      </c>
      <c r="F453" s="643" t="s">
        <v>1169</v>
      </c>
      <c r="G453" s="680">
        <v>301</v>
      </c>
      <c r="H453" s="376" t="s">
        <v>1221</v>
      </c>
      <c r="I453" s="643" t="s">
        <v>1781</v>
      </c>
      <c r="J453" s="645"/>
      <c r="K453" s="646">
        <v>200000</v>
      </c>
      <c r="L453" s="647">
        <f>L452+Table16[[#This Row],[المدين (إيداع)]]-Table16[[#This Row],[الدائن (السحب)]]</f>
        <v>-881.83000000007451</v>
      </c>
    </row>
    <row r="454" spans="1:12" ht="23.25">
      <c r="A454" s="676">
        <f>SUBTOTAL(3,$E$8:E454)</f>
        <v>44</v>
      </c>
      <c r="B454" s="642">
        <v>43012</v>
      </c>
      <c r="C454" s="643"/>
      <c r="D454" s="644"/>
      <c r="E454" s="643" t="s">
        <v>1161</v>
      </c>
      <c r="F454" s="643" t="s">
        <v>1161</v>
      </c>
      <c r="G454" s="680"/>
      <c r="H454" s="643" t="s">
        <v>1762</v>
      </c>
      <c r="I454" s="643"/>
      <c r="J454" s="645">
        <v>1800</v>
      </c>
      <c r="K454" s="646"/>
      <c r="L454" s="647">
        <f>L453+Table16[[#This Row],[المدين (إيداع)]]-Table16[[#This Row],[الدائن (السحب)]]</f>
        <v>918.16999999992549</v>
      </c>
    </row>
    <row r="455" spans="1:12" ht="23.25" hidden="1">
      <c r="A455" s="676">
        <f>SUBTOTAL(3,$E$8:E455)</f>
        <v>44</v>
      </c>
      <c r="B455" s="642">
        <v>43012</v>
      </c>
      <c r="C455" s="376" t="s">
        <v>1811</v>
      </c>
      <c r="D455" s="375" t="s">
        <v>2016</v>
      </c>
      <c r="E455" s="643" t="s">
        <v>1161</v>
      </c>
      <c r="F455" s="643" t="s">
        <v>1161</v>
      </c>
      <c r="G455" s="680"/>
      <c r="H455" s="643" t="s">
        <v>1795</v>
      </c>
      <c r="I455" s="643" t="s">
        <v>1212</v>
      </c>
      <c r="J455" s="645">
        <v>2400</v>
      </c>
      <c r="K455" s="646"/>
      <c r="L455" s="647">
        <f>L454+Table16[[#This Row],[المدين (إيداع)]]-Table16[[#This Row],[الدائن (السحب)]]</f>
        <v>3318.1699999999255</v>
      </c>
    </row>
    <row r="456" spans="1:12" ht="23.25" hidden="1">
      <c r="A456" s="676">
        <f>SUBTOTAL(3,$E$8:E456)</f>
        <v>44</v>
      </c>
      <c r="B456" s="642">
        <v>43012</v>
      </c>
      <c r="C456" s="643" t="s">
        <v>1800</v>
      </c>
      <c r="D456" s="644" t="s">
        <v>1829</v>
      </c>
      <c r="E456" s="643" t="s">
        <v>1161</v>
      </c>
      <c r="F456" s="643" t="s">
        <v>1161</v>
      </c>
      <c r="G456" s="680"/>
      <c r="H456" s="643" t="s">
        <v>1764</v>
      </c>
      <c r="I456" s="643" t="s">
        <v>1296</v>
      </c>
      <c r="J456" s="645">
        <v>10992</v>
      </c>
      <c r="K456" s="646"/>
      <c r="L456" s="647">
        <f>L455+Table16[[#This Row],[المدين (إيداع)]]-Table16[[#This Row],[الدائن (السحب)]]</f>
        <v>14310.169999999925</v>
      </c>
    </row>
    <row r="457" spans="1:12" ht="23.25" hidden="1">
      <c r="A457" s="676">
        <f>SUBTOTAL(3,$E$8:E457)</f>
        <v>44</v>
      </c>
      <c r="B457" s="642">
        <v>43013</v>
      </c>
      <c r="C457" s="376" t="s">
        <v>1800</v>
      </c>
      <c r="D457" s="375" t="s">
        <v>1952</v>
      </c>
      <c r="E457" s="376" t="s">
        <v>1219</v>
      </c>
      <c r="F457" s="643" t="s">
        <v>1161</v>
      </c>
      <c r="G457" s="680"/>
      <c r="H457" s="376" t="s">
        <v>1943</v>
      </c>
      <c r="I457" s="643" t="s">
        <v>1205</v>
      </c>
      <c r="J457" s="645">
        <v>83854</v>
      </c>
      <c r="K457" s="646"/>
      <c r="L457" s="647">
        <f>L456+Table16[[#This Row],[المدين (إيداع)]]-Table16[[#This Row],[الدائن (السحب)]]</f>
        <v>98164.169999999925</v>
      </c>
    </row>
    <row r="458" spans="1:12" ht="23.25" hidden="1">
      <c r="A458" s="676">
        <f>SUBTOTAL(3,$E$8:E458)</f>
        <v>44</v>
      </c>
      <c r="B458" s="642">
        <v>43013</v>
      </c>
      <c r="C458" s="376" t="s">
        <v>1800</v>
      </c>
      <c r="D458" s="375" t="s">
        <v>1927</v>
      </c>
      <c r="E458" s="643" t="s">
        <v>1164</v>
      </c>
      <c r="F458" s="643" t="s">
        <v>1165</v>
      </c>
      <c r="G458" s="680">
        <v>9864</v>
      </c>
      <c r="H458" s="376" t="s">
        <v>1912</v>
      </c>
      <c r="I458" s="376" t="s">
        <v>1911</v>
      </c>
      <c r="J458" s="645">
        <v>3600</v>
      </c>
      <c r="K458" s="646"/>
      <c r="L458" s="647">
        <f>L457+Table16[[#This Row],[المدين (إيداع)]]-Table16[[#This Row],[الدائن (السحب)]]</f>
        <v>101764.16999999993</v>
      </c>
    </row>
    <row r="459" spans="1:12" ht="23.25" hidden="1">
      <c r="A459" s="676">
        <f>SUBTOTAL(3,$E$8:E459)</f>
        <v>44</v>
      </c>
      <c r="B459" s="642">
        <v>43013</v>
      </c>
      <c r="C459" s="643"/>
      <c r="D459" s="375" t="s">
        <v>2064</v>
      </c>
      <c r="E459" s="643" t="s">
        <v>1164</v>
      </c>
      <c r="F459" s="643" t="s">
        <v>1165</v>
      </c>
      <c r="G459" s="680">
        <v>6053</v>
      </c>
      <c r="H459" s="376" t="s">
        <v>2029</v>
      </c>
      <c r="I459" s="376" t="s">
        <v>2025</v>
      </c>
      <c r="J459" s="645">
        <v>350</v>
      </c>
      <c r="K459" s="646"/>
      <c r="L459" s="647">
        <f>L458+Table16[[#This Row],[المدين (إيداع)]]-Table16[[#This Row],[الدائن (السحب)]]</f>
        <v>102114.16999999993</v>
      </c>
    </row>
    <row r="460" spans="1:12" ht="23.25" hidden="1">
      <c r="A460" s="676">
        <f>SUBTOTAL(3,$E$8:E460)</f>
        <v>44</v>
      </c>
      <c r="B460" s="642">
        <v>43013</v>
      </c>
      <c r="C460" s="376" t="s">
        <v>1800</v>
      </c>
      <c r="D460" s="375" t="s">
        <v>1829</v>
      </c>
      <c r="E460" s="643" t="s">
        <v>1164</v>
      </c>
      <c r="F460" s="643" t="s">
        <v>1165</v>
      </c>
      <c r="G460" s="680">
        <v>23802</v>
      </c>
      <c r="H460" s="376" t="s">
        <v>2097</v>
      </c>
      <c r="I460" s="376" t="s">
        <v>1296</v>
      </c>
      <c r="J460" s="645">
        <v>6000</v>
      </c>
      <c r="K460" s="646"/>
      <c r="L460" s="647">
        <f>L459+Table16[[#This Row],[المدين (إيداع)]]-Table16[[#This Row],[الدائن (السحب)]]</f>
        <v>108114.16999999993</v>
      </c>
    </row>
    <row r="461" spans="1:12" ht="23.25" hidden="1">
      <c r="A461" s="676">
        <f>SUBTOTAL(3,$E$8:E461)</f>
        <v>44</v>
      </c>
      <c r="B461" s="642">
        <v>43013</v>
      </c>
      <c r="C461" s="376" t="s">
        <v>1800</v>
      </c>
      <c r="D461" s="375" t="s">
        <v>1829</v>
      </c>
      <c r="E461" s="643" t="s">
        <v>1164</v>
      </c>
      <c r="F461" s="643" t="s">
        <v>1165</v>
      </c>
      <c r="G461" s="680">
        <v>4478</v>
      </c>
      <c r="H461" s="376" t="s">
        <v>1873</v>
      </c>
      <c r="I461" s="376" t="s">
        <v>1296</v>
      </c>
      <c r="J461" s="645">
        <v>2700</v>
      </c>
      <c r="K461" s="646"/>
      <c r="L461" s="647">
        <f>L460+Table16[[#This Row],[المدين (إيداع)]]-Table16[[#This Row],[الدائن (السحب)]]</f>
        <v>110814.16999999993</v>
      </c>
    </row>
    <row r="462" spans="1:12" ht="23.25" hidden="1">
      <c r="A462" s="676">
        <f>SUBTOTAL(3,$E$8:E462)</f>
        <v>44</v>
      </c>
      <c r="B462" s="642">
        <v>43013</v>
      </c>
      <c r="C462" s="376" t="s">
        <v>1800</v>
      </c>
      <c r="D462" s="375" t="s">
        <v>1829</v>
      </c>
      <c r="E462" s="643" t="s">
        <v>1164</v>
      </c>
      <c r="F462" s="643" t="s">
        <v>1165</v>
      </c>
      <c r="G462" s="680">
        <v>66519323</v>
      </c>
      <c r="H462" s="376" t="s">
        <v>1870</v>
      </c>
      <c r="I462" s="376" t="s">
        <v>1296</v>
      </c>
      <c r="J462" s="645">
        <v>16400</v>
      </c>
      <c r="K462" s="646"/>
      <c r="L462" s="647">
        <f>L461+Table16[[#This Row],[المدين (إيداع)]]-Table16[[#This Row],[الدائن (السحب)]]</f>
        <v>127214.16999999993</v>
      </c>
    </row>
    <row r="463" spans="1:12" ht="23.25" hidden="1">
      <c r="A463" s="676">
        <f>SUBTOTAL(3,$E$8:E463)</f>
        <v>44</v>
      </c>
      <c r="B463" s="642">
        <v>43016</v>
      </c>
      <c r="C463" s="643"/>
      <c r="D463" s="375" t="s">
        <v>2064</v>
      </c>
      <c r="E463" s="643" t="s">
        <v>1164</v>
      </c>
      <c r="F463" s="643" t="s">
        <v>1165</v>
      </c>
      <c r="G463" s="680">
        <v>4794</v>
      </c>
      <c r="H463" s="376" t="s">
        <v>2027</v>
      </c>
      <c r="I463" s="376" t="s">
        <v>2025</v>
      </c>
      <c r="J463" s="645">
        <v>27075</v>
      </c>
      <c r="K463" s="646"/>
      <c r="L463" s="647">
        <f>L462+Table16[[#This Row],[المدين (إيداع)]]-Table16[[#This Row],[الدائن (السحب)]]</f>
        <v>154289.16999999993</v>
      </c>
    </row>
    <row r="464" spans="1:12" ht="23.25" hidden="1">
      <c r="A464" s="676">
        <f>SUBTOTAL(3,$E$8:E464)</f>
        <v>44</v>
      </c>
      <c r="B464" s="642">
        <v>43016</v>
      </c>
      <c r="C464" s="376" t="s">
        <v>1811</v>
      </c>
      <c r="D464" s="375" t="s">
        <v>2016</v>
      </c>
      <c r="E464" s="643" t="s">
        <v>1161</v>
      </c>
      <c r="F464" s="643" t="s">
        <v>1161</v>
      </c>
      <c r="G464" s="680"/>
      <c r="H464" s="643" t="s">
        <v>1239</v>
      </c>
      <c r="I464" s="643" t="s">
        <v>1212</v>
      </c>
      <c r="J464" s="645">
        <v>600</v>
      </c>
      <c r="K464" s="646"/>
      <c r="L464" s="647">
        <f>L463+Table16[[#This Row],[المدين (إيداع)]]-Table16[[#This Row],[الدائن (السحب)]]</f>
        <v>154889.16999999993</v>
      </c>
    </row>
    <row r="465" spans="1:12" ht="23.25">
      <c r="A465" s="676">
        <f>SUBTOTAL(3,$E$8:E465)</f>
        <v>45</v>
      </c>
      <c r="B465" s="642">
        <v>43016</v>
      </c>
      <c r="C465" s="643"/>
      <c r="D465" s="644"/>
      <c r="E465" s="643" t="s">
        <v>1156</v>
      </c>
      <c r="F465" s="643" t="s">
        <v>1157</v>
      </c>
      <c r="G465" s="680"/>
      <c r="H465" s="643"/>
      <c r="I465" s="643"/>
      <c r="J465" s="645"/>
      <c r="K465" s="646">
        <v>25</v>
      </c>
      <c r="L465" s="647">
        <f>L464+Table16[[#This Row],[المدين (إيداع)]]-Table16[[#This Row],[الدائن (السحب)]]</f>
        <v>154864.16999999993</v>
      </c>
    </row>
    <row r="466" spans="1:12" ht="23.25" hidden="1">
      <c r="A466" s="676">
        <f>SUBTOTAL(3,$E$8:E466)</f>
        <v>45</v>
      </c>
      <c r="B466" s="642">
        <v>43017</v>
      </c>
      <c r="C466" s="643" t="s">
        <v>1800</v>
      </c>
      <c r="D466" s="644" t="s">
        <v>1796</v>
      </c>
      <c r="E466" s="643" t="s">
        <v>1152</v>
      </c>
      <c r="F466" s="643" t="s">
        <v>1152</v>
      </c>
      <c r="G466" s="680"/>
      <c r="H466" s="643" t="s">
        <v>1250</v>
      </c>
      <c r="I466" s="643" t="s">
        <v>1190</v>
      </c>
      <c r="J466" s="645">
        <v>100000</v>
      </c>
      <c r="K466" s="646"/>
      <c r="L466" s="647">
        <f>L465+Table16[[#This Row],[المدين (إيداع)]]-Table16[[#This Row],[الدائن (السحب)]]</f>
        <v>254864.16999999993</v>
      </c>
    </row>
    <row r="467" spans="1:12" ht="23.25" hidden="1">
      <c r="A467" s="676">
        <f>SUBTOTAL(3,$E$8:E467)</f>
        <v>45</v>
      </c>
      <c r="B467" s="642">
        <v>43017</v>
      </c>
      <c r="C467" s="376" t="s">
        <v>1800</v>
      </c>
      <c r="D467" s="375" t="s">
        <v>1896</v>
      </c>
      <c r="E467" s="376" t="s">
        <v>1208</v>
      </c>
      <c r="F467" s="643" t="s">
        <v>1161</v>
      </c>
      <c r="G467" s="680"/>
      <c r="H467" s="643" t="s">
        <v>1209</v>
      </c>
      <c r="I467" s="376" t="s">
        <v>1224</v>
      </c>
      <c r="J467" s="645">
        <v>8000</v>
      </c>
      <c r="K467" s="646"/>
      <c r="L467" s="647">
        <f>L466+Table16[[#This Row],[المدين (إيداع)]]-Table16[[#This Row],[الدائن (السحب)]]</f>
        <v>262864.16999999993</v>
      </c>
    </row>
    <row r="468" spans="1:12" ht="23.25" hidden="1">
      <c r="A468" s="676">
        <f>SUBTOTAL(3,$E$8:E468)</f>
        <v>45</v>
      </c>
      <c r="B468" s="642">
        <v>43017</v>
      </c>
      <c r="C468" s="376" t="s">
        <v>1800</v>
      </c>
      <c r="D468" s="375" t="s">
        <v>1829</v>
      </c>
      <c r="E468" s="376" t="s">
        <v>1243</v>
      </c>
      <c r="F468" s="643" t="s">
        <v>1161</v>
      </c>
      <c r="G468" s="680"/>
      <c r="H468" s="376" t="s">
        <v>1181</v>
      </c>
      <c r="I468" s="376" t="s">
        <v>1182</v>
      </c>
      <c r="J468" s="645">
        <v>47800</v>
      </c>
      <c r="K468" s="646"/>
      <c r="L468" s="647">
        <f>L467+Table16[[#This Row],[المدين (إيداع)]]-Table16[[#This Row],[الدائن (السحب)]]</f>
        <v>310664.16999999993</v>
      </c>
    </row>
    <row r="469" spans="1:12" ht="23.25" hidden="1">
      <c r="A469" s="676">
        <f>SUBTOTAL(3,$E$8:E469)</f>
        <v>45</v>
      </c>
      <c r="B469" s="642">
        <v>43017</v>
      </c>
      <c r="C469" s="376" t="s">
        <v>1800</v>
      </c>
      <c r="D469" s="375" t="s">
        <v>1935</v>
      </c>
      <c r="E469" s="376" t="s">
        <v>1254</v>
      </c>
      <c r="F469" s="643" t="s">
        <v>1161</v>
      </c>
      <c r="G469" s="680"/>
      <c r="H469" s="643" t="s">
        <v>1172</v>
      </c>
      <c r="I469" s="376" t="s">
        <v>1933</v>
      </c>
      <c r="J469" s="645">
        <v>2000</v>
      </c>
      <c r="K469" s="646"/>
      <c r="L469" s="647">
        <f>L468+Table16[[#This Row],[المدين (إيداع)]]-Table16[[#This Row],[الدائن (السحب)]]</f>
        <v>312664.16999999993</v>
      </c>
    </row>
    <row r="470" spans="1:12" ht="23.25" hidden="1">
      <c r="A470" s="676">
        <f>SUBTOTAL(3,$E$8:E470)</f>
        <v>45</v>
      </c>
      <c r="B470" s="642">
        <v>43018</v>
      </c>
      <c r="C470" s="376" t="s">
        <v>1800</v>
      </c>
      <c r="D470" s="375" t="s">
        <v>1829</v>
      </c>
      <c r="E470" s="376" t="s">
        <v>1243</v>
      </c>
      <c r="F470" s="643" t="s">
        <v>1161</v>
      </c>
      <c r="G470" s="680"/>
      <c r="H470" s="376" t="s">
        <v>1181</v>
      </c>
      <c r="I470" s="376" t="s">
        <v>1182</v>
      </c>
      <c r="J470" s="645">
        <v>6400</v>
      </c>
      <c r="K470" s="646"/>
      <c r="L470" s="647">
        <f>L469+Table16[[#This Row],[المدين (إيداع)]]-Table16[[#This Row],[الدائن (السحب)]]</f>
        <v>319064.16999999993</v>
      </c>
    </row>
    <row r="471" spans="1:12" ht="23.25" hidden="1">
      <c r="A471" s="676">
        <f>SUBTOTAL(3,$E$8:E471)</f>
        <v>45</v>
      </c>
      <c r="B471" s="642">
        <v>43018</v>
      </c>
      <c r="C471" s="376" t="s">
        <v>1800</v>
      </c>
      <c r="D471" s="375" t="s">
        <v>1829</v>
      </c>
      <c r="E471" s="376" t="s">
        <v>1243</v>
      </c>
      <c r="F471" s="643" t="s">
        <v>1161</v>
      </c>
      <c r="G471" s="680"/>
      <c r="H471" s="376" t="s">
        <v>1181</v>
      </c>
      <c r="I471" s="376" t="s">
        <v>1182</v>
      </c>
      <c r="J471" s="645">
        <v>16800</v>
      </c>
      <c r="K471" s="646"/>
      <c r="L471" s="647">
        <f>L470+Table16[[#This Row],[المدين (إيداع)]]-Table16[[#This Row],[الدائن (السحب)]]</f>
        <v>335864.16999999993</v>
      </c>
    </row>
    <row r="472" spans="1:12" ht="23.25" hidden="1">
      <c r="A472" s="676">
        <f>SUBTOTAL(3,$E$8:E472)</f>
        <v>45</v>
      </c>
      <c r="B472" s="642">
        <v>43019</v>
      </c>
      <c r="C472" s="376" t="s">
        <v>1800</v>
      </c>
      <c r="D472" s="375" t="s">
        <v>1932</v>
      </c>
      <c r="E472" s="376" t="s">
        <v>1195</v>
      </c>
      <c r="F472" s="643" t="s">
        <v>1161</v>
      </c>
      <c r="G472" s="680"/>
      <c r="H472" s="376" t="s">
        <v>1196</v>
      </c>
      <c r="I472" s="376" t="s">
        <v>1931</v>
      </c>
      <c r="J472" s="645">
        <v>6400</v>
      </c>
      <c r="K472" s="646"/>
      <c r="L472" s="647">
        <f>L471+Table16[[#This Row],[المدين (إيداع)]]-Table16[[#This Row],[الدائن (السحب)]]</f>
        <v>342264.16999999993</v>
      </c>
    </row>
    <row r="473" spans="1:12" ht="23.25" hidden="1">
      <c r="A473" s="676">
        <f>SUBTOTAL(3,$E$8:E473)</f>
        <v>45</v>
      </c>
      <c r="B473" s="642">
        <v>43020</v>
      </c>
      <c r="C473" s="376" t="s">
        <v>1800</v>
      </c>
      <c r="D473" s="375" t="s">
        <v>1878</v>
      </c>
      <c r="E473" s="643" t="s">
        <v>1169</v>
      </c>
      <c r="F473" s="643" t="s">
        <v>1169</v>
      </c>
      <c r="G473" s="680">
        <v>302</v>
      </c>
      <c r="H473" s="643" t="s">
        <v>992</v>
      </c>
      <c r="I473" s="376" t="s">
        <v>1206</v>
      </c>
      <c r="J473" s="645"/>
      <c r="K473" s="646">
        <v>180000</v>
      </c>
      <c r="L473" s="647">
        <f>L472+Table16[[#This Row],[المدين (إيداع)]]-Table16[[#This Row],[الدائن (السحب)]]</f>
        <v>162264.16999999993</v>
      </c>
    </row>
    <row r="474" spans="1:12" ht="23.25" hidden="1">
      <c r="A474" s="676">
        <f>SUBTOTAL(3,$E$8:E474)</f>
        <v>45</v>
      </c>
      <c r="B474" s="642">
        <v>43020</v>
      </c>
      <c r="C474" s="643" t="s">
        <v>1800</v>
      </c>
      <c r="D474" s="644" t="s">
        <v>1828</v>
      </c>
      <c r="E474" s="643" t="s">
        <v>1164</v>
      </c>
      <c r="F474" s="643" t="s">
        <v>1165</v>
      </c>
      <c r="G474" s="680">
        <v>68</v>
      </c>
      <c r="H474" s="643"/>
      <c r="I474" s="643" t="s">
        <v>1154</v>
      </c>
      <c r="J474" s="645">
        <v>900</v>
      </c>
      <c r="K474" s="646"/>
      <c r="L474" s="647">
        <f>L473+Table16[[#This Row],[المدين (إيداع)]]-Table16[[#This Row],[الدائن (السحب)]]</f>
        <v>163164.16999999993</v>
      </c>
    </row>
    <row r="475" spans="1:12" ht="23.25" hidden="1">
      <c r="A475" s="676">
        <f>SUBTOTAL(3,$E$8:E475)</f>
        <v>45</v>
      </c>
      <c r="B475" s="642">
        <v>43020</v>
      </c>
      <c r="C475" s="376" t="s">
        <v>1811</v>
      </c>
      <c r="D475" s="644" t="s">
        <v>1828</v>
      </c>
      <c r="E475" s="643" t="s">
        <v>1164</v>
      </c>
      <c r="F475" s="643" t="s">
        <v>1165</v>
      </c>
      <c r="G475" s="680">
        <v>918</v>
      </c>
      <c r="H475" s="643"/>
      <c r="I475" s="643" t="s">
        <v>1154</v>
      </c>
      <c r="J475" s="645">
        <v>2100</v>
      </c>
      <c r="K475" s="646"/>
      <c r="L475" s="647">
        <f>L474+Table16[[#This Row],[المدين (إيداع)]]-Table16[[#This Row],[الدائن (السحب)]]</f>
        <v>165264.16999999993</v>
      </c>
    </row>
    <row r="476" spans="1:12" ht="23.25" hidden="1">
      <c r="A476" s="676">
        <f>SUBTOTAL(3,$E$8:E476)</f>
        <v>45</v>
      </c>
      <c r="B476" s="642">
        <v>43020</v>
      </c>
      <c r="C476" s="376" t="s">
        <v>1811</v>
      </c>
      <c r="D476" s="644" t="s">
        <v>1828</v>
      </c>
      <c r="E476" s="643" t="s">
        <v>1164</v>
      </c>
      <c r="F476" s="643" t="s">
        <v>1165</v>
      </c>
      <c r="G476" s="680">
        <v>30352</v>
      </c>
      <c r="H476" s="643"/>
      <c r="I476" s="643" t="s">
        <v>1154</v>
      </c>
      <c r="J476" s="645">
        <v>750</v>
      </c>
      <c r="K476" s="646"/>
      <c r="L476" s="647">
        <f>L475+Table16[[#This Row],[المدين (إيداع)]]-Table16[[#This Row],[الدائن (السحب)]]</f>
        <v>166014.16999999993</v>
      </c>
    </row>
    <row r="477" spans="1:12" ht="23.25" hidden="1">
      <c r="A477" s="676">
        <f>SUBTOTAL(3,$E$8:E477)</f>
        <v>45</v>
      </c>
      <c r="B477" s="642">
        <v>43020</v>
      </c>
      <c r="C477" s="376" t="s">
        <v>1811</v>
      </c>
      <c r="D477" s="644" t="s">
        <v>1749</v>
      </c>
      <c r="E477" s="376" t="s">
        <v>1254</v>
      </c>
      <c r="F477" s="643" t="s">
        <v>1161</v>
      </c>
      <c r="G477" s="680"/>
      <c r="H477" s="643" t="s">
        <v>1172</v>
      </c>
      <c r="I477" s="643" t="s">
        <v>1154</v>
      </c>
      <c r="J477" s="645">
        <v>1800</v>
      </c>
      <c r="K477" s="646"/>
      <c r="L477" s="647">
        <f>L476+Table16[[#This Row],[المدين (إيداع)]]-Table16[[#This Row],[الدائن (السحب)]]</f>
        <v>167814.16999999993</v>
      </c>
    </row>
    <row r="478" spans="1:12" ht="23.25" hidden="1">
      <c r="A478" s="676">
        <f>SUBTOTAL(3,$E$8:E478)</f>
        <v>45</v>
      </c>
      <c r="B478" s="642">
        <v>43023</v>
      </c>
      <c r="C478" s="376" t="s">
        <v>1811</v>
      </c>
      <c r="D478" s="644" t="s">
        <v>1797</v>
      </c>
      <c r="E478" s="376" t="s">
        <v>1849</v>
      </c>
      <c r="F478" s="643" t="s">
        <v>1169</v>
      </c>
      <c r="G478" s="680">
        <v>293</v>
      </c>
      <c r="H478" s="643" t="s">
        <v>1242</v>
      </c>
      <c r="I478" s="376" t="s">
        <v>1844</v>
      </c>
      <c r="J478" s="645"/>
      <c r="K478" s="646">
        <v>72667</v>
      </c>
      <c r="L478" s="647">
        <f>L477+Table16[[#This Row],[المدين (إيداع)]]-Table16[[#This Row],[الدائن (السحب)]]</f>
        <v>95147.169999999925</v>
      </c>
    </row>
    <row r="479" spans="1:12" ht="23.25" hidden="1">
      <c r="A479" s="676">
        <f>SUBTOTAL(3,$E$8:E479)</f>
        <v>45</v>
      </c>
      <c r="B479" s="642">
        <v>43023</v>
      </c>
      <c r="C479" s="376" t="s">
        <v>1800</v>
      </c>
      <c r="D479" s="375" t="s">
        <v>1897</v>
      </c>
      <c r="E479" s="643" t="s">
        <v>1161</v>
      </c>
      <c r="F479" s="643" t="s">
        <v>1161</v>
      </c>
      <c r="G479" s="680"/>
      <c r="H479" s="643" t="s">
        <v>1798</v>
      </c>
      <c r="I479" s="376" t="s">
        <v>1224</v>
      </c>
      <c r="J479" s="645">
        <v>900</v>
      </c>
      <c r="K479" s="646"/>
      <c r="L479" s="647">
        <f>L478+Table16[[#This Row],[المدين (إيداع)]]-Table16[[#This Row],[الدائن (السحب)]]</f>
        <v>96047.169999999925</v>
      </c>
    </row>
    <row r="480" spans="1:12" ht="23.25" hidden="1">
      <c r="A480" s="676">
        <f>SUBTOTAL(3,$E$8:E480)</f>
        <v>45</v>
      </c>
      <c r="B480" s="642">
        <v>43023</v>
      </c>
      <c r="C480" s="376" t="s">
        <v>1800</v>
      </c>
      <c r="D480" s="375" t="s">
        <v>1897</v>
      </c>
      <c r="E480" s="643" t="s">
        <v>1161</v>
      </c>
      <c r="F480" s="643" t="s">
        <v>1161</v>
      </c>
      <c r="G480" s="680"/>
      <c r="H480" s="643" t="s">
        <v>1799</v>
      </c>
      <c r="I480" s="376" t="s">
        <v>1224</v>
      </c>
      <c r="J480" s="645">
        <v>900</v>
      </c>
      <c r="K480" s="646"/>
      <c r="L480" s="647">
        <f>L479+Table16[[#This Row],[المدين (إيداع)]]-Table16[[#This Row],[الدائن (السحب)]]</f>
        <v>96947.169999999925</v>
      </c>
    </row>
    <row r="481" spans="1:12" ht="23.25" hidden="1">
      <c r="A481" s="676">
        <f>SUBTOTAL(3,$E$8:E481)</f>
        <v>45</v>
      </c>
      <c r="B481" s="642">
        <v>43027</v>
      </c>
      <c r="C481" s="376" t="s">
        <v>1800</v>
      </c>
      <c r="D481" s="375" t="s">
        <v>2040</v>
      </c>
      <c r="E481" s="643" t="s">
        <v>1164</v>
      </c>
      <c r="F481" s="643" t="s">
        <v>1165</v>
      </c>
      <c r="G481" s="680">
        <v>535</v>
      </c>
      <c r="H481" s="376" t="s">
        <v>2035</v>
      </c>
      <c r="I481" s="376" t="s">
        <v>1899</v>
      </c>
      <c r="J481" s="645">
        <v>3000</v>
      </c>
      <c r="K481" s="646"/>
      <c r="L481" s="647">
        <f>L480+Table16[[#This Row],[المدين (إيداع)]]-Table16[[#This Row],[الدائن (السحب)]]</f>
        <v>99947.169999999925</v>
      </c>
    </row>
    <row r="482" spans="1:12" ht="23.25" hidden="1">
      <c r="A482" s="676">
        <f>SUBTOTAL(3,$E$8:E482)</f>
        <v>45</v>
      </c>
      <c r="B482" s="642">
        <v>43027</v>
      </c>
      <c r="C482" s="376" t="s">
        <v>1800</v>
      </c>
      <c r="D482" s="375" t="s">
        <v>2040</v>
      </c>
      <c r="E482" s="643" t="s">
        <v>1164</v>
      </c>
      <c r="F482" s="643" t="s">
        <v>1165</v>
      </c>
      <c r="G482" s="680">
        <v>5983</v>
      </c>
      <c r="H482" s="376" t="s">
        <v>2034</v>
      </c>
      <c r="I482" s="376" t="s">
        <v>1899</v>
      </c>
      <c r="J482" s="645">
        <v>4200</v>
      </c>
      <c r="K482" s="646"/>
      <c r="L482" s="647">
        <f>L481+Table16[[#This Row],[المدين (إيداع)]]-Table16[[#This Row],[الدائن (السحب)]]</f>
        <v>104147.16999999993</v>
      </c>
    </row>
    <row r="483" spans="1:12" ht="23.25" hidden="1">
      <c r="A483" s="676">
        <f>SUBTOTAL(3,$E$8:E483)</f>
        <v>45</v>
      </c>
      <c r="B483" s="642">
        <v>43027</v>
      </c>
      <c r="C483" s="376" t="s">
        <v>1800</v>
      </c>
      <c r="D483" s="375" t="s">
        <v>1829</v>
      </c>
      <c r="E483" s="643" t="s">
        <v>1164</v>
      </c>
      <c r="F483" s="643" t="s">
        <v>1165</v>
      </c>
      <c r="G483" s="680">
        <v>337</v>
      </c>
      <c r="H483" s="376" t="s">
        <v>2098</v>
      </c>
      <c r="I483" s="376" t="s">
        <v>1296</v>
      </c>
      <c r="J483" s="645">
        <v>8400</v>
      </c>
      <c r="K483" s="646"/>
      <c r="L483" s="647">
        <f>L482+Table16[[#This Row],[المدين (إيداع)]]-Table16[[#This Row],[الدائن (السحب)]]</f>
        <v>112547.16999999993</v>
      </c>
    </row>
    <row r="484" spans="1:12" ht="23.25" hidden="1">
      <c r="A484" s="676">
        <f>SUBTOTAL(3,$E$8:E484)</f>
        <v>45</v>
      </c>
      <c r="B484" s="642">
        <v>43027</v>
      </c>
      <c r="C484" s="643" t="s">
        <v>1800</v>
      </c>
      <c r="D484" s="644" t="s">
        <v>1827</v>
      </c>
      <c r="E484" s="643" t="s">
        <v>1164</v>
      </c>
      <c r="F484" s="643" t="s">
        <v>1165</v>
      </c>
      <c r="G484" s="680">
        <v>14</v>
      </c>
      <c r="H484" s="643" t="s">
        <v>1825</v>
      </c>
      <c r="I484" s="643" t="s">
        <v>1224</v>
      </c>
      <c r="J484" s="645">
        <v>2600</v>
      </c>
      <c r="K484" s="646"/>
      <c r="L484" s="647">
        <f>L483+Table16[[#This Row],[المدين (إيداع)]]-Table16[[#This Row],[الدائن (السحب)]]</f>
        <v>115147.16999999993</v>
      </c>
    </row>
    <row r="485" spans="1:12" ht="23.25" hidden="1">
      <c r="A485" s="676">
        <f>SUBTOTAL(3,$E$8:E485)</f>
        <v>45</v>
      </c>
      <c r="B485" s="642">
        <v>43027</v>
      </c>
      <c r="C485" s="643" t="s">
        <v>1800</v>
      </c>
      <c r="D485" s="644" t="s">
        <v>1827</v>
      </c>
      <c r="E485" s="643" t="s">
        <v>1164</v>
      </c>
      <c r="F485" s="643" t="s">
        <v>1165</v>
      </c>
      <c r="G485" s="680">
        <v>148</v>
      </c>
      <c r="H485" s="643" t="s">
        <v>1826</v>
      </c>
      <c r="I485" s="643" t="s">
        <v>1224</v>
      </c>
      <c r="J485" s="645">
        <v>750</v>
      </c>
      <c r="K485" s="646"/>
      <c r="L485" s="647">
        <f>L484+Table16[[#This Row],[المدين (إيداع)]]-Table16[[#This Row],[الدائن (السحب)]]</f>
        <v>115897.16999999993</v>
      </c>
    </row>
    <row r="486" spans="1:12" ht="23.25" hidden="1">
      <c r="A486" s="676">
        <f>SUBTOTAL(3,$E$8:E486)</f>
        <v>45</v>
      </c>
      <c r="B486" s="642">
        <v>43027</v>
      </c>
      <c r="C486" s="376" t="s">
        <v>1800</v>
      </c>
      <c r="D486" s="375" t="s">
        <v>1829</v>
      </c>
      <c r="E486" s="643" t="s">
        <v>1164</v>
      </c>
      <c r="F486" s="643" t="s">
        <v>1165</v>
      </c>
      <c r="G486" s="680">
        <v>66519344</v>
      </c>
      <c r="H486" s="376" t="s">
        <v>1870</v>
      </c>
      <c r="I486" s="376" t="s">
        <v>1783</v>
      </c>
      <c r="J486" s="645">
        <v>16400</v>
      </c>
      <c r="K486" s="646"/>
      <c r="L486" s="647">
        <f>L485+Table16[[#This Row],[المدين (إيداع)]]-Table16[[#This Row],[الدائن (السحب)]]</f>
        <v>132297.16999999993</v>
      </c>
    </row>
    <row r="487" spans="1:12" ht="23.25" hidden="1">
      <c r="A487" s="676">
        <f>SUBTOTAL(3,$E$8:E487)</f>
        <v>45</v>
      </c>
      <c r="B487" s="642">
        <v>43030</v>
      </c>
      <c r="C487" s="376" t="s">
        <v>1800</v>
      </c>
      <c r="D487" s="375" t="s">
        <v>2059</v>
      </c>
      <c r="E487" s="643" t="s">
        <v>1161</v>
      </c>
      <c r="F487" s="643" t="s">
        <v>1161</v>
      </c>
      <c r="G487" s="680"/>
      <c r="H487" s="643"/>
      <c r="I487" s="643" t="s">
        <v>1212</v>
      </c>
      <c r="J487" s="645">
        <v>285</v>
      </c>
      <c r="K487" s="646"/>
      <c r="L487" s="647">
        <f>L486+Table16[[#This Row],[المدين (إيداع)]]-Table16[[#This Row],[الدائن (السحب)]]</f>
        <v>132582.16999999993</v>
      </c>
    </row>
    <row r="488" spans="1:12" ht="23.25" hidden="1">
      <c r="A488" s="676">
        <f>SUBTOTAL(3,$E$8:E488)</f>
        <v>45</v>
      </c>
      <c r="B488" s="642">
        <v>43031</v>
      </c>
      <c r="C488" s="376" t="s">
        <v>1800</v>
      </c>
      <c r="D488" s="375" t="s">
        <v>2058</v>
      </c>
      <c r="E488" s="643" t="s">
        <v>1161</v>
      </c>
      <c r="F488" s="643" t="s">
        <v>1161</v>
      </c>
      <c r="G488" s="680"/>
      <c r="H488" s="376" t="s">
        <v>1804</v>
      </c>
      <c r="I488" s="643" t="s">
        <v>1212</v>
      </c>
      <c r="J488" s="645">
        <v>1650</v>
      </c>
      <c r="K488" s="646"/>
      <c r="L488" s="647">
        <f>L487+Table16[[#This Row],[المدين (إيداع)]]-Table16[[#This Row],[الدائن (السحب)]]</f>
        <v>134232.16999999993</v>
      </c>
    </row>
    <row r="489" spans="1:12" ht="23.25" hidden="1">
      <c r="A489" s="676">
        <f>SUBTOTAL(3,$E$8:E489)</f>
        <v>45</v>
      </c>
      <c r="B489" s="642">
        <v>43031</v>
      </c>
      <c r="C489" s="376" t="s">
        <v>1800</v>
      </c>
      <c r="D489" s="375" t="s">
        <v>2058</v>
      </c>
      <c r="E489" s="643" t="s">
        <v>1161</v>
      </c>
      <c r="F489" s="643" t="s">
        <v>1161</v>
      </c>
      <c r="G489" s="680"/>
      <c r="H489" s="376" t="s">
        <v>1804</v>
      </c>
      <c r="I489" s="643" t="s">
        <v>1212</v>
      </c>
      <c r="J489" s="645">
        <v>1200</v>
      </c>
      <c r="K489" s="646"/>
      <c r="L489" s="647">
        <f>L488+Table16[[#This Row],[المدين (إيداع)]]-Table16[[#This Row],[الدائن (السحب)]]</f>
        <v>135432.16999999993</v>
      </c>
    </row>
    <row r="490" spans="1:12" ht="23.25" hidden="1">
      <c r="A490" s="676">
        <f>SUBTOTAL(3,$E$8:E490)</f>
        <v>45</v>
      </c>
      <c r="B490" s="642">
        <v>43031</v>
      </c>
      <c r="C490" s="376" t="s">
        <v>1800</v>
      </c>
      <c r="D490" s="375" t="s">
        <v>1829</v>
      </c>
      <c r="E490" s="643" t="s">
        <v>1161</v>
      </c>
      <c r="F490" s="643" t="s">
        <v>1161</v>
      </c>
      <c r="G490" s="680"/>
      <c r="H490" s="376" t="s">
        <v>1778</v>
      </c>
      <c r="I490" s="376" t="s">
        <v>1296</v>
      </c>
      <c r="J490" s="645">
        <v>21000</v>
      </c>
      <c r="K490" s="646"/>
      <c r="L490" s="647">
        <f>L489+Table16[[#This Row],[المدين (إيداع)]]-Table16[[#This Row],[الدائن (السحب)]]</f>
        <v>156432.16999999993</v>
      </c>
    </row>
    <row r="491" spans="1:12" ht="23.25" hidden="1">
      <c r="A491" s="676">
        <f>SUBTOTAL(3,$E$8:E491)</f>
        <v>45</v>
      </c>
      <c r="B491" s="642">
        <v>43033</v>
      </c>
      <c r="C491" s="376" t="s">
        <v>1800</v>
      </c>
      <c r="D491" s="375" t="s">
        <v>1879</v>
      </c>
      <c r="E491" s="643" t="s">
        <v>1164</v>
      </c>
      <c r="F491" s="643" t="s">
        <v>1165</v>
      </c>
      <c r="G491" s="680">
        <v>356</v>
      </c>
      <c r="H491" s="376" t="s">
        <v>1153</v>
      </c>
      <c r="I491" s="376" t="s">
        <v>1154</v>
      </c>
      <c r="J491" s="645">
        <v>6000</v>
      </c>
      <c r="K491" s="646"/>
      <c r="L491" s="647">
        <f>L490+Table16[[#This Row],[المدين (إيداع)]]-Table16[[#This Row],[الدائن (السحب)]]</f>
        <v>162432.16999999993</v>
      </c>
    </row>
    <row r="492" spans="1:12" ht="23.25" hidden="1">
      <c r="A492" s="676">
        <f>SUBTOTAL(3,$E$8:E492)</f>
        <v>45</v>
      </c>
      <c r="B492" s="642">
        <v>43033</v>
      </c>
      <c r="C492" s="376" t="s">
        <v>1800</v>
      </c>
      <c r="D492" s="375" t="s">
        <v>1879</v>
      </c>
      <c r="E492" s="643" t="s">
        <v>1164</v>
      </c>
      <c r="F492" s="643" t="s">
        <v>1165</v>
      </c>
      <c r="G492" s="680">
        <v>1431</v>
      </c>
      <c r="H492" s="376" t="s">
        <v>1153</v>
      </c>
      <c r="I492" s="376" t="s">
        <v>1154</v>
      </c>
      <c r="J492" s="645">
        <v>3000</v>
      </c>
      <c r="K492" s="646"/>
      <c r="L492" s="647">
        <f>L491+Table16[[#This Row],[المدين (إيداع)]]-Table16[[#This Row],[الدائن (السحب)]]</f>
        <v>165432.16999999993</v>
      </c>
    </row>
    <row r="493" spans="1:12" ht="23.25" hidden="1">
      <c r="A493" s="676">
        <f>SUBTOTAL(3,$E$8:E493)</f>
        <v>45</v>
      </c>
      <c r="B493" s="642">
        <v>43034</v>
      </c>
      <c r="C493" s="376" t="s">
        <v>1800</v>
      </c>
      <c r="D493" s="375" t="s">
        <v>1829</v>
      </c>
      <c r="E493" s="643" t="s">
        <v>1161</v>
      </c>
      <c r="F493" s="643" t="s">
        <v>1161</v>
      </c>
      <c r="G493" s="680"/>
      <c r="H493" s="643" t="s">
        <v>1736</v>
      </c>
      <c r="I493" s="376" t="s">
        <v>1296</v>
      </c>
      <c r="J493" s="645">
        <v>12000</v>
      </c>
      <c r="K493" s="646"/>
      <c r="L493" s="647">
        <f>L492+Table16[[#This Row],[المدين (إيداع)]]-Table16[[#This Row],[الدائن (السحب)]]</f>
        <v>177432.16999999993</v>
      </c>
    </row>
    <row r="494" spans="1:12" ht="23.25" hidden="1">
      <c r="A494" s="676">
        <f>SUBTOTAL(3,$E$8:E494)</f>
        <v>45</v>
      </c>
      <c r="B494" s="642">
        <v>43038</v>
      </c>
      <c r="C494" s="376" t="s">
        <v>1800</v>
      </c>
      <c r="D494" s="375" t="s">
        <v>1879</v>
      </c>
      <c r="E494" s="643" t="s">
        <v>1164</v>
      </c>
      <c r="F494" s="643" t="s">
        <v>1165</v>
      </c>
      <c r="G494" s="680">
        <v>993320</v>
      </c>
      <c r="H494" s="376" t="s">
        <v>1153</v>
      </c>
      <c r="I494" s="376" t="s">
        <v>1154</v>
      </c>
      <c r="J494" s="645">
        <v>3300</v>
      </c>
      <c r="K494" s="646"/>
      <c r="L494" s="647">
        <f>L493+Table16[[#This Row],[المدين (إيداع)]]-Table16[[#This Row],[الدائن (السحب)]]</f>
        <v>180732.16999999993</v>
      </c>
    </row>
    <row r="495" spans="1:12" ht="23.25" hidden="1">
      <c r="A495" s="676">
        <f>SUBTOTAL(3,$E$8:E495)</f>
        <v>45</v>
      </c>
      <c r="B495" s="642">
        <v>43039</v>
      </c>
      <c r="C495" s="643"/>
      <c r="D495" s="375" t="s">
        <v>2071</v>
      </c>
      <c r="E495" s="643" t="s">
        <v>1161</v>
      </c>
      <c r="F495" s="643" t="s">
        <v>1161</v>
      </c>
      <c r="G495" s="680"/>
      <c r="H495" s="376" t="s">
        <v>2069</v>
      </c>
      <c r="I495" s="376" t="s">
        <v>1154</v>
      </c>
      <c r="J495" s="645">
        <v>4400</v>
      </c>
      <c r="K495" s="646"/>
      <c r="L495" s="647">
        <f>L494+Table16[[#This Row],[المدين (إيداع)]]-Table16[[#This Row],[الدائن (السحب)]]</f>
        <v>185132.16999999993</v>
      </c>
    </row>
    <row r="496" spans="1:12" ht="23.25" hidden="1">
      <c r="A496" s="676">
        <f>SUBTOTAL(3,$E$8:E496)</f>
        <v>45</v>
      </c>
      <c r="B496" s="642">
        <v>43039</v>
      </c>
      <c r="C496" s="376" t="s">
        <v>1800</v>
      </c>
      <c r="D496" s="375" t="s">
        <v>1932</v>
      </c>
      <c r="E496" s="643" t="s">
        <v>1161</v>
      </c>
      <c r="F496" s="643" t="s">
        <v>1161</v>
      </c>
      <c r="G496" s="680"/>
      <c r="H496" s="643" t="s">
        <v>1830</v>
      </c>
      <c r="I496" s="376" t="s">
        <v>1931</v>
      </c>
      <c r="J496" s="645">
        <v>1200</v>
      </c>
      <c r="K496" s="646"/>
      <c r="L496" s="647">
        <f>L495+Table16[[#This Row],[المدين (إيداع)]]-Table16[[#This Row],[الدائن (السحب)]]</f>
        <v>186332.16999999993</v>
      </c>
    </row>
    <row r="497" spans="1:12" ht="23.25">
      <c r="A497" s="676">
        <f>SUBTOTAL(3,$E$8:E497)</f>
        <v>46</v>
      </c>
      <c r="B497" s="642">
        <v>43040</v>
      </c>
      <c r="C497" s="643"/>
      <c r="D497" s="644"/>
      <c r="E497" s="643" t="s">
        <v>1161</v>
      </c>
      <c r="F497" s="643" t="s">
        <v>1161</v>
      </c>
      <c r="G497" s="680"/>
      <c r="H497" s="643" t="s">
        <v>1785</v>
      </c>
      <c r="I497" s="643"/>
      <c r="J497" s="645">
        <v>2000</v>
      </c>
      <c r="K497" s="646"/>
      <c r="L497" s="647">
        <f>L496+Table16[[#This Row],[المدين (إيداع)]]-Table16[[#This Row],[الدائن (السحب)]]</f>
        <v>188332.16999999993</v>
      </c>
    </row>
    <row r="498" spans="1:12" ht="23.25" hidden="1">
      <c r="A498" s="676">
        <f>SUBTOTAL(3,$E$8:E498)</f>
        <v>46</v>
      </c>
      <c r="B498" s="642">
        <v>43041</v>
      </c>
      <c r="C498" s="376" t="s">
        <v>1800</v>
      </c>
      <c r="D498" s="375" t="s">
        <v>1829</v>
      </c>
      <c r="E498" s="376" t="s">
        <v>1164</v>
      </c>
      <c r="F498" s="376" t="s">
        <v>1165</v>
      </c>
      <c r="G498" s="680">
        <v>3681</v>
      </c>
      <c r="H498" s="376" t="s">
        <v>1867</v>
      </c>
      <c r="I498" s="376" t="s">
        <v>1868</v>
      </c>
      <c r="J498" s="645">
        <v>24000</v>
      </c>
      <c r="K498" s="646"/>
      <c r="L498" s="647">
        <f>L497+Table16[[#This Row],[المدين (إيداع)]]-Table16[[#This Row],[الدائن (السحب)]]</f>
        <v>212332.16999999993</v>
      </c>
    </row>
    <row r="499" spans="1:12" ht="23.25">
      <c r="A499" s="676">
        <f>SUBTOTAL(3,$E$8:E499)</f>
        <v>47</v>
      </c>
      <c r="B499" s="642">
        <v>43041</v>
      </c>
      <c r="C499" s="643"/>
      <c r="D499" s="644"/>
      <c r="E499" s="376" t="s">
        <v>1164</v>
      </c>
      <c r="F499" s="376" t="s">
        <v>1165</v>
      </c>
      <c r="G499" s="680">
        <v>1722</v>
      </c>
      <c r="H499" s="643"/>
      <c r="I499" s="376" t="s">
        <v>2044</v>
      </c>
      <c r="J499" s="645">
        <v>4200</v>
      </c>
      <c r="K499" s="646"/>
      <c r="L499" s="647">
        <f>L498+Table16[[#This Row],[المدين (إيداع)]]-Table16[[#This Row],[الدائن (السحب)]]</f>
        <v>216532.16999999993</v>
      </c>
    </row>
    <row r="500" spans="1:12" ht="23.25">
      <c r="A500" s="676">
        <f>SUBTOTAL(3,$E$8:E500)</f>
        <v>48</v>
      </c>
      <c r="B500" s="642">
        <v>43041</v>
      </c>
      <c r="C500" s="643"/>
      <c r="D500" s="644"/>
      <c r="E500" s="376" t="s">
        <v>1164</v>
      </c>
      <c r="F500" s="376" t="s">
        <v>1165</v>
      </c>
      <c r="G500" s="680">
        <v>1012</v>
      </c>
      <c r="H500" s="643"/>
      <c r="I500" s="643"/>
      <c r="J500" s="645">
        <v>3000</v>
      </c>
      <c r="K500" s="646"/>
      <c r="L500" s="647">
        <f>L499+Table16[[#This Row],[المدين (إيداع)]]-Table16[[#This Row],[الدائن (السحب)]]</f>
        <v>219532.16999999993</v>
      </c>
    </row>
    <row r="501" spans="1:12" ht="23.25" hidden="1">
      <c r="A501" s="676">
        <f>SUBTOTAL(3,$E$8:E501)</f>
        <v>48</v>
      </c>
      <c r="B501" s="642">
        <v>43041</v>
      </c>
      <c r="C501" s="376" t="s">
        <v>1800</v>
      </c>
      <c r="D501" s="375" t="s">
        <v>1829</v>
      </c>
      <c r="E501" s="376" t="s">
        <v>1243</v>
      </c>
      <c r="F501" s="376" t="s">
        <v>1161</v>
      </c>
      <c r="G501" s="680"/>
      <c r="H501" s="376" t="s">
        <v>1181</v>
      </c>
      <c r="I501" s="376" t="s">
        <v>1182</v>
      </c>
      <c r="J501" s="645">
        <v>49200</v>
      </c>
      <c r="K501" s="646"/>
      <c r="L501" s="647">
        <f>L500+Table16[[#This Row],[المدين (إيداع)]]-Table16[[#This Row],[الدائن (السحب)]]</f>
        <v>268732.16999999993</v>
      </c>
    </row>
    <row r="502" spans="1:12" ht="23.25" hidden="1">
      <c r="A502" s="676">
        <f>SUBTOTAL(3,$E$8:E502)</f>
        <v>48</v>
      </c>
      <c r="B502" s="642">
        <v>43041</v>
      </c>
      <c r="C502" s="376" t="s">
        <v>1800</v>
      </c>
      <c r="D502" s="375" t="s">
        <v>1930</v>
      </c>
      <c r="E502" s="376" t="s">
        <v>1156</v>
      </c>
      <c r="F502" s="376" t="s">
        <v>1157</v>
      </c>
      <c r="G502" s="680"/>
      <c r="H502" s="376" t="s">
        <v>1158</v>
      </c>
      <c r="I502" s="376" t="s">
        <v>1157</v>
      </c>
      <c r="J502" s="645"/>
      <c r="K502" s="646">
        <v>25</v>
      </c>
      <c r="L502" s="647">
        <f>L501+Table16[[#This Row],[المدين (إيداع)]]-Table16[[#This Row],[الدائن (السحب)]]</f>
        <v>268707.16999999993</v>
      </c>
    </row>
    <row r="503" spans="1:12" ht="23.25" hidden="1">
      <c r="A503" s="676">
        <f>SUBTOTAL(3,$E$8:E503)</f>
        <v>48</v>
      </c>
      <c r="B503" s="642">
        <v>43044</v>
      </c>
      <c r="C503" s="643"/>
      <c r="D503" s="375" t="s">
        <v>2071</v>
      </c>
      <c r="E503" s="376" t="s">
        <v>1839</v>
      </c>
      <c r="F503" s="376" t="s">
        <v>1161</v>
      </c>
      <c r="G503" s="680"/>
      <c r="H503" s="376" t="s">
        <v>2067</v>
      </c>
      <c r="I503" s="376" t="s">
        <v>1154</v>
      </c>
      <c r="J503" s="645">
        <v>300</v>
      </c>
      <c r="K503" s="646"/>
      <c r="L503" s="647">
        <f>L502+Table16[[#This Row],[المدين (إيداع)]]-Table16[[#This Row],[الدائن (السحب)]]</f>
        <v>269007.16999999993</v>
      </c>
    </row>
    <row r="504" spans="1:12" ht="23.25" hidden="1">
      <c r="A504" s="676">
        <f>SUBTOTAL(3,$E$8:E504)</f>
        <v>48</v>
      </c>
      <c r="B504" s="642">
        <v>43044</v>
      </c>
      <c r="C504" s="376" t="s">
        <v>1800</v>
      </c>
      <c r="D504" s="375" t="s">
        <v>1890</v>
      </c>
      <c r="E504" s="376" t="s">
        <v>1161</v>
      </c>
      <c r="F504" s="376" t="s">
        <v>1161</v>
      </c>
      <c r="G504" s="680"/>
      <c r="H504" s="376" t="s">
        <v>1176</v>
      </c>
      <c r="I504" s="376" t="s">
        <v>1296</v>
      </c>
      <c r="J504" s="645">
        <v>7000</v>
      </c>
      <c r="K504" s="646"/>
      <c r="L504" s="647">
        <f>L503+Table16[[#This Row],[المدين (إيداع)]]-Table16[[#This Row],[الدائن (السحب)]]</f>
        <v>276007.16999999993</v>
      </c>
    </row>
    <row r="505" spans="1:12" ht="23.25" hidden="1">
      <c r="A505" s="676">
        <f>SUBTOTAL(3,$E$8:E505)</f>
        <v>48</v>
      </c>
      <c r="B505" s="642">
        <v>43045</v>
      </c>
      <c r="C505" s="376" t="s">
        <v>1800</v>
      </c>
      <c r="D505" s="375" t="s">
        <v>1829</v>
      </c>
      <c r="E505" s="376" t="s">
        <v>1164</v>
      </c>
      <c r="F505" s="376" t="s">
        <v>1165</v>
      </c>
      <c r="G505" s="680">
        <v>347</v>
      </c>
      <c r="H505" s="376" t="s">
        <v>1871</v>
      </c>
      <c r="I505" s="376" t="s">
        <v>1296</v>
      </c>
      <c r="J505" s="645">
        <v>1950</v>
      </c>
      <c r="K505" s="646"/>
      <c r="L505" s="647">
        <f>L504+Table16[[#This Row],[المدين (إيداع)]]-Table16[[#This Row],[الدائن (السحب)]]</f>
        <v>277957.16999999993</v>
      </c>
    </row>
    <row r="506" spans="1:12" ht="23.25" hidden="1">
      <c r="A506" s="676">
        <f>SUBTOTAL(3,$E$8:E506)</f>
        <v>48</v>
      </c>
      <c r="B506" s="642">
        <v>43045</v>
      </c>
      <c r="C506" s="376" t="s">
        <v>1800</v>
      </c>
      <c r="D506" s="375" t="s">
        <v>1831</v>
      </c>
      <c r="E506" s="376" t="s">
        <v>1169</v>
      </c>
      <c r="F506" s="376" t="s">
        <v>1169</v>
      </c>
      <c r="G506" s="680">
        <v>357</v>
      </c>
      <c r="H506" s="376" t="s">
        <v>1179</v>
      </c>
      <c r="I506" s="643"/>
      <c r="J506" s="645"/>
      <c r="K506" s="646">
        <v>102272</v>
      </c>
      <c r="L506" s="647">
        <f>L505+Table16[[#This Row],[المدين (إيداع)]]-Table16[[#This Row],[الدائن (السحب)]]</f>
        <v>175685.16999999993</v>
      </c>
    </row>
    <row r="507" spans="1:12" ht="23.25" hidden="1">
      <c r="A507" s="676">
        <f>SUBTOTAL(3,$E$8:E507)</f>
        <v>48</v>
      </c>
      <c r="B507" s="642">
        <v>43048</v>
      </c>
      <c r="C507" s="643"/>
      <c r="D507" s="375" t="s">
        <v>2048</v>
      </c>
      <c r="E507" s="376" t="s">
        <v>1737</v>
      </c>
      <c r="F507" s="376" t="s">
        <v>1737</v>
      </c>
      <c r="G507" s="680">
        <v>1211</v>
      </c>
      <c r="H507" s="643"/>
      <c r="I507" s="643"/>
      <c r="J507" s="645"/>
      <c r="K507" s="646">
        <v>3600</v>
      </c>
      <c r="L507" s="647">
        <f>L506+Table16[[#This Row],[المدين (إيداع)]]-Table16[[#This Row],[الدائن (السحب)]]</f>
        <v>172085.16999999993</v>
      </c>
    </row>
    <row r="508" spans="1:12" ht="23.25" hidden="1">
      <c r="A508" s="676">
        <f>SUBTOTAL(3,$E$8:E508)</f>
        <v>48</v>
      </c>
      <c r="B508" s="642">
        <v>43048</v>
      </c>
      <c r="C508" s="643"/>
      <c r="D508" s="375" t="s">
        <v>2048</v>
      </c>
      <c r="E508" s="376" t="s">
        <v>1164</v>
      </c>
      <c r="F508" s="376" t="s">
        <v>1165</v>
      </c>
      <c r="G508" s="680">
        <v>1211</v>
      </c>
      <c r="H508" s="643"/>
      <c r="I508" s="643"/>
      <c r="J508" s="645">
        <v>3600</v>
      </c>
      <c r="K508" s="646"/>
      <c r="L508" s="647">
        <f>L507+Table16[[#This Row],[المدين (إيداع)]]-Table16[[#This Row],[الدائن (السحب)]]</f>
        <v>175685.16999999993</v>
      </c>
    </row>
    <row r="509" spans="1:12" ht="23.25" hidden="1">
      <c r="A509" s="676">
        <f>SUBTOTAL(3,$E$8:E509)</f>
        <v>48</v>
      </c>
      <c r="B509" s="642">
        <v>43049</v>
      </c>
      <c r="C509" s="376" t="s">
        <v>1800</v>
      </c>
      <c r="D509" s="375" t="s">
        <v>1893</v>
      </c>
      <c r="E509" s="376" t="s">
        <v>1164</v>
      </c>
      <c r="F509" s="376" t="s">
        <v>1165</v>
      </c>
      <c r="G509" s="680">
        <v>109</v>
      </c>
      <c r="H509" s="376" t="s">
        <v>1153</v>
      </c>
      <c r="I509" s="376" t="s">
        <v>1154</v>
      </c>
      <c r="J509" s="645">
        <v>900</v>
      </c>
      <c r="K509" s="646"/>
      <c r="L509" s="647">
        <f>L508+Table16[[#This Row],[المدين (إيداع)]]-Table16[[#This Row],[الدائن (السحب)]]</f>
        <v>176585.16999999993</v>
      </c>
    </row>
    <row r="510" spans="1:12" ht="23.25" hidden="1">
      <c r="A510" s="676">
        <f>SUBTOTAL(3,$E$8:E510)</f>
        <v>48</v>
      </c>
      <c r="B510" s="642">
        <v>43049</v>
      </c>
      <c r="C510" s="376" t="s">
        <v>1800</v>
      </c>
      <c r="D510" s="375" t="s">
        <v>1829</v>
      </c>
      <c r="E510" s="376" t="s">
        <v>1164</v>
      </c>
      <c r="F510" s="376" t="s">
        <v>1165</v>
      </c>
      <c r="G510" s="680">
        <v>3788</v>
      </c>
      <c r="H510" s="376" t="s">
        <v>2101</v>
      </c>
      <c r="I510" s="376" t="s">
        <v>1783</v>
      </c>
      <c r="J510" s="645">
        <v>9450</v>
      </c>
      <c r="K510" s="646"/>
      <c r="L510" s="647">
        <f>L509+Table16[[#This Row],[المدين (إيداع)]]-Table16[[#This Row],[الدائن (السحب)]]</f>
        <v>186035.16999999993</v>
      </c>
    </row>
    <row r="511" spans="1:12" ht="23.25" hidden="1">
      <c r="A511" s="676">
        <f>SUBTOTAL(3,$E$8:E511)</f>
        <v>48</v>
      </c>
      <c r="B511" s="642">
        <v>43049</v>
      </c>
      <c r="C511" s="376" t="s">
        <v>1800</v>
      </c>
      <c r="D511" s="375" t="s">
        <v>1829</v>
      </c>
      <c r="E511" s="376" t="s">
        <v>1164</v>
      </c>
      <c r="F511" s="376" t="s">
        <v>1165</v>
      </c>
      <c r="G511" s="680">
        <v>93</v>
      </c>
      <c r="H511" s="376" t="s">
        <v>2100</v>
      </c>
      <c r="I511" s="376" t="s">
        <v>1296</v>
      </c>
      <c r="J511" s="645">
        <v>6000</v>
      </c>
      <c r="K511" s="646"/>
      <c r="L511" s="647">
        <f>L510+Table16[[#This Row],[المدين (إيداع)]]-Table16[[#This Row],[الدائن (السحب)]]</f>
        <v>192035.16999999993</v>
      </c>
    </row>
    <row r="512" spans="1:12" ht="23.25" hidden="1">
      <c r="A512" s="676">
        <f>SUBTOTAL(3,$E$8:E512)</f>
        <v>48</v>
      </c>
      <c r="B512" s="642">
        <v>43049</v>
      </c>
      <c r="C512" s="376" t="s">
        <v>1800</v>
      </c>
      <c r="D512" s="375" t="s">
        <v>2040</v>
      </c>
      <c r="E512" s="376" t="s">
        <v>1164</v>
      </c>
      <c r="F512" s="376" t="s">
        <v>1165</v>
      </c>
      <c r="G512" s="680">
        <v>302</v>
      </c>
      <c r="H512" s="376" t="s">
        <v>2033</v>
      </c>
      <c r="I512" s="376" t="s">
        <v>1899</v>
      </c>
      <c r="J512" s="645">
        <v>3600</v>
      </c>
      <c r="K512" s="646"/>
      <c r="L512" s="647">
        <f>L511+Table16[[#This Row],[المدين (إيداع)]]-Table16[[#This Row],[الدائن (السحب)]]</f>
        <v>195635.16999999993</v>
      </c>
    </row>
    <row r="513" spans="1:12" ht="23.25" hidden="1">
      <c r="A513" s="676">
        <f>SUBTOTAL(3,$E$8:E513)</f>
        <v>48</v>
      </c>
      <c r="B513" s="642">
        <v>43049</v>
      </c>
      <c r="C513" s="376" t="s">
        <v>1800</v>
      </c>
      <c r="D513" s="375" t="s">
        <v>1774</v>
      </c>
      <c r="E513" s="376" t="s">
        <v>1164</v>
      </c>
      <c r="F513" s="376" t="s">
        <v>1165</v>
      </c>
      <c r="G513" s="680">
        <v>4618</v>
      </c>
      <c r="H513" s="376" t="s">
        <v>1880</v>
      </c>
      <c r="I513" s="376" t="s">
        <v>1224</v>
      </c>
      <c r="J513" s="645">
        <v>900</v>
      </c>
      <c r="K513" s="646"/>
      <c r="L513" s="647">
        <f>L512+Table16[[#This Row],[المدين (إيداع)]]-Table16[[#This Row],[الدائن (السحب)]]</f>
        <v>196535.16999999993</v>
      </c>
    </row>
    <row r="514" spans="1:12" ht="23.25" hidden="1">
      <c r="A514" s="676">
        <f>SUBTOTAL(3,$E$8:E514)</f>
        <v>48</v>
      </c>
      <c r="B514" s="642">
        <v>43049</v>
      </c>
      <c r="C514" s="376" t="s">
        <v>1800</v>
      </c>
      <c r="D514" s="375" t="s">
        <v>1829</v>
      </c>
      <c r="E514" s="376" t="s">
        <v>1164</v>
      </c>
      <c r="F514" s="376" t="s">
        <v>1165</v>
      </c>
      <c r="G514" s="680">
        <v>66519366</v>
      </c>
      <c r="H514" s="376" t="s">
        <v>1870</v>
      </c>
      <c r="I514" s="376" t="s">
        <v>1296</v>
      </c>
      <c r="J514" s="645">
        <v>16400</v>
      </c>
      <c r="K514" s="646"/>
      <c r="L514" s="647">
        <f>L513+Table16[[#This Row],[المدين (إيداع)]]-Table16[[#This Row],[الدائن (السحب)]]</f>
        <v>212935.16999999993</v>
      </c>
    </row>
    <row r="515" spans="1:12" ht="23.25" hidden="1">
      <c r="A515" s="676">
        <f>SUBTOTAL(3,$E$8:E515)</f>
        <v>48</v>
      </c>
      <c r="B515" s="642">
        <v>43050</v>
      </c>
      <c r="C515" s="376" t="s">
        <v>1811</v>
      </c>
      <c r="D515" s="375" t="s">
        <v>2012</v>
      </c>
      <c r="E515" s="376" t="s">
        <v>1161</v>
      </c>
      <c r="F515" s="376" t="s">
        <v>1161</v>
      </c>
      <c r="G515" s="680"/>
      <c r="H515" s="376" t="s">
        <v>1171</v>
      </c>
      <c r="I515" s="376" t="s">
        <v>1212</v>
      </c>
      <c r="J515" s="645">
        <v>300</v>
      </c>
      <c r="K515" s="646"/>
      <c r="L515" s="647">
        <f>L514+Table16[[#This Row],[المدين (إيداع)]]-Table16[[#This Row],[الدائن (السحب)]]</f>
        <v>213235.16999999993</v>
      </c>
    </row>
    <row r="516" spans="1:12" ht="23.25" hidden="1">
      <c r="A516" s="676">
        <f>SUBTOTAL(3,$E$8:E516)</f>
        <v>48</v>
      </c>
      <c r="B516" s="642">
        <v>43051</v>
      </c>
      <c r="C516" s="376" t="s">
        <v>1800</v>
      </c>
      <c r="D516" s="375" t="s">
        <v>1888</v>
      </c>
      <c r="E516" s="376" t="s">
        <v>1249</v>
      </c>
      <c r="F516" s="376" t="s">
        <v>1152</v>
      </c>
      <c r="G516" s="680"/>
      <c r="H516" s="376" t="s">
        <v>1250</v>
      </c>
      <c r="I516" s="376" t="s">
        <v>1190</v>
      </c>
      <c r="J516" s="645">
        <v>50000</v>
      </c>
      <c r="K516" s="646"/>
      <c r="L516" s="647">
        <f>L515+Table16[[#This Row],[المدين (إيداع)]]-Table16[[#This Row],[الدائن (السحب)]]</f>
        <v>263235.16999999993</v>
      </c>
    </row>
    <row r="517" spans="1:12" ht="23.25" hidden="1">
      <c r="A517" s="676">
        <f>SUBTOTAL(3,$E$8:E517)</f>
        <v>48</v>
      </c>
      <c r="B517" s="642">
        <v>43051</v>
      </c>
      <c r="C517" s="643"/>
      <c r="D517" s="375" t="s">
        <v>1723</v>
      </c>
      <c r="E517" s="376" t="s">
        <v>1164</v>
      </c>
      <c r="F517" s="376" t="s">
        <v>1165</v>
      </c>
      <c r="G517" s="680">
        <v>1756</v>
      </c>
      <c r="H517" s="376" t="s">
        <v>2043</v>
      </c>
      <c r="I517" s="376" t="s">
        <v>2044</v>
      </c>
      <c r="J517" s="645">
        <v>2100</v>
      </c>
      <c r="K517" s="646"/>
      <c r="L517" s="647">
        <f>L516+Table16[[#This Row],[المدين (إيداع)]]-Table16[[#This Row],[الدائن (السحب)]]</f>
        <v>265335.16999999993</v>
      </c>
    </row>
    <row r="518" spans="1:12" ht="23.25" hidden="1">
      <c r="A518" s="676">
        <f>SUBTOTAL(3,$E$8:E518)</f>
        <v>48</v>
      </c>
      <c r="B518" s="642">
        <v>43051</v>
      </c>
      <c r="C518" s="376" t="s">
        <v>1800</v>
      </c>
      <c r="D518" s="375" t="s">
        <v>1935</v>
      </c>
      <c r="E518" s="376" t="s">
        <v>1195</v>
      </c>
      <c r="F518" s="376" t="s">
        <v>1161</v>
      </c>
      <c r="G518" s="680"/>
      <c r="H518" s="376" t="s">
        <v>1196</v>
      </c>
      <c r="I518" s="376" t="s">
        <v>1933</v>
      </c>
      <c r="J518" s="645">
        <v>3200</v>
      </c>
      <c r="K518" s="646"/>
      <c r="L518" s="647">
        <f>L517+Table16[[#This Row],[المدين (إيداع)]]-Table16[[#This Row],[الدائن (السحب)]]</f>
        <v>268535.16999999993</v>
      </c>
    </row>
    <row r="519" spans="1:12" ht="23.25">
      <c r="A519" s="676">
        <f>SUBTOTAL(3,$E$8:E519)</f>
        <v>49</v>
      </c>
      <c r="B519" s="642">
        <v>43052</v>
      </c>
      <c r="C519" s="643"/>
      <c r="D519" s="644"/>
      <c r="E519" s="376" t="s">
        <v>1216</v>
      </c>
      <c r="F519" s="376" t="s">
        <v>1216</v>
      </c>
      <c r="G519" s="678" t="s">
        <v>1832</v>
      </c>
      <c r="H519" s="376" t="s">
        <v>1158</v>
      </c>
      <c r="I519" s="376" t="s">
        <v>1216</v>
      </c>
      <c r="J519" s="645"/>
      <c r="K519" s="646">
        <v>750</v>
      </c>
      <c r="L519" s="647">
        <f>L518+Table16[[#This Row],[المدين (إيداع)]]-Table16[[#This Row],[الدائن (السحب)]]</f>
        <v>267785.16999999993</v>
      </c>
    </row>
    <row r="520" spans="1:12" ht="23.25">
      <c r="A520" s="676">
        <f>SUBTOTAL(3,$E$8:E520)</f>
        <v>50</v>
      </c>
      <c r="B520" s="642">
        <v>43052</v>
      </c>
      <c r="C520" s="643"/>
      <c r="D520" s="644"/>
      <c r="E520" s="376" t="s">
        <v>1216</v>
      </c>
      <c r="F520" s="376" t="s">
        <v>1216</v>
      </c>
      <c r="G520" s="678" t="s">
        <v>1833</v>
      </c>
      <c r="H520" s="376" t="s">
        <v>1158</v>
      </c>
      <c r="I520" s="376" t="s">
        <v>1216</v>
      </c>
      <c r="J520" s="645"/>
      <c r="K520" s="646">
        <v>1610</v>
      </c>
      <c r="L520" s="647">
        <f>L519+Table16[[#This Row],[المدين (إيداع)]]-Table16[[#This Row],[الدائن (السحب)]]</f>
        <v>266175.16999999993</v>
      </c>
    </row>
    <row r="521" spans="1:12" ht="23.25">
      <c r="A521" s="676">
        <f>SUBTOTAL(3,$E$8:E521)</f>
        <v>51</v>
      </c>
      <c r="B521" s="642">
        <v>43052</v>
      </c>
      <c r="C521" s="643"/>
      <c r="D521" s="644"/>
      <c r="E521" s="376" t="s">
        <v>1216</v>
      </c>
      <c r="F521" s="376" t="s">
        <v>1216</v>
      </c>
      <c r="G521" s="678" t="s">
        <v>1834</v>
      </c>
      <c r="H521" s="376" t="s">
        <v>1158</v>
      </c>
      <c r="I521" s="376" t="s">
        <v>1216</v>
      </c>
      <c r="J521" s="645"/>
      <c r="K521" s="646">
        <v>2700</v>
      </c>
      <c r="L521" s="647">
        <f>L520+Table16[[#This Row],[المدين (إيداع)]]-Table16[[#This Row],[الدائن (السحب)]]</f>
        <v>263475.16999999993</v>
      </c>
    </row>
    <row r="522" spans="1:12" ht="23.25">
      <c r="A522" s="676">
        <f>SUBTOTAL(3,$E$8:E522)</f>
        <v>52</v>
      </c>
      <c r="B522" s="642">
        <v>43052</v>
      </c>
      <c r="C522" s="643"/>
      <c r="D522" s="644"/>
      <c r="E522" s="376" t="s">
        <v>1216</v>
      </c>
      <c r="F522" s="376" t="s">
        <v>1216</v>
      </c>
      <c r="G522" s="678" t="s">
        <v>1834</v>
      </c>
      <c r="H522" s="376" t="s">
        <v>1158</v>
      </c>
      <c r="I522" s="376" t="s">
        <v>1216</v>
      </c>
      <c r="J522" s="645"/>
      <c r="K522" s="646">
        <v>750</v>
      </c>
      <c r="L522" s="647">
        <f>L521+Table16[[#This Row],[المدين (إيداع)]]-Table16[[#This Row],[الدائن (السحب)]]</f>
        <v>262725.16999999993</v>
      </c>
    </row>
    <row r="523" spans="1:12" ht="23.25" hidden="1">
      <c r="A523" s="676">
        <f>SUBTOTAL(3,$E$8:E523)</f>
        <v>52</v>
      </c>
      <c r="B523" s="642">
        <v>43052</v>
      </c>
      <c r="C523" s="376" t="s">
        <v>1800</v>
      </c>
      <c r="D523" s="375" t="s">
        <v>1935</v>
      </c>
      <c r="E523" s="376" t="s">
        <v>1161</v>
      </c>
      <c r="F523" s="376" t="s">
        <v>1161</v>
      </c>
      <c r="G523" s="680"/>
      <c r="H523" s="376" t="s">
        <v>1934</v>
      </c>
      <c r="I523" s="376" t="s">
        <v>1933</v>
      </c>
      <c r="J523" s="645">
        <v>1200</v>
      </c>
      <c r="K523" s="646"/>
      <c r="L523" s="647">
        <f>L522+Table16[[#This Row],[المدين (إيداع)]]-Table16[[#This Row],[الدائن (السحب)]]</f>
        <v>263925.16999999993</v>
      </c>
    </row>
    <row r="524" spans="1:12" ht="23.25" hidden="1">
      <c r="A524" s="676">
        <f>SUBTOTAL(3,$E$8:E524)</f>
        <v>52</v>
      </c>
      <c r="B524" s="642">
        <v>43054</v>
      </c>
      <c r="C524" s="376" t="s">
        <v>1800</v>
      </c>
      <c r="D524" s="375" t="s">
        <v>1835</v>
      </c>
      <c r="E524" s="376" t="s">
        <v>1850</v>
      </c>
      <c r="F524" s="376" t="s">
        <v>1169</v>
      </c>
      <c r="G524" s="680">
        <v>304</v>
      </c>
      <c r="H524" s="376" t="s">
        <v>1242</v>
      </c>
      <c r="I524" s="376" t="s">
        <v>1845</v>
      </c>
      <c r="J524" s="645"/>
      <c r="K524" s="646">
        <v>72667</v>
      </c>
      <c r="L524" s="647">
        <f>L523+Table16[[#This Row],[المدين (إيداع)]]-Table16[[#This Row],[الدائن (السحب)]]</f>
        <v>191258.16999999993</v>
      </c>
    </row>
    <row r="525" spans="1:12" ht="23.25" hidden="1">
      <c r="A525" s="676">
        <f>SUBTOTAL(3,$E$8:E525)</f>
        <v>52</v>
      </c>
      <c r="B525" s="642">
        <v>43054</v>
      </c>
      <c r="C525" s="376" t="s">
        <v>1811</v>
      </c>
      <c r="D525" s="375" t="s">
        <v>2048</v>
      </c>
      <c r="E525" s="376" t="s">
        <v>1737</v>
      </c>
      <c r="F525" s="376" t="s">
        <v>1737</v>
      </c>
      <c r="G525" s="680">
        <v>30</v>
      </c>
      <c r="H525" s="376" t="s">
        <v>2047</v>
      </c>
      <c r="I525" s="376" t="s">
        <v>2044</v>
      </c>
      <c r="J525" s="645"/>
      <c r="K525" s="646">
        <v>900</v>
      </c>
      <c r="L525" s="647">
        <f>L524+Table16[[#This Row],[المدين (إيداع)]]-Table16[[#This Row],[الدائن (السحب)]]</f>
        <v>190358.16999999993</v>
      </c>
    </row>
    <row r="526" spans="1:12" ht="23.25" hidden="1">
      <c r="A526" s="676">
        <f>SUBTOTAL(3,$E$8:E526)</f>
        <v>52</v>
      </c>
      <c r="B526" s="642">
        <v>43054</v>
      </c>
      <c r="C526" s="376" t="s">
        <v>1811</v>
      </c>
      <c r="D526" s="375" t="s">
        <v>2048</v>
      </c>
      <c r="E526" s="376" t="s">
        <v>1164</v>
      </c>
      <c r="F526" s="376" t="s">
        <v>1165</v>
      </c>
      <c r="G526" s="680">
        <v>30</v>
      </c>
      <c r="H526" s="376" t="s">
        <v>2047</v>
      </c>
      <c r="I526" s="376" t="s">
        <v>2044</v>
      </c>
      <c r="J526" s="645">
        <v>900</v>
      </c>
      <c r="K526" s="646"/>
      <c r="L526" s="647">
        <f>L525+Table16[[#This Row],[المدين (إيداع)]]-Table16[[#This Row],[الدائن (السحب)]]</f>
        <v>191258.16999999993</v>
      </c>
    </row>
    <row r="527" spans="1:12" ht="23.25" hidden="1">
      <c r="A527" s="676">
        <f>SUBTOTAL(3,$E$8:E527)</f>
        <v>52</v>
      </c>
      <c r="B527" s="642">
        <v>43054</v>
      </c>
      <c r="C527" s="376" t="s">
        <v>1811</v>
      </c>
      <c r="D527" s="375" t="s">
        <v>2048</v>
      </c>
      <c r="E527" s="376" t="s">
        <v>1737</v>
      </c>
      <c r="F527" s="376" t="s">
        <v>1737</v>
      </c>
      <c r="G527" s="680">
        <v>5748</v>
      </c>
      <c r="H527" s="376" t="s">
        <v>2045</v>
      </c>
      <c r="I527" s="376" t="s">
        <v>2044</v>
      </c>
      <c r="J527" s="645"/>
      <c r="K527" s="646">
        <v>4200</v>
      </c>
      <c r="L527" s="647">
        <f>L526+Table16[[#This Row],[المدين (إيداع)]]-Table16[[#This Row],[الدائن (السحب)]]</f>
        <v>187058.16999999993</v>
      </c>
    </row>
    <row r="528" spans="1:12" ht="23.25" hidden="1">
      <c r="A528" s="676">
        <f>SUBTOTAL(3,$E$8:E528)</f>
        <v>52</v>
      </c>
      <c r="B528" s="642">
        <v>43054</v>
      </c>
      <c r="C528" s="376" t="s">
        <v>1811</v>
      </c>
      <c r="D528" s="375" t="s">
        <v>2048</v>
      </c>
      <c r="E528" s="376" t="s">
        <v>1164</v>
      </c>
      <c r="F528" s="376" t="s">
        <v>1165</v>
      </c>
      <c r="G528" s="680">
        <v>5748</v>
      </c>
      <c r="H528" s="376" t="s">
        <v>2045</v>
      </c>
      <c r="I528" s="376" t="s">
        <v>2044</v>
      </c>
      <c r="J528" s="645">
        <v>4200</v>
      </c>
      <c r="K528" s="646"/>
      <c r="L528" s="647">
        <f>L527+Table16[[#This Row],[المدين (إيداع)]]-Table16[[#This Row],[الدائن (السحب)]]</f>
        <v>191258.16999999993</v>
      </c>
    </row>
    <row r="529" spans="1:12" ht="23.25" hidden="1">
      <c r="A529" s="676">
        <f>SUBTOTAL(3,$E$8:E529)</f>
        <v>52</v>
      </c>
      <c r="B529" s="642">
        <v>43054</v>
      </c>
      <c r="C529" s="376" t="s">
        <v>1800</v>
      </c>
      <c r="D529" s="375" t="s">
        <v>1935</v>
      </c>
      <c r="E529" s="376" t="s">
        <v>1254</v>
      </c>
      <c r="F529" s="376" t="s">
        <v>1161</v>
      </c>
      <c r="G529" s="680"/>
      <c r="H529" s="376" t="s">
        <v>1172</v>
      </c>
      <c r="I529" s="376" t="s">
        <v>1933</v>
      </c>
      <c r="J529" s="645">
        <v>3200</v>
      </c>
      <c r="K529" s="646"/>
      <c r="L529" s="647">
        <f>L528+Table16[[#This Row],[المدين (إيداع)]]-Table16[[#This Row],[الدائن (السحب)]]</f>
        <v>194458.16999999993</v>
      </c>
    </row>
    <row r="530" spans="1:12" ht="23.25">
      <c r="A530" s="676">
        <f>SUBTOTAL(3,$E$8:E530)</f>
        <v>53</v>
      </c>
      <c r="B530" s="642">
        <v>43054</v>
      </c>
      <c r="C530" s="643"/>
      <c r="D530" s="644"/>
      <c r="E530" s="376" t="s">
        <v>1217</v>
      </c>
      <c r="F530" s="376" t="s">
        <v>1217</v>
      </c>
      <c r="G530" s="678" t="s">
        <v>1836</v>
      </c>
      <c r="H530" s="376" t="s">
        <v>1217</v>
      </c>
      <c r="I530" s="643"/>
      <c r="J530" s="645">
        <v>10000</v>
      </c>
      <c r="K530" s="646"/>
      <c r="L530" s="647">
        <f>L529+Table16[[#This Row],[المدين (إيداع)]]-Table16[[#This Row],[الدائن (السحب)]]</f>
        <v>204458.16999999993</v>
      </c>
    </row>
    <row r="531" spans="1:12" ht="23.25">
      <c r="A531" s="676">
        <f>SUBTOTAL(3,$E$8:E531)</f>
        <v>54</v>
      </c>
      <c r="B531" s="642">
        <v>43054</v>
      </c>
      <c r="C531" s="643"/>
      <c r="D531" s="644"/>
      <c r="E531" s="376" t="s">
        <v>1217</v>
      </c>
      <c r="F531" s="376" t="s">
        <v>1217</v>
      </c>
      <c r="G531" s="678" t="s">
        <v>1837</v>
      </c>
      <c r="H531" s="376" t="s">
        <v>1217</v>
      </c>
      <c r="I531" s="643"/>
      <c r="J531" s="645">
        <v>50000</v>
      </c>
      <c r="K531" s="646"/>
      <c r="L531" s="647">
        <f>L530+Table16[[#This Row],[المدين (إيداع)]]-Table16[[#This Row],[الدائن (السحب)]]</f>
        <v>254458.16999999993</v>
      </c>
    </row>
    <row r="532" spans="1:12" ht="23.25" hidden="1">
      <c r="A532" s="676">
        <f>SUBTOTAL(3,$E$8:E532)</f>
        <v>54</v>
      </c>
      <c r="B532" s="642">
        <v>43055</v>
      </c>
      <c r="C532" s="643"/>
      <c r="D532" s="375" t="s">
        <v>1664</v>
      </c>
      <c r="E532" s="376" t="s">
        <v>1164</v>
      </c>
      <c r="F532" s="376" t="s">
        <v>1165</v>
      </c>
      <c r="G532" s="680">
        <v>942</v>
      </c>
      <c r="H532" s="376" t="s">
        <v>2046</v>
      </c>
      <c r="I532" s="376" t="s">
        <v>2044</v>
      </c>
      <c r="J532" s="645">
        <v>4200</v>
      </c>
      <c r="K532" s="646"/>
      <c r="L532" s="647">
        <f>L531+Table16[[#This Row],[المدين (إيداع)]]-Table16[[#This Row],[الدائن (السحب)]]</f>
        <v>258658.16999999993</v>
      </c>
    </row>
    <row r="533" spans="1:12" ht="23.25" hidden="1">
      <c r="A533" s="676">
        <f>SUBTOTAL(3,$E$8:E533)</f>
        <v>54</v>
      </c>
      <c r="B533" s="642">
        <v>43055</v>
      </c>
      <c r="C533" s="643"/>
      <c r="D533" s="375" t="s">
        <v>1666</v>
      </c>
      <c r="E533" s="376" t="s">
        <v>1164</v>
      </c>
      <c r="F533" s="376" t="s">
        <v>1165</v>
      </c>
      <c r="G533" s="680">
        <v>2483</v>
      </c>
      <c r="H533" s="376" t="s">
        <v>2046</v>
      </c>
      <c r="I533" s="376" t="s">
        <v>2044</v>
      </c>
      <c r="J533" s="645">
        <v>7200</v>
      </c>
      <c r="K533" s="646"/>
      <c r="L533" s="647">
        <f>L532+Table16[[#This Row],[المدين (إيداع)]]-Table16[[#This Row],[الدائن (السحب)]]</f>
        <v>265858.16999999993</v>
      </c>
    </row>
    <row r="534" spans="1:12" ht="23.25" hidden="1">
      <c r="A534" s="676">
        <f>SUBTOTAL(3,$E$8:E534)</f>
        <v>54</v>
      </c>
      <c r="B534" s="642">
        <v>43055</v>
      </c>
      <c r="C534" s="643"/>
      <c r="D534" s="375" t="s">
        <v>1666</v>
      </c>
      <c r="E534" s="376" t="s">
        <v>1164</v>
      </c>
      <c r="F534" s="376" t="s">
        <v>1165</v>
      </c>
      <c r="G534" s="680">
        <v>112</v>
      </c>
      <c r="H534" s="376" t="s">
        <v>2043</v>
      </c>
      <c r="I534" s="376" t="s">
        <v>2044</v>
      </c>
      <c r="J534" s="645">
        <v>4200</v>
      </c>
      <c r="K534" s="646"/>
      <c r="L534" s="647">
        <f>L533+Table16[[#This Row],[المدين (إيداع)]]-Table16[[#This Row],[الدائن (السحب)]]</f>
        <v>270058.16999999993</v>
      </c>
    </row>
    <row r="535" spans="1:12" ht="23.25" hidden="1">
      <c r="A535" s="676">
        <f>SUBTOTAL(3,$E$8:E535)</f>
        <v>54</v>
      </c>
      <c r="B535" s="642">
        <v>43055</v>
      </c>
      <c r="C535" s="376" t="s">
        <v>1800</v>
      </c>
      <c r="D535" s="375" t="s">
        <v>1774</v>
      </c>
      <c r="E535" s="376" t="s">
        <v>1164</v>
      </c>
      <c r="F535" s="376" t="s">
        <v>1165</v>
      </c>
      <c r="G535" s="680">
        <v>1324</v>
      </c>
      <c r="H535" s="376" t="s">
        <v>1881</v>
      </c>
      <c r="I535" s="376" t="s">
        <v>1224</v>
      </c>
      <c r="J535" s="645">
        <v>1800</v>
      </c>
      <c r="K535" s="646"/>
      <c r="L535" s="647">
        <f>L534+Table16[[#This Row],[المدين (إيداع)]]-Table16[[#This Row],[الدائن (السحب)]]</f>
        <v>271858.16999999993</v>
      </c>
    </row>
    <row r="536" spans="1:12" ht="23.25">
      <c r="A536" s="676">
        <f>SUBTOTAL(3,$E$8:E536)</f>
        <v>55</v>
      </c>
      <c r="B536" s="642">
        <v>43055</v>
      </c>
      <c r="C536" s="643"/>
      <c r="D536" s="644"/>
      <c r="E536" s="376" t="s">
        <v>1164</v>
      </c>
      <c r="F536" s="376" t="s">
        <v>1165</v>
      </c>
      <c r="G536" s="680">
        <v>6619</v>
      </c>
      <c r="H536" s="376" t="s">
        <v>1803</v>
      </c>
      <c r="I536" s="376" t="s">
        <v>1296</v>
      </c>
      <c r="J536" s="645">
        <v>3600</v>
      </c>
      <c r="K536" s="646"/>
      <c r="L536" s="647">
        <f>L535+Table16[[#This Row],[المدين (إيداع)]]-Table16[[#This Row],[الدائن (السحب)]]</f>
        <v>275458.16999999993</v>
      </c>
    </row>
    <row r="537" spans="1:12" ht="23.25" hidden="1">
      <c r="A537" s="676">
        <f>SUBTOTAL(3,$E$8:E537)</f>
        <v>55</v>
      </c>
      <c r="B537" s="642">
        <v>43055</v>
      </c>
      <c r="C537" s="376" t="s">
        <v>1800</v>
      </c>
      <c r="D537" s="375" t="s">
        <v>1774</v>
      </c>
      <c r="E537" s="376" t="s">
        <v>1164</v>
      </c>
      <c r="F537" s="376" t="s">
        <v>1165</v>
      </c>
      <c r="G537" s="680">
        <v>724</v>
      </c>
      <c r="H537" s="376" t="s">
        <v>1882</v>
      </c>
      <c r="I537" s="376" t="s">
        <v>1224</v>
      </c>
      <c r="J537" s="645">
        <v>900</v>
      </c>
      <c r="K537" s="646"/>
      <c r="L537" s="647">
        <f>L536+Table16[[#This Row],[المدين (إيداع)]]-Table16[[#This Row],[الدائن (السحب)]]</f>
        <v>276358.16999999993</v>
      </c>
    </row>
    <row r="538" spans="1:12" ht="23.25" hidden="1">
      <c r="A538" s="676">
        <f>SUBTOTAL(3,$E$8:E538)</f>
        <v>55</v>
      </c>
      <c r="B538" s="642">
        <v>43055</v>
      </c>
      <c r="C538" s="643"/>
      <c r="D538" s="375" t="s">
        <v>2108</v>
      </c>
      <c r="E538" s="376" t="s">
        <v>1164</v>
      </c>
      <c r="F538" s="376" t="s">
        <v>1165</v>
      </c>
      <c r="G538" s="680">
        <v>4688</v>
      </c>
      <c r="H538" s="376" t="s">
        <v>1880</v>
      </c>
      <c r="I538" s="376" t="s">
        <v>1224</v>
      </c>
      <c r="J538" s="645">
        <v>900</v>
      </c>
      <c r="K538" s="646"/>
      <c r="L538" s="647">
        <f>L537+Table16[[#This Row],[المدين (إيداع)]]-Table16[[#This Row],[الدائن (السحب)]]</f>
        <v>277258.16999999993</v>
      </c>
    </row>
    <row r="539" spans="1:12" ht="23.25">
      <c r="A539" s="676">
        <f>SUBTOTAL(3,$E$8:E539)</f>
        <v>56</v>
      </c>
      <c r="B539" s="642">
        <v>43055</v>
      </c>
      <c r="C539" s="643"/>
      <c r="D539" s="644"/>
      <c r="E539" s="376" t="s">
        <v>1156</v>
      </c>
      <c r="F539" s="376" t="s">
        <v>1157</v>
      </c>
      <c r="G539" s="680"/>
      <c r="H539" s="643"/>
      <c r="I539" s="643"/>
      <c r="J539" s="645"/>
      <c r="K539" s="646">
        <v>25</v>
      </c>
      <c r="L539" s="647">
        <f>L538+Table16[[#This Row],[المدين (إيداع)]]-Table16[[#This Row],[الدائن (السحب)]]</f>
        <v>277233.16999999993</v>
      </c>
    </row>
    <row r="540" spans="1:12" ht="23.25" hidden="1">
      <c r="A540" s="676">
        <f>SUBTOTAL(3,$E$8:E540)</f>
        <v>56</v>
      </c>
      <c r="B540" s="642">
        <v>43058</v>
      </c>
      <c r="C540" s="643"/>
      <c r="D540" s="375" t="s">
        <v>2061</v>
      </c>
      <c r="E540" s="376" t="s">
        <v>1161</v>
      </c>
      <c r="F540" s="376" t="s">
        <v>1161</v>
      </c>
      <c r="G540" s="680"/>
      <c r="H540" s="376" t="s">
        <v>1838</v>
      </c>
      <c r="I540" s="376" t="s">
        <v>1212</v>
      </c>
      <c r="J540" s="645">
        <v>250</v>
      </c>
      <c r="K540" s="646"/>
      <c r="L540" s="647">
        <f>L539+Table16[[#This Row],[المدين (إيداع)]]-Table16[[#This Row],[الدائن (السحب)]]</f>
        <v>277483.16999999993</v>
      </c>
    </row>
    <row r="541" spans="1:12" ht="23.25" hidden="1">
      <c r="A541" s="676">
        <f>SUBTOTAL(3,$E$8:E541)</f>
        <v>56</v>
      </c>
      <c r="B541" s="642">
        <v>43058</v>
      </c>
      <c r="C541" s="376" t="s">
        <v>1800</v>
      </c>
      <c r="D541" s="375" t="s">
        <v>2011</v>
      </c>
      <c r="E541" s="376" t="s">
        <v>1243</v>
      </c>
      <c r="F541" s="376" t="s">
        <v>1161</v>
      </c>
      <c r="G541" s="680"/>
      <c r="H541" s="376" t="s">
        <v>1181</v>
      </c>
      <c r="I541" s="376" t="s">
        <v>1182</v>
      </c>
      <c r="J541" s="645">
        <v>6400</v>
      </c>
      <c r="K541" s="646"/>
      <c r="L541" s="647">
        <f>L540+Table16[[#This Row],[المدين (إيداع)]]-Table16[[#This Row],[الدائن (السحب)]]</f>
        <v>283883.16999999993</v>
      </c>
    </row>
    <row r="542" spans="1:12" ht="23.25" hidden="1">
      <c r="A542" s="676">
        <f>SUBTOTAL(3,$E$8:E542)</f>
        <v>56</v>
      </c>
      <c r="B542" s="642">
        <v>43059</v>
      </c>
      <c r="C542" s="643"/>
      <c r="D542" s="375" t="s">
        <v>2071</v>
      </c>
      <c r="E542" s="376" t="s">
        <v>1254</v>
      </c>
      <c r="F542" s="376" t="s">
        <v>1161</v>
      </c>
      <c r="G542" s="680"/>
      <c r="H542" s="376" t="s">
        <v>1172</v>
      </c>
      <c r="I542" s="376" t="s">
        <v>1154</v>
      </c>
      <c r="J542" s="645">
        <v>600</v>
      </c>
      <c r="K542" s="646"/>
      <c r="L542" s="647">
        <f>L541+Table16[[#This Row],[المدين (إيداع)]]-Table16[[#This Row],[الدائن (السحب)]]</f>
        <v>284483.16999999993</v>
      </c>
    </row>
    <row r="543" spans="1:12" ht="23.25" hidden="1">
      <c r="A543" s="676">
        <f>SUBTOTAL(3,$E$8:E543)</f>
        <v>56</v>
      </c>
      <c r="B543" s="642">
        <v>43060</v>
      </c>
      <c r="C543" s="643"/>
      <c r="D543" s="375" t="s">
        <v>2071</v>
      </c>
      <c r="E543" s="376" t="s">
        <v>1839</v>
      </c>
      <c r="F543" s="376" t="s">
        <v>1161</v>
      </c>
      <c r="G543" s="680"/>
      <c r="H543" s="376" t="s">
        <v>2068</v>
      </c>
      <c r="I543" s="376" t="s">
        <v>1154</v>
      </c>
      <c r="J543" s="645">
        <v>300</v>
      </c>
      <c r="K543" s="646"/>
      <c r="L543" s="647">
        <f>L542+Table16[[#This Row],[المدين (إيداع)]]-Table16[[#This Row],[الدائن (السحب)]]</f>
        <v>284783.16999999993</v>
      </c>
    </row>
    <row r="544" spans="1:12" ht="23.25" hidden="1">
      <c r="A544" s="676">
        <f>SUBTOTAL(3,$E$8:E544)</f>
        <v>56</v>
      </c>
      <c r="B544" s="642">
        <v>43061</v>
      </c>
      <c r="C544" s="376" t="s">
        <v>1800</v>
      </c>
      <c r="D544" s="375" t="s">
        <v>1883</v>
      </c>
      <c r="E544" s="376" t="s">
        <v>1851</v>
      </c>
      <c r="F544" s="376" t="s">
        <v>1169</v>
      </c>
      <c r="G544" s="680">
        <v>303</v>
      </c>
      <c r="H544" s="376" t="s">
        <v>1242</v>
      </c>
      <c r="I544" s="376" t="s">
        <v>1846</v>
      </c>
      <c r="J544" s="645"/>
      <c r="K544" s="646">
        <v>72667</v>
      </c>
      <c r="L544" s="647">
        <f>L543+Table16[[#This Row],[المدين (إيداع)]]-Table16[[#This Row],[الدائن (السحب)]]</f>
        <v>212116.16999999993</v>
      </c>
    </row>
    <row r="545" spans="1:12" ht="23.25">
      <c r="A545" s="676">
        <f>SUBTOTAL(3,$E$8:E545)</f>
        <v>57</v>
      </c>
      <c r="B545" s="642">
        <v>43062</v>
      </c>
      <c r="C545" s="643"/>
      <c r="D545" s="644"/>
      <c r="E545" s="376" t="s">
        <v>1164</v>
      </c>
      <c r="F545" s="376" t="s">
        <v>1165</v>
      </c>
      <c r="G545" s="680">
        <v>147</v>
      </c>
      <c r="H545" s="643"/>
      <c r="I545" s="643"/>
      <c r="J545" s="645">
        <v>800</v>
      </c>
      <c r="K545" s="646"/>
      <c r="L545" s="647">
        <f>L544+Table16[[#This Row],[المدين (إيداع)]]-Table16[[#This Row],[الدائن (السحب)]]</f>
        <v>212916.16999999993</v>
      </c>
    </row>
    <row r="546" spans="1:12" ht="23.25">
      <c r="A546" s="676">
        <f>SUBTOTAL(3,$E$8:E546)</f>
        <v>58</v>
      </c>
      <c r="B546" s="642">
        <v>43062</v>
      </c>
      <c r="C546" s="643"/>
      <c r="D546" s="644"/>
      <c r="E546" s="376" t="s">
        <v>1164</v>
      </c>
      <c r="F546" s="376" t="s">
        <v>1165</v>
      </c>
      <c r="G546" s="680">
        <v>147</v>
      </c>
      <c r="H546" s="643"/>
      <c r="I546" s="643"/>
      <c r="J546" s="645">
        <v>1800</v>
      </c>
      <c r="K546" s="646"/>
      <c r="L546" s="647">
        <f>L545+Table16[[#This Row],[المدين (إيداع)]]-Table16[[#This Row],[الدائن (السحب)]]</f>
        <v>214716.16999999993</v>
      </c>
    </row>
    <row r="547" spans="1:12" ht="23.25" hidden="1">
      <c r="A547" s="676">
        <f>SUBTOTAL(3,$E$8:E547)</f>
        <v>58</v>
      </c>
      <c r="B547" s="642">
        <v>43062</v>
      </c>
      <c r="C547" s="643"/>
      <c r="D547" s="375" t="s">
        <v>2071</v>
      </c>
      <c r="E547" s="376" t="s">
        <v>2070</v>
      </c>
      <c r="F547" s="376" t="s">
        <v>1161</v>
      </c>
      <c r="G547" s="680"/>
      <c r="H547" s="376" t="s">
        <v>2069</v>
      </c>
      <c r="I547" s="376" t="s">
        <v>1154</v>
      </c>
      <c r="J547" s="645">
        <v>2200</v>
      </c>
      <c r="K547" s="646"/>
      <c r="L547" s="647">
        <f>L546+Table16[[#This Row],[المدين (إيداع)]]-Table16[[#This Row],[الدائن (السحب)]]</f>
        <v>216916.16999999993</v>
      </c>
    </row>
    <row r="548" spans="1:12" ht="23.25" hidden="1">
      <c r="A548" s="676">
        <f>SUBTOTAL(3,$E$8:E548)</f>
        <v>58</v>
      </c>
      <c r="B548" s="642">
        <v>43062</v>
      </c>
      <c r="C548" s="376" t="s">
        <v>1800</v>
      </c>
      <c r="D548" s="375" t="s">
        <v>2012</v>
      </c>
      <c r="E548" s="376" t="s">
        <v>1161</v>
      </c>
      <c r="F548" s="376" t="s">
        <v>1161</v>
      </c>
      <c r="G548" s="680"/>
      <c r="H548" s="376" t="s">
        <v>1853</v>
      </c>
      <c r="I548" s="376" t="s">
        <v>1212</v>
      </c>
      <c r="J548" s="645">
        <v>300</v>
      </c>
      <c r="K548" s="646"/>
      <c r="L548" s="647">
        <f>L547+Table16[[#This Row],[المدين (إيداع)]]-Table16[[#This Row],[الدائن (السحب)]]</f>
        <v>217216.16999999993</v>
      </c>
    </row>
    <row r="549" spans="1:12" ht="23.25" hidden="1">
      <c r="A549" s="676">
        <f>SUBTOTAL(3,$E$8:E549)</f>
        <v>58</v>
      </c>
      <c r="B549" s="642">
        <v>43063</v>
      </c>
      <c r="C549" s="376" t="s">
        <v>1800</v>
      </c>
      <c r="D549" s="375" t="s">
        <v>1889</v>
      </c>
      <c r="E549" s="376" t="s">
        <v>1164</v>
      </c>
      <c r="F549" s="376" t="s">
        <v>1165</v>
      </c>
      <c r="G549" s="680">
        <v>2603</v>
      </c>
      <c r="H549" s="376" t="s">
        <v>1153</v>
      </c>
      <c r="I549" s="376" t="s">
        <v>1154</v>
      </c>
      <c r="J549" s="645">
        <v>3900</v>
      </c>
      <c r="K549" s="646"/>
      <c r="L549" s="647">
        <f>L548+Table16[[#This Row],[المدين (إيداع)]]-Table16[[#This Row],[الدائن (السحب)]]</f>
        <v>221116.16999999993</v>
      </c>
    </row>
    <row r="550" spans="1:12" ht="23.25" hidden="1">
      <c r="A550" s="676">
        <f>SUBTOTAL(3,$E$8:E550)</f>
        <v>58</v>
      </c>
      <c r="B550" s="642">
        <v>43065</v>
      </c>
      <c r="C550" s="376" t="s">
        <v>1800</v>
      </c>
      <c r="D550" s="375" t="s">
        <v>1890</v>
      </c>
      <c r="E550" s="376" t="s">
        <v>1161</v>
      </c>
      <c r="F550" s="376" t="s">
        <v>1161</v>
      </c>
      <c r="G550" s="680"/>
      <c r="H550" s="376" t="s">
        <v>1892</v>
      </c>
      <c r="I550" s="376" t="s">
        <v>1783</v>
      </c>
      <c r="J550" s="645">
        <v>800</v>
      </c>
      <c r="K550" s="646"/>
      <c r="L550" s="647">
        <f>L549+Table16[[#This Row],[المدين (إيداع)]]-Table16[[#This Row],[الدائن (السحب)]]</f>
        <v>221916.16999999993</v>
      </c>
    </row>
    <row r="551" spans="1:12" ht="23.25" hidden="1">
      <c r="A551" s="676">
        <f>SUBTOTAL(3,$E$8:E551)</f>
        <v>58</v>
      </c>
      <c r="B551" s="642">
        <v>43065</v>
      </c>
      <c r="C551" s="376" t="s">
        <v>1800</v>
      </c>
      <c r="D551" s="375" t="s">
        <v>2011</v>
      </c>
      <c r="E551" s="376" t="s">
        <v>1243</v>
      </c>
      <c r="F551" s="376" t="s">
        <v>1161</v>
      </c>
      <c r="G551" s="680"/>
      <c r="H551" s="376" t="s">
        <v>1181</v>
      </c>
      <c r="I551" s="376" t="s">
        <v>1182</v>
      </c>
      <c r="J551" s="645">
        <v>44400</v>
      </c>
      <c r="K551" s="646"/>
      <c r="L551" s="647">
        <f>L550+Table16[[#This Row],[المدين (إيداع)]]-Table16[[#This Row],[الدائن (السحب)]]</f>
        <v>266316.16999999993</v>
      </c>
    </row>
    <row r="552" spans="1:12" ht="23.25">
      <c r="A552" s="676">
        <f>SUBTOTAL(3,$E$8:E552)</f>
        <v>59</v>
      </c>
      <c r="B552" s="379">
        <v>42870</v>
      </c>
      <c r="C552" s="643"/>
      <c r="D552" s="644"/>
      <c r="E552" s="376" t="s">
        <v>1161</v>
      </c>
      <c r="F552" s="376" t="s">
        <v>1161</v>
      </c>
      <c r="G552" s="680"/>
      <c r="H552" s="643"/>
      <c r="I552" s="376" t="s">
        <v>1212</v>
      </c>
      <c r="J552" s="645">
        <v>400</v>
      </c>
      <c r="K552" s="646"/>
      <c r="L552" s="647">
        <f>L551+Table16[[#This Row],[المدين (إيداع)]]-Table16[[#This Row],[الدائن (السحب)]]</f>
        <v>266716.16999999993</v>
      </c>
    </row>
    <row r="553" spans="1:12" ht="23.25" hidden="1">
      <c r="A553" s="676">
        <f>SUBTOTAL(3,$E$8:E553)</f>
        <v>59</v>
      </c>
      <c r="B553" s="642">
        <v>43067</v>
      </c>
      <c r="C553" s="376" t="s">
        <v>1800</v>
      </c>
      <c r="D553" s="375" t="s">
        <v>1930</v>
      </c>
      <c r="E553" s="376" t="s">
        <v>1156</v>
      </c>
      <c r="F553" s="376" t="s">
        <v>1157</v>
      </c>
      <c r="G553" s="680"/>
      <c r="H553" s="376" t="s">
        <v>1158</v>
      </c>
      <c r="I553" s="376" t="s">
        <v>1157</v>
      </c>
      <c r="J553" s="645"/>
      <c r="K553" s="646">
        <v>25</v>
      </c>
      <c r="L553" s="647">
        <f>L552+Table16[[#This Row],[المدين (إيداع)]]-Table16[[#This Row],[الدائن (السحب)]]</f>
        <v>266691.16999999993</v>
      </c>
    </row>
    <row r="554" spans="1:12" ht="23.25" hidden="1">
      <c r="A554" s="676">
        <f>SUBTOTAL(3,$E$8:E554)</f>
        <v>59</v>
      </c>
      <c r="B554" s="642">
        <v>43068</v>
      </c>
      <c r="C554" s="376" t="s">
        <v>1800</v>
      </c>
      <c r="D554" s="375" t="s">
        <v>1884</v>
      </c>
      <c r="E554" s="376" t="s">
        <v>1854</v>
      </c>
      <c r="F554" s="376" t="s">
        <v>1169</v>
      </c>
      <c r="G554" s="680">
        <v>305</v>
      </c>
      <c r="H554" s="376" t="s">
        <v>1242</v>
      </c>
      <c r="I554" s="376" t="s">
        <v>1855</v>
      </c>
      <c r="J554" s="645"/>
      <c r="K554" s="646">
        <v>72667</v>
      </c>
      <c r="L554" s="647">
        <f>L553+Table16[[#This Row],[المدين (إيداع)]]-Table16[[#This Row],[الدائن (السحب)]]</f>
        <v>194024.16999999993</v>
      </c>
    </row>
    <row r="555" spans="1:12" ht="23.25">
      <c r="A555" s="677">
        <f>SUBTOTAL(3,$E$8:E555)</f>
        <v>60</v>
      </c>
      <c r="B555" s="642">
        <v>43068</v>
      </c>
      <c r="C555" s="643"/>
      <c r="D555" s="644"/>
      <c r="E555" s="376" t="s">
        <v>1161</v>
      </c>
      <c r="F555" s="376" t="s">
        <v>1161</v>
      </c>
      <c r="G555" s="680"/>
      <c r="H555" s="376" t="s">
        <v>1852</v>
      </c>
      <c r="I555" s="376" t="s">
        <v>1154</v>
      </c>
      <c r="J555" s="645">
        <v>300</v>
      </c>
      <c r="K555" s="646"/>
      <c r="L555" s="647">
        <f>L554+Table16[[#This Row],[المدين (إيداع)]]-Table16[[#This Row],[الدائن (السحب)]]</f>
        <v>194324.16999999993</v>
      </c>
    </row>
    <row r="556" spans="1:12" ht="23.25" hidden="1">
      <c r="A556" s="677">
        <f>SUBTOTAL(3,$E$8:E556)</f>
        <v>60</v>
      </c>
      <c r="B556" s="642">
        <v>43069</v>
      </c>
      <c r="C556" s="643"/>
      <c r="D556" s="375" t="s">
        <v>2061</v>
      </c>
      <c r="E556" s="376" t="s">
        <v>1161</v>
      </c>
      <c r="F556" s="376" t="s">
        <v>1161</v>
      </c>
      <c r="G556" s="680"/>
      <c r="H556" s="376" t="s">
        <v>1856</v>
      </c>
      <c r="I556" s="376" t="s">
        <v>1212</v>
      </c>
      <c r="J556" s="645">
        <v>400</v>
      </c>
      <c r="K556" s="646"/>
      <c r="L556" s="647">
        <f>L555+Table16[[#This Row],[المدين (إيداع)]]-Table16[[#This Row],[الدائن (السحب)]]</f>
        <v>194724.16999999993</v>
      </c>
    </row>
    <row r="557" spans="1:12" ht="23.25" hidden="1">
      <c r="A557" s="677">
        <f>SUBTOTAL(3,$E$8:E557)</f>
        <v>60</v>
      </c>
      <c r="B557" s="642">
        <v>43070</v>
      </c>
      <c r="C557" s="376" t="s">
        <v>1800</v>
      </c>
      <c r="D557" s="375" t="s">
        <v>1887</v>
      </c>
      <c r="E557" s="376" t="s">
        <v>1169</v>
      </c>
      <c r="F557" s="376" t="s">
        <v>1169</v>
      </c>
      <c r="G557" s="680">
        <v>308</v>
      </c>
      <c r="H557" s="376" t="s">
        <v>992</v>
      </c>
      <c r="I557" s="687" t="s">
        <v>1206</v>
      </c>
      <c r="J557" s="645"/>
      <c r="K557" s="646">
        <v>96691</v>
      </c>
      <c r="L557" s="647">
        <f>L556+Table16[[#This Row],[المدين (إيداع)]]-Table16[[#This Row],[الدائن (السحب)]]</f>
        <v>98033.169999999925</v>
      </c>
    </row>
    <row r="558" spans="1:12" ht="23.25">
      <c r="A558" s="677">
        <f>SUBTOTAL(3,$E$8:E558)</f>
        <v>61</v>
      </c>
      <c r="B558" s="642">
        <v>43072</v>
      </c>
      <c r="C558" s="643"/>
      <c r="D558" s="644"/>
      <c r="E558" s="376" t="s">
        <v>1217</v>
      </c>
      <c r="F558" s="376" t="s">
        <v>1217</v>
      </c>
      <c r="G558" s="678" t="s">
        <v>1857</v>
      </c>
      <c r="H558" s="643"/>
      <c r="I558" s="688"/>
      <c r="J558" s="645">
        <v>50000</v>
      </c>
      <c r="K558" s="646"/>
      <c r="L558" s="647">
        <f>L557+Table16[[#This Row],[المدين (إيداع)]]-Table16[[#This Row],[الدائن (السحب)]]</f>
        <v>148033.16999999993</v>
      </c>
    </row>
    <row r="559" spans="1:12" ht="23.25">
      <c r="A559" s="677">
        <f>SUBTOTAL(3,$E$8:E559)</f>
        <v>62</v>
      </c>
      <c r="B559" s="642">
        <v>43072</v>
      </c>
      <c r="C559" s="643"/>
      <c r="D559" s="644"/>
      <c r="E559" s="376" t="s">
        <v>1161</v>
      </c>
      <c r="F559" s="376" t="s">
        <v>1161</v>
      </c>
      <c r="G559" s="680"/>
      <c r="H559" s="376" t="s">
        <v>1785</v>
      </c>
      <c r="I559" s="688"/>
      <c r="J559" s="645">
        <v>2000</v>
      </c>
      <c r="K559" s="646"/>
      <c r="L559" s="647">
        <f>L558+Table16[[#This Row],[المدين (إيداع)]]-Table16[[#This Row],[الدائن (السحب)]]</f>
        <v>150033.16999999993</v>
      </c>
    </row>
    <row r="560" spans="1:12" ht="23.25" hidden="1">
      <c r="A560" s="677">
        <f>SUBTOTAL(3,$E$8:E560)</f>
        <v>62</v>
      </c>
      <c r="B560" s="642">
        <v>43072</v>
      </c>
      <c r="C560" s="376" t="s">
        <v>1800</v>
      </c>
      <c r="D560" s="375" t="s">
        <v>2054</v>
      </c>
      <c r="E560" s="376" t="s">
        <v>1161</v>
      </c>
      <c r="F560" s="376" t="s">
        <v>1161</v>
      </c>
      <c r="G560" s="680"/>
      <c r="H560" s="376" t="s">
        <v>1793</v>
      </c>
      <c r="I560" s="687" t="s">
        <v>2025</v>
      </c>
      <c r="J560" s="645">
        <v>1750</v>
      </c>
      <c r="K560" s="646"/>
      <c r="L560" s="647">
        <f>L559+Table16[[#This Row],[المدين (إيداع)]]-Table16[[#This Row],[الدائن (السحب)]]</f>
        <v>151783.16999999993</v>
      </c>
    </row>
    <row r="561" spans="1:12" ht="23.25" hidden="1">
      <c r="A561" s="677">
        <f>SUBTOTAL(3,$E$8:E561)</f>
        <v>62</v>
      </c>
      <c r="B561" s="642">
        <v>43073</v>
      </c>
      <c r="C561" s="376" t="s">
        <v>1800</v>
      </c>
      <c r="D561" s="375" t="s">
        <v>1888</v>
      </c>
      <c r="E561" s="376" t="s">
        <v>1858</v>
      </c>
      <c r="F561" s="376" t="s">
        <v>1152</v>
      </c>
      <c r="G561" s="680"/>
      <c r="H561" s="376" t="s">
        <v>1250</v>
      </c>
      <c r="I561" s="687" t="s">
        <v>1190</v>
      </c>
      <c r="J561" s="645">
        <v>70000</v>
      </c>
      <c r="K561" s="646"/>
      <c r="L561" s="647">
        <f>L560+Table16[[#This Row],[المدين (إيداع)]]-Table16[[#This Row],[الدائن (السحب)]]</f>
        <v>221783.16999999993</v>
      </c>
    </row>
    <row r="562" spans="1:12" ht="23.25">
      <c r="A562" s="677">
        <f>SUBTOTAL(3,$E$8:E562)</f>
        <v>63</v>
      </c>
      <c r="B562" s="642">
        <v>43073</v>
      </c>
      <c r="C562" s="643"/>
      <c r="D562" s="644"/>
      <c r="E562" s="376" t="s">
        <v>1161</v>
      </c>
      <c r="F562" s="376" t="s">
        <v>1161</v>
      </c>
      <c r="G562" s="680"/>
      <c r="H562" s="376" t="s">
        <v>1859</v>
      </c>
      <c r="I562" s="687" t="s">
        <v>1860</v>
      </c>
      <c r="J562" s="645">
        <v>3300</v>
      </c>
      <c r="K562" s="646"/>
      <c r="L562" s="647">
        <f>L561+Table16[[#This Row],[المدين (إيداع)]]-Table16[[#This Row],[الدائن (السحب)]]</f>
        <v>225083.16999999993</v>
      </c>
    </row>
    <row r="563" spans="1:12" ht="23.25">
      <c r="A563" s="677">
        <f>SUBTOTAL(3,$E$8:E563)</f>
        <v>64</v>
      </c>
      <c r="B563" s="642">
        <v>43073</v>
      </c>
      <c r="C563" s="643"/>
      <c r="D563" s="644"/>
      <c r="E563" s="376" t="s">
        <v>1161</v>
      </c>
      <c r="F563" s="376" t="s">
        <v>1161</v>
      </c>
      <c r="G563" s="680"/>
      <c r="H563" s="376" t="s">
        <v>1859</v>
      </c>
      <c r="I563" s="687" t="s">
        <v>1860</v>
      </c>
      <c r="J563" s="645">
        <v>9900</v>
      </c>
      <c r="K563" s="646"/>
      <c r="L563" s="647">
        <f>L562+Table16[[#This Row],[المدين (إيداع)]]-Table16[[#This Row],[الدائن (السحب)]]</f>
        <v>234983.16999999993</v>
      </c>
    </row>
    <row r="564" spans="1:12" ht="23.25" hidden="1">
      <c r="A564" s="677">
        <f>SUBTOTAL(3,$E$8:E564)</f>
        <v>64</v>
      </c>
      <c r="B564" s="642">
        <v>43073</v>
      </c>
      <c r="C564" s="376" t="s">
        <v>1800</v>
      </c>
      <c r="D564" s="375" t="s">
        <v>1893</v>
      </c>
      <c r="E564" s="376" t="s">
        <v>1164</v>
      </c>
      <c r="F564" s="376" t="s">
        <v>1165</v>
      </c>
      <c r="G564" s="680">
        <v>907</v>
      </c>
      <c r="H564" s="643"/>
      <c r="I564" s="687" t="s">
        <v>1894</v>
      </c>
      <c r="J564" s="645">
        <v>1200</v>
      </c>
      <c r="K564" s="646"/>
      <c r="L564" s="647">
        <f>L563+Table16[[#This Row],[المدين (إيداع)]]-Table16[[#This Row],[الدائن (السحب)]]</f>
        <v>236183.16999999993</v>
      </c>
    </row>
    <row r="565" spans="1:12" ht="23.25" hidden="1">
      <c r="A565" s="677">
        <f>SUBTOTAL(3,$E$8:E565)</f>
        <v>64</v>
      </c>
      <c r="B565" s="642">
        <v>43073</v>
      </c>
      <c r="C565" s="376" t="s">
        <v>1800</v>
      </c>
      <c r="D565" s="375" t="s">
        <v>1890</v>
      </c>
      <c r="E565" s="376" t="s">
        <v>1164</v>
      </c>
      <c r="F565" s="376" t="s">
        <v>1165</v>
      </c>
      <c r="G565" s="680">
        <v>4992</v>
      </c>
      <c r="H565" s="376" t="s">
        <v>1891</v>
      </c>
      <c r="I565" s="687" t="s">
        <v>1296</v>
      </c>
      <c r="J565" s="645">
        <v>24000</v>
      </c>
      <c r="K565" s="646"/>
      <c r="L565" s="647">
        <f>L564+Table16[[#This Row],[المدين (إيداع)]]-Table16[[#This Row],[الدائن (السحب)]]</f>
        <v>260183.16999999993</v>
      </c>
    </row>
    <row r="566" spans="1:12" ht="23.25" hidden="1">
      <c r="A566" s="677">
        <f>SUBTOTAL(3,$E$8:E566)</f>
        <v>64</v>
      </c>
      <c r="B566" s="642">
        <v>43073</v>
      </c>
      <c r="C566" s="376" t="s">
        <v>1800</v>
      </c>
      <c r="D566" s="375" t="s">
        <v>1893</v>
      </c>
      <c r="E566" s="376" t="s">
        <v>1164</v>
      </c>
      <c r="F566" s="376" t="s">
        <v>1165</v>
      </c>
      <c r="G566" s="680">
        <v>4594</v>
      </c>
      <c r="H566" s="643"/>
      <c r="I566" s="687" t="s">
        <v>1894</v>
      </c>
      <c r="J566" s="645">
        <v>3600</v>
      </c>
      <c r="K566" s="646"/>
      <c r="L566" s="647">
        <f>L565+Table16[[#This Row],[المدين (إيداع)]]-Table16[[#This Row],[الدائن (السحب)]]</f>
        <v>263783.16999999993</v>
      </c>
    </row>
    <row r="567" spans="1:12" ht="23.25" hidden="1">
      <c r="A567" s="677">
        <f>SUBTOTAL(3,$E$8:E567)</f>
        <v>64</v>
      </c>
      <c r="B567" s="642">
        <v>43073</v>
      </c>
      <c r="C567" s="643"/>
      <c r="D567" s="375" t="s">
        <v>2089</v>
      </c>
      <c r="E567" s="376" t="s">
        <v>1161</v>
      </c>
      <c r="F567" s="376" t="s">
        <v>1161</v>
      </c>
      <c r="G567" s="680"/>
      <c r="H567" s="376" t="s">
        <v>1324</v>
      </c>
      <c r="I567" s="687" t="s">
        <v>1296</v>
      </c>
      <c r="J567" s="645">
        <v>18000</v>
      </c>
      <c r="K567" s="646"/>
      <c r="L567" s="647">
        <f>L566+Table16[[#This Row],[المدين (إيداع)]]-Table16[[#This Row],[الدائن (السحب)]]</f>
        <v>281783.16999999993</v>
      </c>
    </row>
    <row r="568" spans="1:12" ht="23.25" hidden="1">
      <c r="A568" s="677">
        <f>SUBTOTAL(3,$E$8:E568)</f>
        <v>64</v>
      </c>
      <c r="B568" s="642">
        <v>43074</v>
      </c>
      <c r="C568" s="376" t="s">
        <v>1800</v>
      </c>
      <c r="D568" s="375" t="s">
        <v>1861</v>
      </c>
      <c r="E568" s="376" t="s">
        <v>1169</v>
      </c>
      <c r="F568" s="376" t="s">
        <v>1169</v>
      </c>
      <c r="G568" s="680">
        <v>307</v>
      </c>
      <c r="H568" s="376" t="s">
        <v>1885</v>
      </c>
      <c r="I568" s="687" t="s">
        <v>1886</v>
      </c>
      <c r="J568" s="645"/>
      <c r="K568" s="646">
        <v>24500</v>
      </c>
      <c r="L568" s="647">
        <f>L567+Table16[[#This Row],[المدين (إيداع)]]-Table16[[#This Row],[الدائن (السحب)]]</f>
        <v>257283.16999999993</v>
      </c>
    </row>
    <row r="569" spans="1:12" ht="23.25" hidden="1">
      <c r="A569" s="677">
        <f>SUBTOTAL(3,$E$8:E569)</f>
        <v>64</v>
      </c>
      <c r="B569" s="642">
        <v>43074</v>
      </c>
      <c r="C569" s="376" t="s">
        <v>1800</v>
      </c>
      <c r="D569" s="375" t="s">
        <v>2022</v>
      </c>
      <c r="E569" s="376" t="s">
        <v>1161</v>
      </c>
      <c r="F569" s="376" t="s">
        <v>1161</v>
      </c>
      <c r="G569" s="680"/>
      <c r="H569" s="376" t="s">
        <v>1788</v>
      </c>
      <c r="I569" s="687" t="s">
        <v>1212</v>
      </c>
      <c r="J569" s="645">
        <v>3000</v>
      </c>
      <c r="K569" s="646"/>
      <c r="L569" s="647">
        <f>L568+Table16[[#This Row],[المدين (إيداع)]]-Table16[[#This Row],[الدائن (السحب)]]</f>
        <v>260283.16999999993</v>
      </c>
    </row>
    <row r="570" spans="1:12" ht="23.25" hidden="1">
      <c r="A570" s="677">
        <f>SUBTOTAL(3,$E$8:E570)</f>
        <v>64</v>
      </c>
      <c r="B570" s="642">
        <v>43074</v>
      </c>
      <c r="C570" s="376" t="s">
        <v>1800</v>
      </c>
      <c r="D570" s="375" t="s">
        <v>1930</v>
      </c>
      <c r="E570" s="376" t="s">
        <v>1156</v>
      </c>
      <c r="F570" s="376" t="s">
        <v>1157</v>
      </c>
      <c r="G570" s="680"/>
      <c r="H570" s="376" t="s">
        <v>1158</v>
      </c>
      <c r="I570" s="687" t="s">
        <v>1157</v>
      </c>
      <c r="J570" s="645"/>
      <c r="K570" s="646">
        <v>30</v>
      </c>
      <c r="L570" s="647">
        <f>L569+Table16[[#This Row],[المدين (إيداع)]]-Table16[[#This Row],[الدائن (السحب)]]</f>
        <v>260253.16999999993</v>
      </c>
    </row>
    <row r="571" spans="1:12" ht="23.25" hidden="1">
      <c r="A571" s="677">
        <f>SUBTOTAL(3,$E$8:E571)</f>
        <v>64</v>
      </c>
      <c r="B571" s="642">
        <v>43074</v>
      </c>
      <c r="C571" s="376" t="s">
        <v>1800</v>
      </c>
      <c r="D571" s="375" t="s">
        <v>1930</v>
      </c>
      <c r="E571" s="376" t="s">
        <v>1156</v>
      </c>
      <c r="F571" s="376" t="s">
        <v>1157</v>
      </c>
      <c r="G571" s="680"/>
      <c r="H571" s="376" t="s">
        <v>1158</v>
      </c>
      <c r="I571" s="687" t="s">
        <v>1157</v>
      </c>
      <c r="J571" s="645"/>
      <c r="K571" s="646">
        <v>25</v>
      </c>
      <c r="L571" s="647">
        <f>L570+Table16[[#This Row],[المدين (إيداع)]]-Table16[[#This Row],[الدائن (السحب)]]</f>
        <v>260228.16999999993</v>
      </c>
    </row>
    <row r="572" spans="1:12" ht="23.25" hidden="1">
      <c r="A572" s="677">
        <f>SUBTOTAL(3,$E$8:E572)</f>
        <v>64</v>
      </c>
      <c r="B572" s="642">
        <v>43075</v>
      </c>
      <c r="C572" s="376" t="s">
        <v>1800</v>
      </c>
      <c r="D572" s="375" t="s">
        <v>1863</v>
      </c>
      <c r="E572" s="376" t="s">
        <v>1862</v>
      </c>
      <c r="F572" s="376" t="s">
        <v>1169</v>
      </c>
      <c r="G572" s="680">
        <v>306</v>
      </c>
      <c r="H572" s="376" t="s">
        <v>1242</v>
      </c>
      <c r="I572" s="687" t="s">
        <v>1864</v>
      </c>
      <c r="J572" s="645"/>
      <c r="K572" s="646">
        <v>72667</v>
      </c>
      <c r="L572" s="647">
        <f>L571+Table16[[#This Row],[المدين (إيداع)]]-Table16[[#This Row],[الدائن (السحب)]]</f>
        <v>187561.16999999993</v>
      </c>
    </row>
    <row r="573" spans="1:12" ht="23.25" hidden="1">
      <c r="A573" s="677">
        <f>SUBTOTAL(3,$E$8:E573)</f>
        <v>64</v>
      </c>
      <c r="B573" s="642">
        <v>43075</v>
      </c>
      <c r="C573" s="376" t="s">
        <v>1800</v>
      </c>
      <c r="D573" s="375" t="s">
        <v>1865</v>
      </c>
      <c r="E573" s="376" t="s">
        <v>1203</v>
      </c>
      <c r="F573" s="376" t="s">
        <v>1152</v>
      </c>
      <c r="G573" s="680"/>
      <c r="H573" s="376" t="s">
        <v>1944</v>
      </c>
      <c r="I573" s="687" t="s">
        <v>1205</v>
      </c>
      <c r="J573" s="645">
        <v>23605</v>
      </c>
      <c r="K573" s="646"/>
      <c r="L573" s="647">
        <f>L572+Table16[[#This Row],[المدين (إيداع)]]-Table16[[#This Row],[الدائن (السحب)]]</f>
        <v>211166.16999999993</v>
      </c>
    </row>
    <row r="574" spans="1:12" ht="23.25" hidden="1">
      <c r="A574" s="677">
        <f>SUBTOTAL(3,$E$8:E574)</f>
        <v>64</v>
      </c>
      <c r="B574" s="642">
        <v>43075</v>
      </c>
      <c r="C574" s="376" t="s">
        <v>1800</v>
      </c>
      <c r="D574" s="375" t="s">
        <v>1865</v>
      </c>
      <c r="E574" s="376" t="s">
        <v>1219</v>
      </c>
      <c r="F574" s="376" t="s">
        <v>1161</v>
      </c>
      <c r="G574" s="680"/>
      <c r="H574" s="376" t="s">
        <v>1945</v>
      </c>
      <c r="I574" s="687" t="s">
        <v>1205</v>
      </c>
      <c r="J574" s="645">
        <v>112500</v>
      </c>
      <c r="K574" s="646"/>
      <c r="L574" s="647">
        <f>L573+Table16[[#This Row],[المدين (إيداع)]]-Table16[[#This Row],[الدائن (السحب)]]</f>
        <v>323666.16999999993</v>
      </c>
    </row>
    <row r="575" spans="1:12" ht="23.25" hidden="1">
      <c r="A575" s="677">
        <f>SUBTOTAL(3,$E$8:E575)</f>
        <v>64</v>
      </c>
      <c r="B575" s="642">
        <v>43075</v>
      </c>
      <c r="C575" s="376" t="s">
        <v>1811</v>
      </c>
      <c r="D575" s="375" t="s">
        <v>2015</v>
      </c>
      <c r="E575" s="376" t="s">
        <v>1161</v>
      </c>
      <c r="F575" s="376" t="s">
        <v>1161</v>
      </c>
      <c r="G575" s="680"/>
      <c r="H575" s="376" t="s">
        <v>1866</v>
      </c>
      <c r="I575" s="687" t="s">
        <v>1212</v>
      </c>
      <c r="J575" s="645">
        <v>300</v>
      </c>
      <c r="K575" s="646"/>
      <c r="L575" s="647">
        <f>L574+Table16[[#This Row],[المدين (إيداع)]]-Table16[[#This Row],[الدائن (السحب)]]</f>
        <v>323966.16999999993</v>
      </c>
    </row>
    <row r="576" spans="1:12" ht="23.25" hidden="1">
      <c r="A576" s="677">
        <f>SUBTOTAL(3,$E$8:E576)</f>
        <v>64</v>
      </c>
      <c r="B576" s="642">
        <v>43076</v>
      </c>
      <c r="C576" s="376" t="s">
        <v>1800</v>
      </c>
      <c r="D576" s="375" t="s">
        <v>1937</v>
      </c>
      <c r="E576" s="376" t="s">
        <v>1195</v>
      </c>
      <c r="F576" s="376" t="s">
        <v>1161</v>
      </c>
      <c r="G576" s="680"/>
      <c r="H576" s="376" t="s">
        <v>1196</v>
      </c>
      <c r="I576" s="687" t="s">
        <v>1936</v>
      </c>
      <c r="J576" s="645">
        <v>3200</v>
      </c>
      <c r="K576" s="646"/>
      <c r="L576" s="647">
        <f>L575+Table16[[#This Row],[المدين (إيداع)]]-Table16[[#This Row],[الدائن (السحب)]]</f>
        <v>327166.16999999993</v>
      </c>
    </row>
    <row r="577" spans="1:12" ht="23.25" hidden="1">
      <c r="A577" s="677">
        <f>SUBTOTAL(3,$E$8:E577)</f>
        <v>64</v>
      </c>
      <c r="B577" s="642">
        <v>43076</v>
      </c>
      <c r="C577" s="376" t="s">
        <v>1800</v>
      </c>
      <c r="D577" s="375" t="s">
        <v>1930</v>
      </c>
      <c r="E577" s="376" t="s">
        <v>1156</v>
      </c>
      <c r="F577" s="376" t="s">
        <v>1157</v>
      </c>
      <c r="G577" s="680"/>
      <c r="H577" s="376" t="s">
        <v>1158</v>
      </c>
      <c r="I577" s="687" t="s">
        <v>1157</v>
      </c>
      <c r="J577" s="645"/>
      <c r="K577" s="646">
        <v>30</v>
      </c>
      <c r="L577" s="647">
        <f>L576+Table16[[#This Row],[المدين (إيداع)]]-Table16[[#This Row],[الدائن (السحب)]]</f>
        <v>327136.16999999993</v>
      </c>
    </row>
    <row r="578" spans="1:12" ht="23.25" hidden="1">
      <c r="A578" s="677">
        <f>SUBTOTAL(3,$E$8:E578)</f>
        <v>64</v>
      </c>
      <c r="B578" s="642">
        <v>43077</v>
      </c>
      <c r="C578" s="376" t="s">
        <v>1800</v>
      </c>
      <c r="D578" s="375" t="s">
        <v>1889</v>
      </c>
      <c r="E578" s="376" t="s">
        <v>1164</v>
      </c>
      <c r="F578" s="376" t="s">
        <v>1165</v>
      </c>
      <c r="G578" s="680">
        <v>2696</v>
      </c>
      <c r="H578" s="376" t="s">
        <v>1153</v>
      </c>
      <c r="I578" s="687" t="s">
        <v>1154</v>
      </c>
      <c r="J578" s="645">
        <v>4500</v>
      </c>
      <c r="K578" s="646"/>
      <c r="L578" s="647">
        <f>L577+Table16[[#This Row],[المدين (إيداع)]]-Table16[[#This Row],[الدائن (السحب)]]</f>
        <v>331636.16999999993</v>
      </c>
    </row>
    <row r="579" spans="1:12" ht="23.25" hidden="1">
      <c r="A579" s="677">
        <f>SUBTOTAL(3,$E$8:E579)</f>
        <v>64</v>
      </c>
      <c r="B579" s="642">
        <v>43077</v>
      </c>
      <c r="C579" s="376" t="s">
        <v>1800</v>
      </c>
      <c r="D579" s="375" t="s">
        <v>1889</v>
      </c>
      <c r="E579" s="376" t="s">
        <v>1164</v>
      </c>
      <c r="F579" s="376" t="s">
        <v>1165</v>
      </c>
      <c r="G579" s="680">
        <v>1375</v>
      </c>
      <c r="H579" s="376" t="s">
        <v>1153</v>
      </c>
      <c r="I579" s="687" t="s">
        <v>1154</v>
      </c>
      <c r="J579" s="645">
        <v>750</v>
      </c>
      <c r="K579" s="646"/>
      <c r="L579" s="647">
        <f>L578+Table16[[#This Row],[المدين (إيداع)]]-Table16[[#This Row],[الدائن (السحب)]]</f>
        <v>332386.16999999993</v>
      </c>
    </row>
    <row r="580" spans="1:12" ht="23.25" hidden="1">
      <c r="A580" s="677">
        <f>SUBTOTAL(3,$E$8:E580)</f>
        <v>64</v>
      </c>
      <c r="B580" s="642">
        <v>43079</v>
      </c>
      <c r="C580" s="376" t="s">
        <v>1800</v>
      </c>
      <c r="D580" s="375" t="s">
        <v>1671</v>
      </c>
      <c r="E580" s="376" t="s">
        <v>1169</v>
      </c>
      <c r="F580" s="376" t="s">
        <v>1169</v>
      </c>
      <c r="G580" s="680">
        <v>309</v>
      </c>
      <c r="H580" s="376" t="s">
        <v>1413</v>
      </c>
      <c r="I580" s="687" t="s">
        <v>1781</v>
      </c>
      <c r="J580" s="645"/>
      <c r="K580" s="646">
        <v>332386.17</v>
      </c>
      <c r="L580" s="647">
        <f>L579+Table16[[#This Row],[المدين (إيداع)]]-Table16[[#This Row],[الدائن (السحب)]]</f>
        <v>0</v>
      </c>
    </row>
    <row r="581" spans="1:12" ht="23.25" hidden="1">
      <c r="A581" s="677">
        <f>SUBTOTAL(3,$E$8:E581)</f>
        <v>64</v>
      </c>
      <c r="B581" s="642">
        <v>43080</v>
      </c>
      <c r="C581" s="643"/>
      <c r="D581" s="375" t="s">
        <v>2089</v>
      </c>
      <c r="E581" s="376" t="s">
        <v>1164</v>
      </c>
      <c r="F581" s="376" t="s">
        <v>1165</v>
      </c>
      <c r="G581" s="680">
        <v>6361</v>
      </c>
      <c r="H581" s="376" t="s">
        <v>1803</v>
      </c>
      <c r="I581" s="687" t="s">
        <v>1296</v>
      </c>
      <c r="J581" s="645">
        <v>9750</v>
      </c>
      <c r="K581" s="646"/>
      <c r="L581" s="647">
        <f>L580+Table16[[#This Row],[المدين (إيداع)]]-Table16[[#This Row],[الدائن (السحب)]]</f>
        <v>9750</v>
      </c>
    </row>
    <row r="582" spans="1:12" ht="23.25" hidden="1">
      <c r="A582" s="677">
        <f>SUBTOTAL(3,$E$8:E582)</f>
        <v>64</v>
      </c>
      <c r="B582" s="642">
        <v>43081</v>
      </c>
      <c r="C582" s="376" t="s">
        <v>1800</v>
      </c>
      <c r="D582" s="375" t="s">
        <v>1889</v>
      </c>
      <c r="E582" s="376" t="s">
        <v>1164</v>
      </c>
      <c r="F582" s="376" t="s">
        <v>1165</v>
      </c>
      <c r="G582" s="680">
        <v>1536</v>
      </c>
      <c r="H582" s="376" t="s">
        <v>1153</v>
      </c>
      <c r="I582" s="687" t="s">
        <v>1154</v>
      </c>
      <c r="J582" s="645">
        <v>2400</v>
      </c>
      <c r="K582" s="646"/>
      <c r="L582" s="647">
        <f>L581+Table16[[#This Row],[المدين (إيداع)]]-Table16[[#This Row],[الدائن (السحب)]]</f>
        <v>12150</v>
      </c>
    </row>
    <row r="583" spans="1:12" ht="23.25" hidden="1">
      <c r="A583" s="677">
        <f>SUBTOTAL(3,$E$8:E583)</f>
        <v>64</v>
      </c>
      <c r="B583" s="642">
        <v>43081</v>
      </c>
      <c r="C583" s="376" t="s">
        <v>1800</v>
      </c>
      <c r="D583" s="375" t="s">
        <v>1896</v>
      </c>
      <c r="E583" s="376" t="s">
        <v>1208</v>
      </c>
      <c r="F583" s="376" t="s">
        <v>1161</v>
      </c>
      <c r="G583" s="680"/>
      <c r="H583" s="376" t="s">
        <v>1209</v>
      </c>
      <c r="I583" s="687" t="s">
        <v>1224</v>
      </c>
      <c r="J583" s="645">
        <v>16600</v>
      </c>
      <c r="K583" s="646"/>
      <c r="L583" s="647">
        <f>L582+Table16[[#This Row],[المدين (إيداع)]]-Table16[[#This Row],[الدائن (السحب)]]</f>
        <v>28750</v>
      </c>
    </row>
    <row r="584" spans="1:12" ht="23.25" hidden="1">
      <c r="A584" s="677">
        <f>SUBTOTAL(3,$E$8:E584)</f>
        <v>64</v>
      </c>
      <c r="B584" s="642">
        <v>43081</v>
      </c>
      <c r="C584" s="376" t="s">
        <v>1811</v>
      </c>
      <c r="D584" s="375" t="s">
        <v>2015</v>
      </c>
      <c r="E584" s="376" t="s">
        <v>1161</v>
      </c>
      <c r="F584" s="376" t="s">
        <v>1161</v>
      </c>
      <c r="G584" s="680"/>
      <c r="H584" s="376" t="s">
        <v>1776</v>
      </c>
      <c r="I584" s="687" t="s">
        <v>1212</v>
      </c>
      <c r="J584" s="645">
        <v>600</v>
      </c>
      <c r="K584" s="646"/>
      <c r="L584" s="647">
        <f>L583+Table16[[#This Row],[المدين (إيداع)]]-Table16[[#This Row],[الدائن (السحب)]]</f>
        <v>29350</v>
      </c>
    </row>
    <row r="585" spans="1:12" ht="23.25" hidden="1">
      <c r="A585" s="677">
        <f>SUBTOTAL(3,$E$8:E585)</f>
        <v>64</v>
      </c>
      <c r="B585" s="642">
        <v>43083</v>
      </c>
      <c r="C585" s="643"/>
      <c r="D585" s="375" t="s">
        <v>2088</v>
      </c>
      <c r="E585" s="376" t="s">
        <v>1161</v>
      </c>
      <c r="F585" s="376" t="s">
        <v>1161</v>
      </c>
      <c r="G585" s="680"/>
      <c r="H585" s="376" t="s">
        <v>1764</v>
      </c>
      <c r="I585" s="687" t="s">
        <v>1296</v>
      </c>
      <c r="J585" s="645">
        <v>16488</v>
      </c>
      <c r="K585" s="646"/>
      <c r="L585" s="647">
        <f>L584+Table16[[#This Row],[المدين (إيداع)]]-Table16[[#This Row],[الدائن (السحب)]]</f>
        <v>45838</v>
      </c>
    </row>
    <row r="586" spans="1:12" ht="23.25" hidden="1">
      <c r="A586" s="677">
        <f>SUBTOTAL(3,$E$8:E586)</f>
        <v>64</v>
      </c>
      <c r="B586" s="642">
        <v>43084</v>
      </c>
      <c r="C586" s="643"/>
      <c r="D586" s="375" t="s">
        <v>2064</v>
      </c>
      <c r="E586" s="376" t="s">
        <v>1164</v>
      </c>
      <c r="F586" s="376" t="s">
        <v>1165</v>
      </c>
      <c r="G586" s="680">
        <v>317</v>
      </c>
      <c r="H586" s="376" t="s">
        <v>2026</v>
      </c>
      <c r="I586" s="687" t="s">
        <v>2025</v>
      </c>
      <c r="J586" s="645">
        <v>28250</v>
      </c>
      <c r="K586" s="646"/>
      <c r="L586" s="647">
        <f>L585+Table16[[#This Row],[المدين (إيداع)]]-Table16[[#This Row],[الدائن (السحب)]]</f>
        <v>74088</v>
      </c>
    </row>
    <row r="587" spans="1:12" ht="23.25" hidden="1">
      <c r="A587" s="677">
        <f>SUBTOTAL(3,$E$8:E587)</f>
        <v>64</v>
      </c>
      <c r="B587" s="642">
        <v>43084</v>
      </c>
      <c r="C587" s="376" t="s">
        <v>1800</v>
      </c>
      <c r="D587" s="375" t="s">
        <v>1895</v>
      </c>
      <c r="E587" s="376" t="s">
        <v>1164</v>
      </c>
      <c r="F587" s="376" t="s">
        <v>1165</v>
      </c>
      <c r="G587" s="680">
        <v>1833</v>
      </c>
      <c r="H587" s="376" t="s">
        <v>1153</v>
      </c>
      <c r="I587" s="687" t="s">
        <v>1154</v>
      </c>
      <c r="J587" s="645">
        <v>3000</v>
      </c>
      <c r="K587" s="646"/>
      <c r="L587" s="647">
        <f>L586+Table16[[#This Row],[المدين (إيداع)]]-Table16[[#This Row],[الدائن (السحب)]]</f>
        <v>77088</v>
      </c>
    </row>
    <row r="588" spans="1:12" ht="23.25" hidden="1">
      <c r="A588" s="677">
        <f>SUBTOTAL(3,$E$8:E588)</f>
        <v>64</v>
      </c>
      <c r="B588" s="642">
        <v>43087</v>
      </c>
      <c r="C588" s="643"/>
      <c r="D588" s="375" t="s">
        <v>2200</v>
      </c>
      <c r="E588" s="376" t="s">
        <v>1169</v>
      </c>
      <c r="F588" s="376" t="s">
        <v>1169</v>
      </c>
      <c r="G588" s="680"/>
      <c r="H588" s="376" t="s">
        <v>168</v>
      </c>
      <c r="I588" s="687" t="s">
        <v>1781</v>
      </c>
      <c r="J588" s="645"/>
      <c r="K588" s="646">
        <v>77088</v>
      </c>
      <c r="L588" s="647">
        <f>L587+Table16[[#This Row],[المدين (إيداع)]]-Table16[[#This Row],[الدائن (السحب)]]</f>
        <v>0</v>
      </c>
    </row>
  </sheetData>
  <dataValidations count="1">
    <dataValidation type="custom" allowBlank="1" showInputMessage="1" showErrorMessage="1" sqref="A8:A588" xr:uid="{EDE2AC3C-3C3D-4539-94C8-96C878E01326}">
      <formula1>SUBTOTAL(3,$E$8:E8)</formula1>
    </dataValidation>
  </dataValidations>
  <printOptions horizontalCentered="1"/>
  <pageMargins left="0.23622047244094491" right="0.23622047244094491" top="0.78740157480314965" bottom="0.74803149606299213" header="0.31496062992125984" footer="0.31496062992125984"/>
  <pageSetup paperSize="9" scale="40" fitToHeight="0" orientation="landscape" r:id="rId1"/>
  <headerFooter>
    <oddHeader>&amp;L&amp;"-,Bold Italic"&amp;18شركة الرسين للصيانة
&amp;K00+000...&amp;K01+000الإدارة المالية&amp;K00+000...&amp;R&amp;G</oddHeader>
    <oddFooter>&amp;L&amp;"-,Bold Italic"&amp;16محمد أحمد مهدي&amp;C&amp;"-,Bold Italic"&amp;18صفحة رقم &amp;P من &amp;N&amp;R&amp;"-,Bold Italic"&amp;16كشف حساب البنك عن الفترة 
من 01-01-2017 حتى 31/12/2017
الراجحي 454608010306125</oddFooter>
  </headerFooter>
  <ignoredErrors>
    <ignoredError sqref="L8" calculatedColumn="1"/>
  </ignoredErrors>
  <legacyDrawing r:id="rId2"/>
  <legacyDrawingHF r:id="rId3"/>
  <tableParts count="3"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V279"/>
  <sheetViews>
    <sheetView rightToLeft="1" zoomScale="40" zoomScaleNormal="40" workbookViewId="0">
      <pane xSplit="3" ySplit="2" topLeftCell="R3" activePane="bottomRight" state="frozen"/>
      <selection pane="topRight" activeCell="E1" sqref="E1"/>
      <selection pane="bottomLeft" activeCell="A3" sqref="A3"/>
      <selection pane="bottomRight" activeCell="C193" sqref="C193"/>
    </sheetView>
  </sheetViews>
  <sheetFormatPr defaultRowHeight="29.25"/>
  <cols>
    <col min="1" max="1" width="9.140625" style="92"/>
    <col min="2" max="2" width="26.42578125" style="226" customWidth="1"/>
    <col min="3" max="3" width="66.7109375" style="244" customWidth="1"/>
    <col min="4" max="4" width="28.7109375" style="236" customWidth="1"/>
    <col min="5" max="5" width="12.140625" style="237" customWidth="1"/>
    <col min="6" max="6" width="37.28515625" style="238" bestFit="1" customWidth="1"/>
    <col min="7" max="7" width="26" style="239" customWidth="1"/>
    <col min="8" max="8" width="16.42578125" style="239" customWidth="1"/>
    <col min="9" max="11" width="29.42578125" style="239" customWidth="1"/>
    <col min="12" max="12" width="29.140625" style="239" customWidth="1"/>
    <col min="13" max="13" width="19.42578125" style="239" customWidth="1"/>
    <col min="14" max="14" width="28.7109375" style="245" customWidth="1"/>
    <col min="15" max="15" width="33.28515625" style="232" customWidth="1"/>
    <col min="16" max="16" width="16.28515625" style="232" customWidth="1"/>
    <col min="17" max="17" width="24.28515625" style="232" customWidth="1"/>
    <col min="18" max="18" width="26.5703125" style="233" customWidth="1"/>
    <col min="19" max="19" width="24.5703125" style="232" customWidth="1"/>
    <col min="20" max="20" width="19.42578125" style="232" customWidth="1"/>
    <col min="21" max="21" width="37.42578125" style="517" customWidth="1"/>
    <col min="22" max="22" width="19.42578125" style="232" customWidth="1"/>
    <col min="23" max="23" width="24.140625" style="92" customWidth="1"/>
    <col min="24" max="24" width="32.85546875" style="92" customWidth="1"/>
    <col min="25" max="25" width="22.7109375" style="92" customWidth="1"/>
    <col min="26" max="26" width="19.42578125" style="92" customWidth="1"/>
    <col min="27" max="27" width="28.5703125" style="234" customWidth="1"/>
    <col min="28" max="28" width="19.42578125" style="92" customWidth="1"/>
    <col min="29" max="29" width="27.140625" style="92" customWidth="1"/>
    <col min="30" max="30" width="25.85546875" style="92" customWidth="1"/>
    <col min="31" max="31" width="27.42578125" style="92" customWidth="1"/>
    <col min="32" max="32" width="19.42578125" style="92" customWidth="1"/>
    <col min="33" max="33" width="35.140625" style="92" customWidth="1"/>
    <col min="34" max="35" width="19.42578125" style="92" customWidth="1"/>
    <col min="36" max="36" width="29.5703125" style="234" customWidth="1"/>
    <col min="37" max="38" width="19.42578125" style="92" customWidth="1"/>
    <col min="39" max="39" width="29.5703125" style="234" customWidth="1"/>
    <col min="40" max="41" width="19.42578125" style="92" customWidth="1"/>
    <col min="42" max="42" width="23.5703125" style="92" customWidth="1"/>
    <col min="43" max="43" width="28" style="92" customWidth="1"/>
    <col min="44" max="44" width="19.42578125" style="92" customWidth="1"/>
    <col min="45" max="45" width="33.140625" style="92" customWidth="1"/>
    <col min="46" max="47" width="19.42578125" style="92" customWidth="1"/>
    <col min="48" max="48" width="25.5703125" style="92" bestFit="1" customWidth="1"/>
    <col min="49" max="16384" width="9.140625" style="92"/>
  </cols>
  <sheetData>
    <row r="1" spans="1:48" ht="42.75" customHeight="1" thickTop="1">
      <c r="A1" s="763" t="s">
        <v>906</v>
      </c>
      <c r="B1" s="764"/>
      <c r="C1" s="764"/>
      <c r="D1" s="764"/>
      <c r="E1" s="764"/>
      <c r="F1" s="764"/>
      <c r="G1" s="764"/>
      <c r="H1" s="765" t="s">
        <v>907</v>
      </c>
      <c r="I1" s="765"/>
      <c r="J1" s="765"/>
      <c r="K1" s="766"/>
      <c r="L1" s="767" t="s">
        <v>908</v>
      </c>
      <c r="M1" s="768"/>
      <c r="N1" s="768"/>
      <c r="O1" s="769"/>
      <c r="P1" s="760" t="s">
        <v>909</v>
      </c>
      <c r="Q1" s="761"/>
      <c r="R1" s="761"/>
      <c r="S1" s="762"/>
      <c r="T1" s="767" t="s">
        <v>910</v>
      </c>
      <c r="U1" s="768"/>
      <c r="V1" s="769"/>
      <c r="W1" s="760" t="s">
        <v>911</v>
      </c>
      <c r="X1" s="761"/>
      <c r="Y1" s="762"/>
      <c r="Z1" s="767" t="s">
        <v>912</v>
      </c>
      <c r="AA1" s="768"/>
      <c r="AB1" s="769"/>
      <c r="AC1" s="760" t="s">
        <v>913</v>
      </c>
      <c r="AD1" s="761"/>
      <c r="AE1" s="762"/>
      <c r="AF1" s="767" t="s">
        <v>914</v>
      </c>
      <c r="AG1" s="768"/>
      <c r="AH1" s="769"/>
      <c r="AI1" s="760" t="s">
        <v>915</v>
      </c>
      <c r="AJ1" s="780"/>
      <c r="AK1" s="762"/>
      <c r="AL1" s="767" t="s">
        <v>916</v>
      </c>
      <c r="AM1" s="768"/>
      <c r="AN1" s="769"/>
      <c r="AO1" s="760" t="s">
        <v>917</v>
      </c>
      <c r="AP1" s="761"/>
      <c r="AQ1" s="762"/>
      <c r="AR1" s="767" t="s">
        <v>918</v>
      </c>
      <c r="AS1" s="768"/>
      <c r="AT1" s="769"/>
      <c r="AU1" s="770" t="s">
        <v>919</v>
      </c>
      <c r="AV1" s="771"/>
    </row>
    <row r="2" spans="1:48" s="109" customFormat="1" ht="42.75" customHeight="1">
      <c r="A2" s="93" t="s">
        <v>72</v>
      </c>
      <c r="B2" s="94" t="s">
        <v>920</v>
      </c>
      <c r="C2" s="95" t="s">
        <v>921</v>
      </c>
      <c r="D2" s="96" t="s">
        <v>922</v>
      </c>
      <c r="E2" s="97" t="s">
        <v>86</v>
      </c>
      <c r="F2" s="97" t="s">
        <v>923</v>
      </c>
      <c r="G2" s="98" t="s">
        <v>924</v>
      </c>
      <c r="H2" s="99" t="s">
        <v>925</v>
      </c>
      <c r="I2" s="99" t="s">
        <v>926</v>
      </c>
      <c r="J2" s="100" t="s">
        <v>927</v>
      </c>
      <c r="K2" s="101" t="s">
        <v>928</v>
      </c>
      <c r="L2" s="102" t="s">
        <v>929</v>
      </c>
      <c r="M2" s="99" t="s">
        <v>930</v>
      </c>
      <c r="N2" s="103" t="s">
        <v>908</v>
      </c>
      <c r="O2" s="104" t="s">
        <v>931</v>
      </c>
      <c r="P2" s="105" t="s">
        <v>932</v>
      </c>
      <c r="Q2" s="99" t="s">
        <v>933</v>
      </c>
      <c r="R2" s="103" t="s">
        <v>909</v>
      </c>
      <c r="S2" s="101" t="s">
        <v>934</v>
      </c>
      <c r="T2" s="102" t="s">
        <v>935</v>
      </c>
      <c r="U2" s="515" t="s">
        <v>910</v>
      </c>
      <c r="V2" s="106" t="s">
        <v>936</v>
      </c>
      <c r="W2" s="105" t="s">
        <v>937</v>
      </c>
      <c r="X2" s="100" t="s">
        <v>911</v>
      </c>
      <c r="Y2" s="101" t="s">
        <v>938</v>
      </c>
      <c r="Z2" s="102" t="s">
        <v>939</v>
      </c>
      <c r="AA2" s="103" t="s">
        <v>912</v>
      </c>
      <c r="AB2" s="106" t="s">
        <v>940</v>
      </c>
      <c r="AC2" s="105" t="s">
        <v>941</v>
      </c>
      <c r="AD2" s="100" t="s">
        <v>913</v>
      </c>
      <c r="AE2" s="101" t="s">
        <v>942</v>
      </c>
      <c r="AF2" s="102" t="s">
        <v>943</v>
      </c>
      <c r="AG2" s="100" t="s">
        <v>944</v>
      </c>
      <c r="AH2" s="106" t="s">
        <v>945</v>
      </c>
      <c r="AI2" s="105" t="s">
        <v>946</v>
      </c>
      <c r="AJ2" s="103" t="s">
        <v>915</v>
      </c>
      <c r="AK2" s="101" t="s">
        <v>947</v>
      </c>
      <c r="AL2" s="102" t="s">
        <v>948</v>
      </c>
      <c r="AM2" s="103" t="s">
        <v>916</v>
      </c>
      <c r="AN2" s="106" t="s">
        <v>949</v>
      </c>
      <c r="AO2" s="105" t="s">
        <v>950</v>
      </c>
      <c r="AP2" s="100" t="s">
        <v>917</v>
      </c>
      <c r="AQ2" s="101" t="s">
        <v>951</v>
      </c>
      <c r="AR2" s="102" t="s">
        <v>952</v>
      </c>
      <c r="AS2" s="100" t="s">
        <v>918</v>
      </c>
      <c r="AT2" s="106" t="s">
        <v>953</v>
      </c>
      <c r="AU2" s="107" t="s">
        <v>954</v>
      </c>
      <c r="AV2" s="108" t="s">
        <v>955</v>
      </c>
    </row>
    <row r="3" spans="1:48" s="109" customFormat="1" ht="42.75" hidden="1" customHeight="1">
      <c r="A3" s="533">
        <f>SUBTOTAL(3,$B$3:B3)</f>
        <v>0</v>
      </c>
      <c r="B3" s="111">
        <v>30249</v>
      </c>
      <c r="C3" s="112" t="s">
        <v>1577</v>
      </c>
      <c r="D3" s="113" t="s">
        <v>957</v>
      </c>
      <c r="E3" s="535" t="s">
        <v>990</v>
      </c>
      <c r="F3" s="115">
        <f>RANK(G3,MyGrid3[الاساسي])</f>
        <v>10</v>
      </c>
      <c r="G3" s="130">
        <v>2000</v>
      </c>
      <c r="H3" s="131"/>
      <c r="I3" s="132">
        <f>RANK(J3,MyGrid3[يناير])</f>
        <v>81</v>
      </c>
      <c r="J3" s="536"/>
      <c r="K3" s="118">
        <f>MyGrid3[[#This Row],[يناير]]/$J$187</f>
        <v>0</v>
      </c>
      <c r="L3" s="133"/>
      <c r="M3" s="132">
        <f>RANK(N3,MyGrid3[فبراير])</f>
        <v>101</v>
      </c>
      <c r="N3" s="537"/>
      <c r="O3" s="121">
        <f>MyGrid3[[#This Row],[فبراير]]/$N$187</f>
        <v>0</v>
      </c>
      <c r="P3" s="394"/>
      <c r="Q3" s="132">
        <f>RANK(R3,MyGrid3[مارس])</f>
        <v>110</v>
      </c>
      <c r="R3" s="539"/>
      <c r="S3" s="118">
        <f>MyGrid3[[#This Row],[مارس]]/$R$187</f>
        <v>0</v>
      </c>
      <c r="T3" s="133"/>
      <c r="U3" s="540"/>
      <c r="V3" s="121">
        <f>MyGrid3[[#This Row],[أبريل]]/$U$187</f>
        <v>0</v>
      </c>
      <c r="W3" s="395"/>
      <c r="X3" s="540"/>
      <c r="Y3" s="118">
        <f>MyGrid3[[#This Row],[مايو]]/$X$187</f>
        <v>0</v>
      </c>
      <c r="Z3" s="137"/>
      <c r="AA3" s="539"/>
      <c r="AB3" s="121">
        <f>MyGrid3[[#This Row],[يونيو]]/$AA$187</f>
        <v>0</v>
      </c>
      <c r="AC3" s="395"/>
      <c r="AD3" s="539"/>
      <c r="AE3" s="118">
        <f>MyGrid3[[#This Row],[يوليو]]/$AD$187</f>
        <v>0</v>
      </c>
      <c r="AF3" s="137"/>
      <c r="AG3" s="540"/>
      <c r="AH3" s="121">
        <f>MyGrid3[[#This Row],[أغسطس]]/$AG$187</f>
        <v>0</v>
      </c>
      <c r="AI3" s="395"/>
      <c r="AJ3" s="539"/>
      <c r="AK3" s="118">
        <f>MyGrid3[[#This Row],[سبتمبر]]/$AJ$187</f>
        <v>0</v>
      </c>
      <c r="AL3" s="137"/>
      <c r="AM3" s="539"/>
      <c r="AN3" s="538" t="e">
        <f>MyGrid3[[#This Row],[أكتوبر]]/$AM$186</f>
        <v>#DIV/0!</v>
      </c>
      <c r="AO3" s="395"/>
      <c r="AP3" s="539">
        <v>0</v>
      </c>
      <c r="AQ3" s="125">
        <f>MyGrid3[[#This Row],[نوفمبر]]/$AP$187</f>
        <v>0</v>
      </c>
      <c r="AR3" s="137" t="s">
        <v>990</v>
      </c>
      <c r="AS3" s="539">
        <v>2000</v>
      </c>
      <c r="AT3" s="121">
        <f>MyGrid3[[#This Row],[ديسمبر]]/$AS$187</f>
        <v>2.4615384615384617</v>
      </c>
      <c r="AU3" s="541">
        <f>J3+N3+R3+U3+X3+AA3+AD3+AG3+AJ3+AM3+AP3+AS3</f>
        <v>2000</v>
      </c>
      <c r="AV3" s="127">
        <f>MyGrid3[[#This Row],[الإجمالي]]/$AU$187</f>
        <v>0.16452428625251517</v>
      </c>
    </row>
    <row r="4" spans="1:48" s="128" customFormat="1" ht="33" hidden="1" customHeight="1">
      <c r="A4" s="110">
        <f>SUBTOTAL(3,$B$4:B4)</f>
        <v>0</v>
      </c>
      <c r="B4" s="111">
        <v>50427</v>
      </c>
      <c r="C4" s="112" t="s">
        <v>956</v>
      </c>
      <c r="D4" s="113" t="s">
        <v>957</v>
      </c>
      <c r="E4" s="114" t="s">
        <v>64</v>
      </c>
      <c r="F4" s="115">
        <f>RANK(G4,MyGrid3[الاساسي])</f>
        <v>30</v>
      </c>
      <c r="G4" s="116">
        <v>1600</v>
      </c>
      <c r="H4" s="114" t="s">
        <v>958</v>
      </c>
      <c r="I4" s="115">
        <f>RANK(J4,MyGrid3[يناير])</f>
        <v>81</v>
      </c>
      <c r="J4" s="117">
        <v>0</v>
      </c>
      <c r="K4" s="118">
        <f>MyGrid3[[#This Row],[يناير]]/$J$187</f>
        <v>0</v>
      </c>
      <c r="L4" s="119" t="s">
        <v>64</v>
      </c>
      <c r="M4" s="115">
        <f>RANK(N4,MyGrid3[فبراير])</f>
        <v>11</v>
      </c>
      <c r="N4" s="120">
        <v>1866.66</v>
      </c>
      <c r="O4" s="121">
        <f>MyGrid3[[#This Row],[فبراير]]/$N$187</f>
        <v>1.3215292035398232</v>
      </c>
      <c r="P4" s="122" t="s">
        <v>64</v>
      </c>
      <c r="Q4" s="115">
        <f>RANK(R4,MyGrid3[مارس])</f>
        <v>15</v>
      </c>
      <c r="R4" s="123">
        <v>2133.33</v>
      </c>
      <c r="S4" s="118">
        <f>MyGrid3[[#This Row],[مارس]]/$R$187</f>
        <v>1.5103221238938052</v>
      </c>
      <c r="T4" s="119" t="s">
        <v>64</v>
      </c>
      <c r="U4" s="397">
        <v>2400</v>
      </c>
      <c r="V4" s="121">
        <f>MyGrid3[[#This Row],[أبريل]]/$U$187</f>
        <v>1.6991150442477876</v>
      </c>
      <c r="W4" s="122" t="s">
        <v>64</v>
      </c>
      <c r="X4" s="397">
        <v>2400</v>
      </c>
      <c r="Y4" s="118">
        <f>MyGrid3[[#This Row],[مايو]]/$X$187</f>
        <v>1.696604669904354</v>
      </c>
      <c r="Z4" s="119" t="s">
        <v>64</v>
      </c>
      <c r="AA4" s="123">
        <v>2400</v>
      </c>
      <c r="AB4" s="121">
        <f>MyGrid3[[#This Row],[يونيو]]/$AA$187</f>
        <v>11.07675266534361</v>
      </c>
      <c r="AC4" s="122" t="s">
        <v>64</v>
      </c>
      <c r="AD4" s="123">
        <v>2000</v>
      </c>
      <c r="AE4" s="118">
        <f>MyGrid3[[#This Row],[يوليو]]/$AD$187</f>
        <v>2.4615384615384617</v>
      </c>
      <c r="AF4" s="119" t="s">
        <v>64</v>
      </c>
      <c r="AG4" s="124">
        <v>2000</v>
      </c>
      <c r="AH4" s="121">
        <f>MyGrid3[[#This Row],[أغسطس]]/$AG$187</f>
        <v>2.4615384615384617</v>
      </c>
      <c r="AI4" s="122" t="s">
        <v>64</v>
      </c>
      <c r="AJ4" s="123">
        <v>2000</v>
      </c>
      <c r="AK4" s="118">
        <f>MyGrid3[[#This Row],[سبتمبر]]/$AJ$187</f>
        <v>2.4615384615384617</v>
      </c>
      <c r="AL4" s="119" t="s">
        <v>64</v>
      </c>
      <c r="AM4" s="123"/>
      <c r="AN4" s="121">
        <f>MyGrid3[[#This Row],[أكتوبر]]/$AM$187</f>
        <v>0</v>
      </c>
      <c r="AO4" s="122" t="s">
        <v>64</v>
      </c>
      <c r="AP4" s="123"/>
      <c r="AQ4" s="125">
        <f>MyGrid3[[#This Row],[نوفمبر]]/$AP$187</f>
        <v>0</v>
      </c>
      <c r="AR4" s="119" t="s">
        <v>64</v>
      </c>
      <c r="AS4" s="391"/>
      <c r="AT4" s="121">
        <f>MyGrid3[[#This Row],[ديسمبر]]/$AS$187</f>
        <v>0</v>
      </c>
      <c r="AU4" s="126">
        <f t="shared" ref="AU4:AU80" si="0">J4+N4+R4+U4+X4+AA4+AD4+AG4+AJ4+AM4+AP4+AS4</f>
        <v>17199.989999999998</v>
      </c>
      <c r="AV4" s="127">
        <f>MyGrid3[[#This Row],[الإجمالي]]/$AU$187</f>
        <v>1.4149080391501989</v>
      </c>
    </row>
    <row r="5" spans="1:48" s="128" customFormat="1" ht="33" hidden="1" customHeight="1">
      <c r="A5" s="110">
        <f>SUBTOTAL(3,$B$4:B5)</f>
        <v>0</v>
      </c>
      <c r="B5" s="111">
        <v>50560</v>
      </c>
      <c r="C5" s="112" t="s">
        <v>959</v>
      </c>
      <c r="D5" s="113" t="s">
        <v>957</v>
      </c>
      <c r="E5" s="129" t="s">
        <v>64</v>
      </c>
      <c r="F5" s="115">
        <f>RANK(G5,MyGrid3[الاساسي])</f>
        <v>30</v>
      </c>
      <c r="G5" s="130">
        <v>1600</v>
      </c>
      <c r="H5" s="131"/>
      <c r="I5" s="132">
        <f>RANK(J5,MyGrid3[يناير])</f>
        <v>81</v>
      </c>
      <c r="J5" s="117"/>
      <c r="K5" s="118">
        <f>MyGrid3[[#This Row],[يناير]]/$J$187</f>
        <v>0</v>
      </c>
      <c r="L5" s="133"/>
      <c r="M5" s="132">
        <f>RANK(N5,MyGrid3[فبراير])</f>
        <v>101</v>
      </c>
      <c r="N5" s="134"/>
      <c r="O5" s="121">
        <f>MyGrid3[[#This Row],[فبراير]]/$N$187</f>
        <v>0</v>
      </c>
      <c r="P5" s="135"/>
      <c r="Q5" s="132">
        <f>RANK(R5,MyGrid3[مارس])</f>
        <v>110</v>
      </c>
      <c r="R5" s="123"/>
      <c r="S5" s="118">
        <f>MyGrid3[[#This Row],[مارس]]/$R$187</f>
        <v>0</v>
      </c>
      <c r="T5" s="133"/>
      <c r="U5" s="397"/>
      <c r="V5" s="121">
        <f>MyGrid3[[#This Row],[أبريل]]/$U$187</f>
        <v>0</v>
      </c>
      <c r="W5" s="136"/>
      <c r="X5" s="397"/>
      <c r="Y5" s="118">
        <f>MyGrid3[[#This Row],[مايو]]/$X$187</f>
        <v>0</v>
      </c>
      <c r="Z5" s="137"/>
      <c r="AA5" s="123"/>
      <c r="AB5" s="121">
        <f>MyGrid3[[#This Row],[يونيو]]/$AA$187</f>
        <v>0</v>
      </c>
      <c r="AC5" s="136"/>
      <c r="AD5" s="123"/>
      <c r="AE5" s="118">
        <f>MyGrid3[[#This Row],[يوليو]]/$AD$187</f>
        <v>0</v>
      </c>
      <c r="AF5" s="137"/>
      <c r="AG5" s="138"/>
      <c r="AH5" s="121">
        <f>MyGrid3[[#This Row],[أغسطس]]/$AG$187</f>
        <v>0</v>
      </c>
      <c r="AI5" s="136"/>
      <c r="AJ5" s="123"/>
      <c r="AK5" s="118">
        <f>MyGrid3[[#This Row],[سبتمبر]]/$AJ$187</f>
        <v>0</v>
      </c>
      <c r="AL5" s="137"/>
      <c r="AM5" s="123"/>
      <c r="AN5" s="121">
        <f>MyGrid3[[#This Row],[أكتوبر]]/$AM$187</f>
        <v>0</v>
      </c>
      <c r="AO5" s="136" t="s">
        <v>64</v>
      </c>
      <c r="AP5" s="123">
        <v>640</v>
      </c>
      <c r="AQ5" s="125">
        <f>MyGrid3[[#This Row],[نوفمبر]]/$AP$187</f>
        <v>0.78769230769230769</v>
      </c>
      <c r="AR5" s="137" t="s">
        <v>64</v>
      </c>
      <c r="AS5" s="391">
        <v>1600</v>
      </c>
      <c r="AT5" s="121">
        <f>MyGrid3[[#This Row],[ديسمبر]]/$AS$187</f>
        <v>1.9692307692307693</v>
      </c>
      <c r="AU5" s="126">
        <f>J5+N5+R5+U5+X5+AA5+AD5+AG5+AJ5+AM5+AP5+AS5</f>
        <v>2240</v>
      </c>
      <c r="AV5" s="127">
        <f>MyGrid3[[#This Row],[الإجمالي]]/$AU$187</f>
        <v>0.18426720060281698</v>
      </c>
    </row>
    <row r="6" spans="1:48" s="128" customFormat="1" ht="33" hidden="1" customHeight="1">
      <c r="A6" s="110">
        <f>SUBTOTAL(3,$B$4:B6)</f>
        <v>0</v>
      </c>
      <c r="B6" s="111">
        <v>50882</v>
      </c>
      <c r="C6" s="112" t="s">
        <v>960</v>
      </c>
      <c r="D6" s="113" t="s">
        <v>957</v>
      </c>
      <c r="E6" s="129" t="s">
        <v>64</v>
      </c>
      <c r="F6" s="115">
        <f>RANK(G6,MyGrid3[الاساسي])</f>
        <v>43</v>
      </c>
      <c r="G6" s="130">
        <v>1300</v>
      </c>
      <c r="H6" s="131"/>
      <c r="I6" s="132">
        <f>RANK(J6,MyGrid3[يناير])</f>
        <v>81</v>
      </c>
      <c r="J6" s="117"/>
      <c r="K6" s="118">
        <f>MyGrid3[[#This Row],[يناير]]/$J$187</f>
        <v>0</v>
      </c>
      <c r="L6" s="133"/>
      <c r="M6" s="132">
        <f>RANK(N6,MyGrid3[فبراير])</f>
        <v>101</v>
      </c>
      <c r="N6" s="134"/>
      <c r="O6" s="121">
        <f>MyGrid3[[#This Row],[فبراير]]/$N$187</f>
        <v>0</v>
      </c>
      <c r="P6" s="135"/>
      <c r="Q6" s="132">
        <f>RANK(R6,MyGrid3[مارس])</f>
        <v>110</v>
      </c>
      <c r="R6" s="123"/>
      <c r="S6" s="118">
        <f>MyGrid3[[#This Row],[مارس]]/$R$187</f>
        <v>0</v>
      </c>
      <c r="T6" s="133"/>
      <c r="U6" s="397"/>
      <c r="V6" s="121">
        <f>MyGrid3[[#This Row],[أبريل]]/$U$187</f>
        <v>0</v>
      </c>
      <c r="W6" s="136"/>
      <c r="X6" s="397"/>
      <c r="Y6" s="118">
        <f>MyGrid3[[#This Row],[مايو]]/$X$187</f>
        <v>0</v>
      </c>
      <c r="Z6" s="137"/>
      <c r="AA6" s="123"/>
      <c r="AB6" s="121">
        <f>MyGrid3[[#This Row],[يونيو]]/$AA$187</f>
        <v>0</v>
      </c>
      <c r="AC6" s="136"/>
      <c r="AD6" s="123"/>
      <c r="AE6" s="118">
        <f>MyGrid3[[#This Row],[يوليو]]/$AD$187</f>
        <v>0</v>
      </c>
      <c r="AF6" s="137"/>
      <c r="AG6" s="138"/>
      <c r="AH6" s="121">
        <f>MyGrid3[[#This Row],[أغسطس]]/$AG$187</f>
        <v>0</v>
      </c>
      <c r="AI6" s="136"/>
      <c r="AJ6" s="123"/>
      <c r="AK6" s="118">
        <f>MyGrid3[[#This Row],[سبتمبر]]/$AJ$187</f>
        <v>0</v>
      </c>
      <c r="AL6" s="137"/>
      <c r="AM6" s="123"/>
      <c r="AN6" s="121">
        <f>MyGrid3[[#This Row],[أكتوبر]]/$AM$187</f>
        <v>0</v>
      </c>
      <c r="AO6" s="136" t="s">
        <v>64</v>
      </c>
      <c r="AP6" s="123">
        <v>953.33</v>
      </c>
      <c r="AQ6" s="125">
        <f>MyGrid3[[#This Row],[نوفمبر]]/$AP$187</f>
        <v>1.1733292307692309</v>
      </c>
      <c r="AR6" s="137" t="s">
        <v>64</v>
      </c>
      <c r="AS6" s="391">
        <v>1300</v>
      </c>
      <c r="AT6" s="121">
        <f>MyGrid3[[#This Row],[ديسمبر]]/$AS$187</f>
        <v>1.6</v>
      </c>
      <c r="AU6" s="126">
        <f>J6+N6+R6+U6+X6+AA6+AD6+AG6+AJ6+AM6+AP6+AS6</f>
        <v>2253.33</v>
      </c>
      <c r="AV6" s="127">
        <f>MyGrid3[[#This Row],[الإجمالي]]/$AU$187</f>
        <v>0.18536375497068999</v>
      </c>
    </row>
    <row r="7" spans="1:48" s="128" customFormat="1" ht="33" hidden="1" customHeight="1">
      <c r="A7" s="110">
        <f>SUBTOTAL(3,$B$4:B7)</f>
        <v>0</v>
      </c>
      <c r="B7" s="111">
        <v>50986</v>
      </c>
      <c r="C7" s="112" t="s">
        <v>961</v>
      </c>
      <c r="D7" s="113" t="s">
        <v>957</v>
      </c>
      <c r="E7" s="114" t="s">
        <v>64</v>
      </c>
      <c r="F7" s="115" t="e">
        <f>RANK(G7,MyGrid3[الاساسي])</f>
        <v>#N/A</v>
      </c>
      <c r="G7" s="130"/>
      <c r="H7" s="131"/>
      <c r="I7" s="115">
        <f>RANK(J7,MyGrid3[يناير])</f>
        <v>81</v>
      </c>
      <c r="J7" s="117">
        <v>0</v>
      </c>
      <c r="K7" s="118">
        <f>MyGrid3[[#This Row],[يناير]]/$J$187</f>
        <v>0</v>
      </c>
      <c r="L7" s="133"/>
      <c r="M7" s="132">
        <f>RANK(N7,MyGrid3[فبراير])</f>
        <v>101</v>
      </c>
      <c r="N7" s="134">
        <v>0</v>
      </c>
      <c r="O7" s="121">
        <f>MyGrid3[[#This Row],[فبراير]]/$N$187</f>
        <v>0</v>
      </c>
      <c r="P7" s="122" t="s">
        <v>64</v>
      </c>
      <c r="Q7" s="132">
        <f>RANK(R7,MyGrid3[مارس])</f>
        <v>109</v>
      </c>
      <c r="R7" s="123">
        <v>120</v>
      </c>
      <c r="S7" s="118">
        <f>MyGrid3[[#This Row],[مارس]]/$R$187</f>
        <v>8.4955752212389379E-2</v>
      </c>
      <c r="T7" s="119" t="s">
        <v>64</v>
      </c>
      <c r="U7" s="397">
        <v>1800</v>
      </c>
      <c r="V7" s="121">
        <f>MyGrid3[[#This Row],[أبريل]]/$U$187</f>
        <v>1.2743362831858407</v>
      </c>
      <c r="W7" s="122" t="s">
        <v>64</v>
      </c>
      <c r="X7" s="397">
        <v>2175</v>
      </c>
      <c r="Y7" s="118">
        <f>MyGrid3[[#This Row],[مايو]]/$X$187</f>
        <v>1.5375479821008209</v>
      </c>
      <c r="Z7" s="119" t="s">
        <v>64</v>
      </c>
      <c r="AA7" s="123">
        <v>2175</v>
      </c>
      <c r="AB7" s="121">
        <f>MyGrid3[[#This Row],[يونيو]]/$AA$187</f>
        <v>10.038307102967647</v>
      </c>
      <c r="AC7" s="122" t="s">
        <v>64</v>
      </c>
      <c r="AD7" s="123"/>
      <c r="AE7" s="118">
        <f>MyGrid3[[#This Row],[يوليو]]/$AD$187</f>
        <v>0</v>
      </c>
      <c r="AF7" s="119" t="s">
        <v>64</v>
      </c>
      <c r="AG7" s="138"/>
      <c r="AH7" s="121">
        <f>MyGrid3[[#This Row],[أغسطس]]/$AG$187</f>
        <v>0</v>
      </c>
      <c r="AI7" s="122" t="s">
        <v>64</v>
      </c>
      <c r="AJ7" s="123"/>
      <c r="AK7" s="118">
        <f>MyGrid3[[#This Row],[سبتمبر]]/$AJ$187</f>
        <v>0</v>
      </c>
      <c r="AL7" s="119" t="s">
        <v>64</v>
      </c>
      <c r="AM7" s="123"/>
      <c r="AN7" s="121">
        <f>MyGrid3[[#This Row],[أكتوبر]]/$AM$187</f>
        <v>0</v>
      </c>
      <c r="AO7" s="122" t="s">
        <v>64</v>
      </c>
      <c r="AP7" s="123"/>
      <c r="AQ7" s="125">
        <f>MyGrid3[[#This Row],[نوفمبر]]/$AP$187</f>
        <v>0</v>
      </c>
      <c r="AR7" s="119" t="s">
        <v>64</v>
      </c>
      <c r="AS7" s="391"/>
      <c r="AT7" s="121">
        <f>MyGrid3[[#This Row],[ديسمبر]]/$AS$187</f>
        <v>0</v>
      </c>
      <c r="AU7" s="126">
        <f t="shared" si="0"/>
        <v>6270</v>
      </c>
      <c r="AV7" s="127">
        <f>MyGrid3[[#This Row],[الإجمالي]]/$AU$187</f>
        <v>0.51578363740163502</v>
      </c>
    </row>
    <row r="8" spans="1:48" s="128" customFormat="1" ht="33" hidden="1" customHeight="1">
      <c r="A8" s="110">
        <f>SUBTOTAL(3,$B$4:B8)</f>
        <v>0</v>
      </c>
      <c r="B8" s="111">
        <v>50989</v>
      </c>
      <c r="C8" s="112" t="s">
        <v>962</v>
      </c>
      <c r="D8" s="113" t="s">
        <v>957</v>
      </c>
      <c r="E8" s="114" t="s">
        <v>64</v>
      </c>
      <c r="F8" s="115">
        <f>RANK(G8,MyGrid3[الاساسي])</f>
        <v>33</v>
      </c>
      <c r="G8" s="116">
        <v>1500</v>
      </c>
      <c r="H8" s="131"/>
      <c r="I8" s="132">
        <f>RANK(J8,MyGrid3[يناير])</f>
        <v>81</v>
      </c>
      <c r="J8" s="117"/>
      <c r="K8" s="118">
        <f>MyGrid3[[#This Row],[يناير]]/$J$187</f>
        <v>0</v>
      </c>
      <c r="L8" s="133"/>
      <c r="M8" s="132">
        <f>RANK(N8,MyGrid3[فبراير])</f>
        <v>101</v>
      </c>
      <c r="N8" s="134"/>
      <c r="O8" s="121">
        <f>MyGrid3[[#This Row],[فبراير]]/$N$187</f>
        <v>0</v>
      </c>
      <c r="P8" s="135"/>
      <c r="Q8" s="132">
        <f>RANK(R8,MyGrid3[مارس])</f>
        <v>110</v>
      </c>
      <c r="R8" s="123"/>
      <c r="S8" s="118">
        <f>MyGrid3[[#This Row],[مارس]]/$R$187</f>
        <v>0</v>
      </c>
      <c r="T8" s="133"/>
      <c r="U8" s="397"/>
      <c r="V8" s="121">
        <f>MyGrid3[[#This Row],[أبريل]]/$U$187</f>
        <v>0</v>
      </c>
      <c r="W8" s="136"/>
      <c r="X8" s="397"/>
      <c r="Y8" s="118">
        <f>MyGrid3[[#This Row],[مايو]]/$X$187</f>
        <v>0</v>
      </c>
      <c r="Z8" s="119" t="s">
        <v>64</v>
      </c>
      <c r="AA8" s="123">
        <v>1200</v>
      </c>
      <c r="AB8" s="121">
        <f>MyGrid3[[#This Row],[يونيو]]/$AA$187</f>
        <v>5.5383763326718052</v>
      </c>
      <c r="AC8" s="122" t="s">
        <v>64</v>
      </c>
      <c r="AD8" s="123">
        <v>1500</v>
      </c>
      <c r="AE8" s="118">
        <f>MyGrid3[[#This Row],[يوليو]]/$AD$187</f>
        <v>1.8461538461538463</v>
      </c>
      <c r="AF8" s="139" t="s">
        <v>64</v>
      </c>
      <c r="AG8" s="124">
        <v>1593.75</v>
      </c>
      <c r="AH8" s="121">
        <f>MyGrid3[[#This Row],[أغسطس]]/$AG$187</f>
        <v>1.9615384615384615</v>
      </c>
      <c r="AI8" s="122" t="s">
        <v>64</v>
      </c>
      <c r="AJ8" s="123">
        <v>1687.5</v>
      </c>
      <c r="AK8" s="118">
        <f>MyGrid3[[#This Row],[سبتمبر]]/$AJ$187</f>
        <v>2.0769230769230771</v>
      </c>
      <c r="AL8" s="119" t="s">
        <v>64</v>
      </c>
      <c r="AM8" s="123">
        <v>737.5</v>
      </c>
      <c r="AN8" s="121">
        <f>MyGrid3[[#This Row],[أكتوبر]]/$AM$187</f>
        <v>0.90769230769230769</v>
      </c>
      <c r="AO8" s="122" t="s">
        <v>64</v>
      </c>
      <c r="AP8" s="123"/>
      <c r="AQ8" s="125">
        <f>MyGrid3[[#This Row],[نوفمبر]]/$AP$187</f>
        <v>0</v>
      </c>
      <c r="AR8" s="119" t="s">
        <v>64</v>
      </c>
      <c r="AS8" s="391"/>
      <c r="AT8" s="121">
        <f>MyGrid3[[#This Row],[ديسمبر]]/$AS$187</f>
        <v>0</v>
      </c>
      <c r="AU8" s="126">
        <f t="shared" si="0"/>
        <v>6718.75</v>
      </c>
      <c r="AV8" s="127">
        <f>MyGrid3[[#This Row],[الإجمالي]]/$AU$187</f>
        <v>0.55269877412954316</v>
      </c>
    </row>
    <row r="9" spans="1:48" s="128" customFormat="1" ht="33" hidden="1" customHeight="1">
      <c r="A9" s="110">
        <f>SUBTOTAL(3,$B$4:B9)</f>
        <v>0</v>
      </c>
      <c r="B9" s="111">
        <v>70635</v>
      </c>
      <c r="C9" s="112" t="s">
        <v>963</v>
      </c>
      <c r="D9" s="113" t="s">
        <v>957</v>
      </c>
      <c r="E9" s="114" t="s">
        <v>64</v>
      </c>
      <c r="F9" s="115">
        <f>RANK(G9,MyGrid3[الاساسي])</f>
        <v>32</v>
      </c>
      <c r="G9" s="116">
        <v>1550</v>
      </c>
      <c r="H9" s="114" t="s">
        <v>64</v>
      </c>
      <c r="I9" s="115">
        <f>RANK(J9,MyGrid3[يناير])</f>
        <v>81</v>
      </c>
      <c r="J9" s="117">
        <v>0</v>
      </c>
      <c r="K9" s="118">
        <f>MyGrid3[[#This Row],[يناير]]/$J$187</f>
        <v>0</v>
      </c>
      <c r="L9" s="119" t="s">
        <v>64</v>
      </c>
      <c r="M9" s="115">
        <f>RANK(N9,MyGrid3[فبراير])</f>
        <v>101</v>
      </c>
      <c r="N9" s="134">
        <v>0</v>
      </c>
      <c r="O9" s="121">
        <f>MyGrid3[[#This Row],[فبراير]]/$N$187</f>
        <v>0</v>
      </c>
      <c r="P9" s="122" t="s">
        <v>64</v>
      </c>
      <c r="Q9" s="115">
        <f>RANK(R9,MyGrid3[مارس])</f>
        <v>110</v>
      </c>
      <c r="R9" s="123">
        <v>0</v>
      </c>
      <c r="S9" s="118">
        <f>MyGrid3[[#This Row],[مارس]]/$R$187</f>
        <v>0</v>
      </c>
      <c r="T9" s="119" t="s">
        <v>64</v>
      </c>
      <c r="U9" s="397"/>
      <c r="V9" s="121">
        <f>MyGrid3[[#This Row],[أبريل]]/$U$187</f>
        <v>0</v>
      </c>
      <c r="W9" s="122" t="s">
        <v>64</v>
      </c>
      <c r="X9" s="397"/>
      <c r="Y9" s="118">
        <f>MyGrid3[[#This Row],[مايو]]/$X$187</f>
        <v>0</v>
      </c>
      <c r="Z9" s="119" t="s">
        <v>64</v>
      </c>
      <c r="AA9" s="123"/>
      <c r="AB9" s="121">
        <f>MyGrid3[[#This Row],[يونيو]]/$AA$187</f>
        <v>0</v>
      </c>
      <c r="AC9" s="122" t="s">
        <v>64</v>
      </c>
      <c r="AD9" s="123"/>
      <c r="AE9" s="118">
        <f>MyGrid3[[#This Row],[يوليو]]/$AD$187</f>
        <v>0</v>
      </c>
      <c r="AF9" s="139" t="s">
        <v>64</v>
      </c>
      <c r="AG9" s="124">
        <v>465</v>
      </c>
      <c r="AH9" s="121">
        <f>MyGrid3[[#This Row],[أغسطس]]/$AG$187</f>
        <v>0.5723076923076923</v>
      </c>
      <c r="AI9" s="122" t="s">
        <v>64</v>
      </c>
      <c r="AJ9" s="123">
        <v>1937.5</v>
      </c>
      <c r="AK9" s="118">
        <f>MyGrid3[[#This Row],[سبتمبر]]/$AJ$187</f>
        <v>2.3846153846153846</v>
      </c>
      <c r="AL9" s="119" t="s">
        <v>64</v>
      </c>
      <c r="AM9" s="123">
        <v>1937.5</v>
      </c>
      <c r="AN9" s="121">
        <f>MyGrid3[[#This Row],[أكتوبر]]/$AM$187</f>
        <v>2.3846153846153846</v>
      </c>
      <c r="AO9" s="122" t="s">
        <v>64</v>
      </c>
      <c r="AP9" s="123">
        <v>1937.5</v>
      </c>
      <c r="AQ9" s="125">
        <f>MyGrid3[[#This Row],[نوفمبر]]/$AP$187</f>
        <v>2.3846153846153846</v>
      </c>
      <c r="AR9" s="119" t="s">
        <v>64</v>
      </c>
      <c r="AS9" s="391">
        <v>1937.5</v>
      </c>
      <c r="AT9" s="121">
        <f>MyGrid3[[#This Row],[ديسمبر]]/$AS$187</f>
        <v>2.3846153846153846</v>
      </c>
      <c r="AU9" s="126">
        <f t="shared" si="0"/>
        <v>8215</v>
      </c>
      <c r="AV9" s="127">
        <f>MyGrid3[[#This Row],[الإجمالي]]/$AU$187</f>
        <v>0.67578350578220603</v>
      </c>
    </row>
    <row r="10" spans="1:48" s="128" customFormat="1" ht="33" hidden="1" customHeight="1">
      <c r="A10" s="110">
        <f>SUBTOTAL(3,$B$4:B10)</f>
        <v>0</v>
      </c>
      <c r="B10" s="111">
        <v>70862</v>
      </c>
      <c r="C10" s="112" t="s">
        <v>964</v>
      </c>
      <c r="D10" s="113" t="s">
        <v>965</v>
      </c>
      <c r="E10" s="114" t="s">
        <v>64</v>
      </c>
      <c r="F10" s="115">
        <f>RANK(G10,MyGrid3[الاساسي])</f>
        <v>43</v>
      </c>
      <c r="G10" s="116">
        <v>1300</v>
      </c>
      <c r="H10" s="114" t="s">
        <v>64</v>
      </c>
      <c r="I10" s="115">
        <f>RANK(J10,MyGrid3[يناير])</f>
        <v>81</v>
      </c>
      <c r="J10" s="117">
        <v>0</v>
      </c>
      <c r="K10" s="118">
        <f>MyGrid3[[#This Row],[يناير]]/$J$187</f>
        <v>0</v>
      </c>
      <c r="L10" s="119" t="s">
        <v>64</v>
      </c>
      <c r="M10" s="115">
        <f>RANK(N10,MyGrid3[فبراير])</f>
        <v>35</v>
      </c>
      <c r="N10" s="120">
        <v>1216.67</v>
      </c>
      <c r="O10" s="121">
        <f>MyGrid3[[#This Row],[فبراير]]/$N$187</f>
        <v>0.86135929203539829</v>
      </c>
      <c r="P10" s="122" t="s">
        <v>64</v>
      </c>
      <c r="Q10" s="115">
        <f>RANK(R10,MyGrid3[مارس])</f>
        <v>19</v>
      </c>
      <c r="R10" s="123">
        <v>1716.67</v>
      </c>
      <c r="S10" s="118">
        <f>MyGrid3[[#This Row],[مارس]]/$R$187</f>
        <v>1.2153415929203539</v>
      </c>
      <c r="T10" s="119" t="s">
        <v>64</v>
      </c>
      <c r="U10" s="397">
        <v>1716.67</v>
      </c>
      <c r="V10" s="121">
        <f>MyGrid3[[#This Row],[أبريل]]/$U$187</f>
        <v>1.2153415929203539</v>
      </c>
      <c r="W10" s="122" t="s">
        <v>64</v>
      </c>
      <c r="X10" s="138">
        <v>1933.33</v>
      </c>
      <c r="Y10" s="118">
        <f>MyGrid3[[#This Row],[مايو]]/$X$187</f>
        <v>1.3667069610275768</v>
      </c>
      <c r="Z10" s="119" t="s">
        <v>64</v>
      </c>
      <c r="AA10" s="123">
        <v>1933.33</v>
      </c>
      <c r="AB10" s="121">
        <f>MyGrid3[[#This Row],[يونيو]]/$AA$187</f>
        <v>8.9229242627036509</v>
      </c>
      <c r="AC10" s="122" t="s">
        <v>64</v>
      </c>
      <c r="AD10" s="123">
        <v>1825</v>
      </c>
      <c r="AE10" s="118">
        <f>MyGrid3[[#This Row],[يوليو]]/$AD$187</f>
        <v>2.2461538461538462</v>
      </c>
      <c r="AF10" s="139" t="s">
        <v>64</v>
      </c>
      <c r="AG10" s="124">
        <v>1743.75</v>
      </c>
      <c r="AH10" s="121">
        <f>MyGrid3[[#This Row],[أغسطس]]/$AG$187</f>
        <v>2.1461538461538461</v>
      </c>
      <c r="AI10" s="122" t="s">
        <v>64</v>
      </c>
      <c r="AJ10" s="123"/>
      <c r="AK10" s="118">
        <f>MyGrid3[[#This Row],[سبتمبر]]/$AJ$187</f>
        <v>0</v>
      </c>
      <c r="AL10" s="119" t="s">
        <v>64</v>
      </c>
      <c r="AM10" s="123"/>
      <c r="AN10" s="121">
        <f>MyGrid3[[#This Row],[أكتوبر]]/$AM$187</f>
        <v>0</v>
      </c>
      <c r="AO10" s="122" t="s">
        <v>64</v>
      </c>
      <c r="AP10" s="123"/>
      <c r="AQ10" s="125">
        <f>MyGrid3[[#This Row],[نوفمبر]]/$AP$187</f>
        <v>0</v>
      </c>
      <c r="AR10" s="119" t="s">
        <v>64</v>
      </c>
      <c r="AS10" s="391"/>
      <c r="AT10" s="121">
        <f>MyGrid3[[#This Row],[ديسمبر]]/$AS$187</f>
        <v>0</v>
      </c>
      <c r="AU10" s="126">
        <f t="shared" si="0"/>
        <v>12085.42</v>
      </c>
      <c r="AV10" s="127">
        <f>MyGrid3[[#This Row],[الإجمالي]]/$AU$187</f>
        <v>0.99417254978093594</v>
      </c>
    </row>
    <row r="11" spans="1:48" s="128" customFormat="1" ht="33" hidden="1" customHeight="1">
      <c r="A11" s="110">
        <f>SUBTOTAL(3,$B$4:B11)</f>
        <v>0</v>
      </c>
      <c r="B11" s="111">
        <v>82703</v>
      </c>
      <c r="C11" s="112" t="s">
        <v>966</v>
      </c>
      <c r="D11" s="113" t="s">
        <v>965</v>
      </c>
      <c r="E11" s="140" t="s">
        <v>967</v>
      </c>
      <c r="F11" s="115">
        <f>RANK(G11,MyGrid3[الاساسي])</f>
        <v>65</v>
      </c>
      <c r="G11" s="116">
        <v>900</v>
      </c>
      <c r="H11" s="140" t="s">
        <v>967</v>
      </c>
      <c r="I11" s="115">
        <f>RANK(J11,MyGrid3[يناير])</f>
        <v>35</v>
      </c>
      <c r="J11" s="141">
        <v>1125</v>
      </c>
      <c r="K11" s="118">
        <f>MyGrid3[[#This Row],[يناير]]/$J$187</f>
        <v>0.79646017699115046</v>
      </c>
      <c r="L11" s="142" t="s">
        <v>967</v>
      </c>
      <c r="M11" s="115">
        <f>RANK(N11,MyGrid3[فبراير])</f>
        <v>38</v>
      </c>
      <c r="N11" s="120">
        <v>1125</v>
      </c>
      <c r="O11" s="121">
        <f>MyGrid3[[#This Row],[فبراير]]/$N$187</f>
        <v>0.79646017699115046</v>
      </c>
      <c r="P11" s="143" t="s">
        <v>967</v>
      </c>
      <c r="Q11" s="115">
        <f>RANK(R11,MyGrid3[مارس])</f>
        <v>48</v>
      </c>
      <c r="R11" s="123">
        <v>1125</v>
      </c>
      <c r="S11" s="118">
        <f>MyGrid3[[#This Row],[مارس]]/$R$187</f>
        <v>0.79646017699115046</v>
      </c>
      <c r="T11" s="142" t="s">
        <v>967</v>
      </c>
      <c r="U11" s="397">
        <v>1125</v>
      </c>
      <c r="V11" s="121">
        <f>MyGrid3[[#This Row],[أبريل]]/$U$187</f>
        <v>0.79646017699115046</v>
      </c>
      <c r="W11" s="143" t="s">
        <v>967</v>
      </c>
      <c r="X11" s="397">
        <v>1200</v>
      </c>
      <c r="Y11" s="118">
        <f>MyGrid3[[#This Row],[مايو]]/$X$187</f>
        <v>0.848302334952177</v>
      </c>
      <c r="Z11" s="142" t="s">
        <v>967</v>
      </c>
      <c r="AA11" s="123">
        <v>1200</v>
      </c>
      <c r="AB11" s="121">
        <f>MyGrid3[[#This Row],[يونيو]]/$AA$187</f>
        <v>5.5383763326718052</v>
      </c>
      <c r="AC11" s="143" t="s">
        <v>967</v>
      </c>
      <c r="AD11" s="123">
        <v>1125</v>
      </c>
      <c r="AE11" s="118">
        <f>MyGrid3[[#This Row],[يوليو]]/$AD$187</f>
        <v>1.3846153846153846</v>
      </c>
      <c r="AF11" s="119" t="s">
        <v>967</v>
      </c>
      <c r="AG11" s="144">
        <v>1125</v>
      </c>
      <c r="AH11" s="121">
        <f>MyGrid3[[#This Row],[أغسطس]]/$AG$187</f>
        <v>1.3846153846153846</v>
      </c>
      <c r="AI11" s="143" t="s">
        <v>967</v>
      </c>
      <c r="AJ11" s="123">
        <v>1125</v>
      </c>
      <c r="AK11" s="118">
        <f>MyGrid3[[#This Row],[سبتمبر]]/$AJ$187</f>
        <v>1.3846153846153846</v>
      </c>
      <c r="AL11" s="142" t="s">
        <v>967</v>
      </c>
      <c r="AM11" s="123"/>
      <c r="AN11" s="121">
        <f>MyGrid3[[#This Row],[أكتوبر]]/$AM$187</f>
        <v>0</v>
      </c>
      <c r="AO11" s="143" t="s">
        <v>967</v>
      </c>
      <c r="AP11" s="123"/>
      <c r="AQ11" s="125">
        <f>MyGrid3[[#This Row],[نوفمبر]]/$AP$187</f>
        <v>0</v>
      </c>
      <c r="AR11" s="142" t="s">
        <v>967</v>
      </c>
      <c r="AS11" s="391"/>
      <c r="AT11" s="121">
        <f>MyGrid3[[#This Row],[ديسمبر]]/$AS$187</f>
        <v>0</v>
      </c>
      <c r="AU11" s="126">
        <f t="shared" si="0"/>
        <v>10275</v>
      </c>
      <c r="AV11" s="127">
        <f>MyGrid3[[#This Row],[الإجمالي]]/$AU$187</f>
        <v>0.84524352062229668</v>
      </c>
    </row>
    <row r="12" spans="1:48" s="128" customFormat="1" ht="33" hidden="1" customHeight="1">
      <c r="A12" s="110">
        <f>SUBTOTAL(3,$B$4:B12)</f>
        <v>0</v>
      </c>
      <c r="B12" s="111">
        <v>84400</v>
      </c>
      <c r="C12" s="112" t="s">
        <v>968</v>
      </c>
      <c r="D12" s="113" t="s">
        <v>969</v>
      </c>
      <c r="E12" s="140" t="s">
        <v>64</v>
      </c>
      <c r="F12" s="115">
        <f>RANK(G12,MyGrid3[الاساسي])</f>
        <v>80</v>
      </c>
      <c r="G12" s="130">
        <v>775</v>
      </c>
      <c r="H12" s="114" t="s">
        <v>64</v>
      </c>
      <c r="I12" s="115">
        <f>RANK(J12,MyGrid3[يناير])</f>
        <v>39</v>
      </c>
      <c r="J12" s="141">
        <v>1043.75</v>
      </c>
      <c r="K12" s="118">
        <f>MyGrid3[[#This Row],[يناير]]/$J$187</f>
        <v>0.73893805309734517</v>
      </c>
      <c r="L12" s="119" t="s">
        <v>64</v>
      </c>
      <c r="M12" s="115">
        <f>RANK(N12,MyGrid3[فبراير])</f>
        <v>43</v>
      </c>
      <c r="N12" s="120">
        <v>1043.75</v>
      </c>
      <c r="O12" s="121">
        <f>MyGrid3[[#This Row],[فبراير]]/$N$187</f>
        <v>0.73893805309734517</v>
      </c>
      <c r="P12" s="122" t="s">
        <v>64</v>
      </c>
      <c r="Q12" s="115">
        <f>RANK(R12,MyGrid3[مارس])</f>
        <v>54</v>
      </c>
      <c r="R12" s="123">
        <v>1043.75</v>
      </c>
      <c r="S12" s="118">
        <f>MyGrid3[[#This Row],[مارس]]/$R$187</f>
        <v>0.73893805309734517</v>
      </c>
      <c r="T12" s="119" t="s">
        <v>64</v>
      </c>
      <c r="U12" s="397">
        <v>1043.75</v>
      </c>
      <c r="V12" s="121">
        <f>MyGrid3[[#This Row],[أبريل]]/$U$187</f>
        <v>0.73893805309734517</v>
      </c>
      <c r="W12" s="122" t="s">
        <v>64</v>
      </c>
      <c r="X12" s="397">
        <v>1043.75</v>
      </c>
      <c r="Y12" s="118">
        <f>MyGrid3[[#This Row],[مايو]]/$X$187</f>
        <v>0.73784630175527899</v>
      </c>
      <c r="Z12" s="119" t="s">
        <v>64</v>
      </c>
      <c r="AA12" s="123">
        <v>1043.75</v>
      </c>
      <c r="AB12" s="121">
        <f>MyGrid3[[#This Row],[يونيو]]/$AA$187</f>
        <v>4.8172335810218305</v>
      </c>
      <c r="AC12" s="122" t="s">
        <v>64</v>
      </c>
      <c r="AD12" s="123"/>
      <c r="AE12" s="118">
        <f>MyGrid3[[#This Row],[يوليو]]/$AD$187</f>
        <v>0</v>
      </c>
      <c r="AF12" s="119" t="s">
        <v>64</v>
      </c>
      <c r="AG12" s="123"/>
      <c r="AH12" s="121">
        <f>MyGrid3[[#This Row],[أغسطس]]/$AG$187</f>
        <v>0</v>
      </c>
      <c r="AI12" s="122" t="s">
        <v>64</v>
      </c>
      <c r="AJ12" s="123"/>
      <c r="AK12" s="118">
        <f>MyGrid3[[#This Row],[سبتمبر]]/$AJ$187</f>
        <v>0</v>
      </c>
      <c r="AL12" s="119" t="s">
        <v>64</v>
      </c>
      <c r="AM12" s="123"/>
      <c r="AN12" s="121">
        <f>MyGrid3[[#This Row],[أكتوبر]]/$AM$187</f>
        <v>0</v>
      </c>
      <c r="AO12" s="122" t="s">
        <v>64</v>
      </c>
      <c r="AP12" s="123"/>
      <c r="AQ12" s="125">
        <f>MyGrid3[[#This Row],[نوفمبر]]/$AP$187</f>
        <v>0</v>
      </c>
      <c r="AR12" s="119" t="s">
        <v>64</v>
      </c>
      <c r="AS12" s="391"/>
      <c r="AT12" s="121">
        <f>MyGrid3[[#This Row],[ديسمبر]]/$AS$187</f>
        <v>0</v>
      </c>
      <c r="AU12" s="126">
        <f t="shared" si="0"/>
        <v>6262.5</v>
      </c>
      <c r="AV12" s="127">
        <f>MyGrid3[[#This Row],[الإجمالي]]/$AU$187</f>
        <v>0.51516667132818805</v>
      </c>
    </row>
    <row r="13" spans="1:48" s="128" customFormat="1" ht="33" hidden="1" customHeight="1">
      <c r="A13" s="110">
        <f>SUBTOTAL(3,$B$4:B13)</f>
        <v>0</v>
      </c>
      <c r="B13" s="111">
        <v>84620</v>
      </c>
      <c r="C13" s="112" t="s">
        <v>970</v>
      </c>
      <c r="D13" s="113"/>
      <c r="E13" s="140" t="s">
        <v>64</v>
      </c>
      <c r="F13" s="115">
        <f>RANK(G13,MyGrid3[الاساسي])</f>
        <v>49</v>
      </c>
      <c r="G13" s="130">
        <v>1000</v>
      </c>
      <c r="H13" s="114" t="s">
        <v>64</v>
      </c>
      <c r="I13" s="115">
        <f>RANK(J13,MyGrid3[يناير])</f>
        <v>9</v>
      </c>
      <c r="J13" s="141">
        <v>1700</v>
      </c>
      <c r="K13" s="118">
        <f>MyGrid3[[#This Row],[يناير]]/$J$187</f>
        <v>1.2035398230088497</v>
      </c>
      <c r="L13" s="119" t="s">
        <v>64</v>
      </c>
      <c r="M13" s="115">
        <f>RANK(N13,MyGrid3[فبراير])</f>
        <v>12</v>
      </c>
      <c r="N13" s="120">
        <v>1700</v>
      </c>
      <c r="O13" s="121">
        <f>MyGrid3[[#This Row],[فبراير]]/$N$187</f>
        <v>1.2035398230088497</v>
      </c>
      <c r="P13" s="122" t="s">
        <v>64</v>
      </c>
      <c r="Q13" s="115">
        <f>RANK(R13,MyGrid3[مارس])</f>
        <v>20</v>
      </c>
      <c r="R13" s="123">
        <v>1700</v>
      </c>
      <c r="S13" s="118">
        <f>MyGrid3[[#This Row],[مارس]]/$R$187</f>
        <v>1.2035398230088497</v>
      </c>
      <c r="T13" s="119" t="s">
        <v>64</v>
      </c>
      <c r="U13" s="397"/>
      <c r="V13" s="121">
        <f>MyGrid3[[#This Row],[أبريل]]/$U$187</f>
        <v>0</v>
      </c>
      <c r="W13" s="122" t="s">
        <v>64</v>
      </c>
      <c r="X13" s="397"/>
      <c r="Y13" s="118">
        <f>MyGrid3[[#This Row],[مايو]]/$X$187</f>
        <v>0</v>
      </c>
      <c r="Z13" s="119" t="s">
        <v>64</v>
      </c>
      <c r="AA13" s="123"/>
      <c r="AB13" s="121">
        <f>MyGrid3[[#This Row],[يونيو]]/$AA$187</f>
        <v>0</v>
      </c>
      <c r="AC13" s="122" t="s">
        <v>64</v>
      </c>
      <c r="AD13" s="123"/>
      <c r="AE13" s="118">
        <f>MyGrid3[[#This Row],[يوليو]]/$AD$187</f>
        <v>0</v>
      </c>
      <c r="AF13" s="119" t="s">
        <v>64</v>
      </c>
      <c r="AG13" s="123"/>
      <c r="AH13" s="121">
        <f>MyGrid3[[#This Row],[أغسطس]]/$AG$187</f>
        <v>0</v>
      </c>
      <c r="AI13" s="122" t="s">
        <v>64</v>
      </c>
      <c r="AJ13" s="123"/>
      <c r="AK13" s="118">
        <f>MyGrid3[[#This Row],[سبتمبر]]/$AJ$187</f>
        <v>0</v>
      </c>
      <c r="AL13" s="119" t="s">
        <v>64</v>
      </c>
      <c r="AM13" s="123"/>
      <c r="AN13" s="121">
        <f>MyGrid3[[#This Row],[أكتوبر]]/$AM$187</f>
        <v>0</v>
      </c>
      <c r="AO13" s="122" t="s">
        <v>64</v>
      </c>
      <c r="AP13" s="123"/>
      <c r="AQ13" s="125">
        <f>MyGrid3[[#This Row],[نوفمبر]]/$AP$187</f>
        <v>0</v>
      </c>
      <c r="AR13" s="119" t="s">
        <v>64</v>
      </c>
      <c r="AS13" s="391"/>
      <c r="AT13" s="121">
        <f>MyGrid3[[#This Row],[ديسمبر]]/$AS$187</f>
        <v>0</v>
      </c>
      <c r="AU13" s="126">
        <f t="shared" si="0"/>
        <v>5100</v>
      </c>
      <c r="AV13" s="127">
        <f>MyGrid3[[#This Row],[الإجمالي]]/$AU$187</f>
        <v>0.41953692994391367</v>
      </c>
    </row>
    <row r="14" spans="1:48" s="128" customFormat="1" ht="33" hidden="1" customHeight="1">
      <c r="A14" s="110">
        <f>SUBTOTAL(3,$B$4:B14)</f>
        <v>0</v>
      </c>
      <c r="B14" s="111">
        <v>85400</v>
      </c>
      <c r="C14" s="112" t="s">
        <v>971</v>
      </c>
      <c r="D14" s="113"/>
      <c r="E14" s="140" t="s">
        <v>64</v>
      </c>
      <c r="F14" s="115">
        <f>RANK(G14,MyGrid3[الاساسي])</f>
        <v>65</v>
      </c>
      <c r="G14" s="130">
        <v>900</v>
      </c>
      <c r="H14" s="114" t="s">
        <v>64</v>
      </c>
      <c r="I14" s="115">
        <f>RANK(J14,MyGrid3[يناير])</f>
        <v>24</v>
      </c>
      <c r="J14" s="141">
        <v>1325</v>
      </c>
      <c r="K14" s="118">
        <f>MyGrid3[[#This Row],[يناير]]/$J$187</f>
        <v>0.93805309734513276</v>
      </c>
      <c r="L14" s="119" t="s">
        <v>64</v>
      </c>
      <c r="M14" s="115">
        <f>RANK(N14,MyGrid3[فبراير])</f>
        <v>101</v>
      </c>
      <c r="N14" s="134">
        <v>0</v>
      </c>
      <c r="O14" s="121">
        <f>MyGrid3[[#This Row],[فبراير]]/$N$187</f>
        <v>0</v>
      </c>
      <c r="P14" s="122" t="s">
        <v>64</v>
      </c>
      <c r="Q14" s="115">
        <f>RANK(R14,MyGrid3[مارس])</f>
        <v>110</v>
      </c>
      <c r="R14" s="123">
        <v>0</v>
      </c>
      <c r="S14" s="118">
        <f>MyGrid3[[#This Row],[مارس]]/$R$187</f>
        <v>0</v>
      </c>
      <c r="T14" s="119" t="s">
        <v>64</v>
      </c>
      <c r="U14" s="397"/>
      <c r="V14" s="121">
        <f>MyGrid3[[#This Row],[أبريل]]/$U$187</f>
        <v>0</v>
      </c>
      <c r="W14" s="122" t="s">
        <v>64</v>
      </c>
      <c r="X14" s="397"/>
      <c r="Y14" s="118">
        <f>MyGrid3[[#This Row],[مايو]]/$X$187</f>
        <v>0</v>
      </c>
      <c r="Z14" s="119" t="s">
        <v>64</v>
      </c>
      <c r="AA14" s="123"/>
      <c r="AB14" s="121">
        <f>MyGrid3[[#This Row],[يونيو]]/$AA$187</f>
        <v>0</v>
      </c>
      <c r="AC14" s="122" t="s">
        <v>64</v>
      </c>
      <c r="AD14" s="123"/>
      <c r="AE14" s="118">
        <f>MyGrid3[[#This Row],[يوليو]]/$AD$187</f>
        <v>0</v>
      </c>
      <c r="AF14" s="119" t="s">
        <v>64</v>
      </c>
      <c r="AG14" s="123"/>
      <c r="AH14" s="121">
        <f>MyGrid3[[#This Row],[أغسطس]]/$AG$187</f>
        <v>0</v>
      </c>
      <c r="AI14" s="122" t="s">
        <v>64</v>
      </c>
      <c r="AJ14" s="123"/>
      <c r="AK14" s="118">
        <f>MyGrid3[[#This Row],[سبتمبر]]/$AJ$187</f>
        <v>0</v>
      </c>
      <c r="AL14" s="119" t="s">
        <v>64</v>
      </c>
      <c r="AM14" s="123"/>
      <c r="AN14" s="121">
        <f>MyGrid3[[#This Row],[أكتوبر]]/$AM$187</f>
        <v>0</v>
      </c>
      <c r="AO14" s="122" t="s">
        <v>64</v>
      </c>
      <c r="AP14" s="123"/>
      <c r="AQ14" s="125">
        <f>MyGrid3[[#This Row],[نوفمبر]]/$AP$187</f>
        <v>0</v>
      </c>
      <c r="AR14" s="119" t="s">
        <v>64</v>
      </c>
      <c r="AS14" s="391"/>
      <c r="AT14" s="121">
        <f>MyGrid3[[#This Row],[ديسمبر]]/$AS$187</f>
        <v>0</v>
      </c>
      <c r="AU14" s="126">
        <f t="shared" si="0"/>
        <v>1325</v>
      </c>
      <c r="AV14" s="127">
        <f>MyGrid3[[#This Row],[الإجمالي]]/$AU$187</f>
        <v>0.10899733964229129</v>
      </c>
    </row>
    <row r="15" spans="1:48" s="128" customFormat="1" ht="33" hidden="1" customHeight="1">
      <c r="A15" s="110">
        <f>SUBTOTAL(3,$B$4:B15)</f>
        <v>0</v>
      </c>
      <c r="B15" s="111">
        <v>85436</v>
      </c>
      <c r="C15" s="112" t="s">
        <v>972</v>
      </c>
      <c r="D15" s="113" t="s">
        <v>957</v>
      </c>
      <c r="E15" s="140" t="s">
        <v>113</v>
      </c>
      <c r="F15" s="115">
        <f>RANK(G15,MyGrid3[الاساسي])</f>
        <v>80</v>
      </c>
      <c r="G15" s="116">
        <v>775</v>
      </c>
      <c r="H15" s="114" t="s">
        <v>958</v>
      </c>
      <c r="I15" s="115">
        <f>RANK(J15,MyGrid3[يناير])</f>
        <v>81</v>
      </c>
      <c r="J15" s="117">
        <v>0</v>
      </c>
      <c r="K15" s="118">
        <f>MyGrid3[[#This Row],[يناير]]/$J$187</f>
        <v>0</v>
      </c>
      <c r="L15" s="145" t="s">
        <v>113</v>
      </c>
      <c r="M15" s="115">
        <f>RANK(N15,MyGrid3[فبراير])</f>
        <v>101</v>
      </c>
      <c r="N15" s="134">
        <v>0</v>
      </c>
      <c r="O15" s="121">
        <f>MyGrid3[[#This Row],[فبراير]]/$N$187</f>
        <v>0</v>
      </c>
      <c r="P15" s="146" t="s">
        <v>113</v>
      </c>
      <c r="Q15" s="115">
        <f>RANK(R15,MyGrid3[مارس])</f>
        <v>110</v>
      </c>
      <c r="R15" s="123">
        <v>0</v>
      </c>
      <c r="S15" s="118">
        <f>MyGrid3[[#This Row],[مارس]]/$R$187</f>
        <v>0</v>
      </c>
      <c r="T15" s="145" t="s">
        <v>113</v>
      </c>
      <c r="U15" s="397"/>
      <c r="V15" s="121">
        <f>MyGrid3[[#This Row],[أبريل]]/$U$187</f>
        <v>0</v>
      </c>
      <c r="W15" s="146" t="s">
        <v>113</v>
      </c>
      <c r="X15" s="397"/>
      <c r="Y15" s="118">
        <f>MyGrid3[[#This Row],[مايو]]/$X$187</f>
        <v>0</v>
      </c>
      <c r="Z15" s="145" t="s">
        <v>113</v>
      </c>
      <c r="AA15" s="123"/>
      <c r="AB15" s="121">
        <f>MyGrid3[[#This Row],[يونيو]]/$AA$187</f>
        <v>0</v>
      </c>
      <c r="AC15" s="146" t="s">
        <v>113</v>
      </c>
      <c r="AD15" s="123">
        <v>1193.75</v>
      </c>
      <c r="AE15" s="118">
        <f>MyGrid3[[#This Row],[يوليو]]/$AD$187</f>
        <v>1.4692307692307693</v>
      </c>
      <c r="AF15" s="119" t="s">
        <v>113</v>
      </c>
      <c r="AG15" s="124">
        <v>1193.75</v>
      </c>
      <c r="AH15" s="121">
        <f>MyGrid3[[#This Row],[أغسطس]]/$AG$187</f>
        <v>1.4692307692307693</v>
      </c>
      <c r="AI15" s="146" t="s">
        <v>113</v>
      </c>
      <c r="AJ15" s="123">
        <v>1193.75</v>
      </c>
      <c r="AK15" s="118">
        <f>MyGrid3[[#This Row],[سبتمبر]]/$AJ$187</f>
        <v>1.4692307692307693</v>
      </c>
      <c r="AL15" s="145" t="s">
        <v>113</v>
      </c>
      <c r="AM15" s="123">
        <v>1193.75</v>
      </c>
      <c r="AN15" s="121">
        <f>MyGrid3[[#This Row],[أكتوبر]]/$AM$187</f>
        <v>1.4692307692307693</v>
      </c>
      <c r="AO15" s="146" t="s">
        <v>113</v>
      </c>
      <c r="AP15" s="123">
        <v>1193.75</v>
      </c>
      <c r="AQ15" s="125">
        <f>MyGrid3[[#This Row],[نوفمبر]]/$AP$187</f>
        <v>1.4692307692307693</v>
      </c>
      <c r="AR15" s="145" t="s">
        <v>113</v>
      </c>
      <c r="AS15" s="391">
        <v>1193.75</v>
      </c>
      <c r="AT15" s="121">
        <f>MyGrid3[[#This Row],[ديسمبر]]/$AS$187</f>
        <v>1.4692307692307693</v>
      </c>
      <c r="AU15" s="126">
        <f t="shared" si="0"/>
        <v>7162.5</v>
      </c>
      <c r="AV15" s="127">
        <f>MyGrid3[[#This Row],[الإجمالي]]/$AU$187</f>
        <v>0.58920260014181991</v>
      </c>
    </row>
    <row r="16" spans="1:48" s="128" customFormat="1" ht="33" hidden="1" customHeight="1">
      <c r="A16" s="110">
        <f>SUBTOTAL(3,$B$4:B16)</f>
        <v>0</v>
      </c>
      <c r="B16" s="111">
        <v>93854</v>
      </c>
      <c r="C16" s="112" t="s">
        <v>973</v>
      </c>
      <c r="D16" s="113"/>
      <c r="E16" s="140" t="s">
        <v>64</v>
      </c>
      <c r="F16" s="115">
        <f>RANK(G16,MyGrid3[الاساسي])</f>
        <v>159</v>
      </c>
      <c r="G16" s="130">
        <v>253</v>
      </c>
      <c r="H16" s="114" t="s">
        <v>64</v>
      </c>
      <c r="I16" s="115">
        <f>RANK(J16,MyGrid3[يناير])</f>
        <v>68</v>
      </c>
      <c r="J16" s="141">
        <v>501.5</v>
      </c>
      <c r="K16" s="118">
        <f>MyGrid3[[#This Row],[يناير]]/$J$187</f>
        <v>0.35504424778761062</v>
      </c>
      <c r="L16" s="119" t="s">
        <v>64</v>
      </c>
      <c r="M16" s="115">
        <f>RANK(N16,MyGrid3[فبراير])</f>
        <v>87</v>
      </c>
      <c r="N16" s="120">
        <v>501.5</v>
      </c>
      <c r="O16" s="121">
        <f>MyGrid3[[#This Row],[فبراير]]/$N$187</f>
        <v>0.35504424778761062</v>
      </c>
      <c r="P16" s="122" t="s">
        <v>64</v>
      </c>
      <c r="Q16" s="115">
        <f>RANK(R16,MyGrid3[مارس])</f>
        <v>100</v>
      </c>
      <c r="R16" s="123">
        <v>501.5</v>
      </c>
      <c r="S16" s="118">
        <f>MyGrid3[[#This Row],[مارس]]/$R$187</f>
        <v>0.35504424778761062</v>
      </c>
      <c r="T16" s="119" t="s">
        <v>64</v>
      </c>
      <c r="U16" s="397"/>
      <c r="V16" s="121">
        <f>MyGrid3[[#This Row],[أبريل]]/$U$187</f>
        <v>0</v>
      </c>
      <c r="W16" s="122" t="s">
        <v>64</v>
      </c>
      <c r="X16" s="397"/>
      <c r="Y16" s="118">
        <f>MyGrid3[[#This Row],[مايو]]/$X$187</f>
        <v>0</v>
      </c>
      <c r="Z16" s="119" t="s">
        <v>64</v>
      </c>
      <c r="AA16" s="123"/>
      <c r="AB16" s="121">
        <f>MyGrid3[[#This Row],[يونيو]]/$AA$187</f>
        <v>0</v>
      </c>
      <c r="AC16" s="122" t="s">
        <v>64</v>
      </c>
      <c r="AD16" s="123"/>
      <c r="AE16" s="118">
        <f>MyGrid3[[#This Row],[يوليو]]/$AD$187</f>
        <v>0</v>
      </c>
      <c r="AF16" s="119" t="s">
        <v>64</v>
      </c>
      <c r="AG16" s="123"/>
      <c r="AH16" s="121">
        <f>MyGrid3[[#This Row],[أغسطس]]/$AG$187</f>
        <v>0</v>
      </c>
      <c r="AI16" s="122" t="s">
        <v>64</v>
      </c>
      <c r="AJ16" s="123"/>
      <c r="AK16" s="118">
        <f>MyGrid3[[#This Row],[سبتمبر]]/$AJ$187</f>
        <v>0</v>
      </c>
      <c r="AL16" s="119" t="s">
        <v>64</v>
      </c>
      <c r="AM16" s="123"/>
      <c r="AN16" s="121">
        <f>MyGrid3[[#This Row],[أكتوبر]]/$AM$187</f>
        <v>0</v>
      </c>
      <c r="AO16" s="122" t="s">
        <v>64</v>
      </c>
      <c r="AP16" s="123"/>
      <c r="AQ16" s="125">
        <f>MyGrid3[[#This Row],[نوفمبر]]/$AP$187</f>
        <v>0</v>
      </c>
      <c r="AR16" s="119" t="s">
        <v>64</v>
      </c>
      <c r="AS16" s="391"/>
      <c r="AT16" s="121">
        <f>MyGrid3[[#This Row],[ديسمبر]]/$AS$187</f>
        <v>0</v>
      </c>
      <c r="AU16" s="126">
        <f t="shared" si="0"/>
        <v>1504.5</v>
      </c>
      <c r="AV16" s="127">
        <f>MyGrid3[[#This Row],[الإجمالي]]/$AU$187</f>
        <v>0.12376339433345453</v>
      </c>
    </row>
    <row r="17" spans="1:48" s="128" customFormat="1" ht="33" hidden="1" customHeight="1">
      <c r="A17" s="110">
        <f>SUBTOTAL(3,$B$4:B17)</f>
        <v>0</v>
      </c>
      <c r="B17" s="111">
        <v>96267</v>
      </c>
      <c r="C17" s="112" t="s">
        <v>974</v>
      </c>
      <c r="D17" s="113" t="s">
        <v>957</v>
      </c>
      <c r="E17" s="140" t="s">
        <v>64</v>
      </c>
      <c r="F17" s="115">
        <f>RANK(G17,MyGrid3[الاساسي])</f>
        <v>49</v>
      </c>
      <c r="G17" s="130">
        <v>1000</v>
      </c>
      <c r="H17" s="114" t="s">
        <v>64</v>
      </c>
      <c r="I17" s="115">
        <f>RANK(J17,MyGrid3[يناير])</f>
        <v>29</v>
      </c>
      <c r="J17" s="141">
        <v>1250</v>
      </c>
      <c r="K17" s="118">
        <f>MyGrid3[[#This Row],[يناير]]/$J$187</f>
        <v>0.88495575221238942</v>
      </c>
      <c r="L17" s="119" t="s">
        <v>64</v>
      </c>
      <c r="M17" s="115">
        <f>RANK(N17,MyGrid3[فبراير])</f>
        <v>31</v>
      </c>
      <c r="N17" s="120">
        <v>1250</v>
      </c>
      <c r="O17" s="121">
        <f>MyGrid3[[#This Row],[فبراير]]/$N$187</f>
        <v>0.88495575221238942</v>
      </c>
      <c r="P17" s="122" t="s">
        <v>64</v>
      </c>
      <c r="Q17" s="115">
        <f>RANK(R17,MyGrid3[مارس])</f>
        <v>40</v>
      </c>
      <c r="R17" s="123">
        <v>1250</v>
      </c>
      <c r="S17" s="118">
        <f>MyGrid3[[#This Row],[مارس]]/$R$187</f>
        <v>0.88495575221238942</v>
      </c>
      <c r="T17" s="119" t="s">
        <v>64</v>
      </c>
      <c r="U17" s="397">
        <v>1250</v>
      </c>
      <c r="V17" s="121">
        <f>MyGrid3[[#This Row],[أبريل]]/$U$187</f>
        <v>0.88495575221238942</v>
      </c>
      <c r="W17" s="122" t="s">
        <v>64</v>
      </c>
      <c r="X17" s="138">
        <v>1333.33</v>
      </c>
      <c r="Y17" s="118">
        <f>MyGrid3[[#This Row],[مايو]]/$X$187</f>
        <v>0.94255579355148844</v>
      </c>
      <c r="Z17" s="119" t="s">
        <v>64</v>
      </c>
      <c r="AA17" s="123">
        <v>1333.33</v>
      </c>
      <c r="AB17" s="121">
        <f>MyGrid3[[#This Row],[يونيو]]/$AA$187</f>
        <v>6.1537360963677479</v>
      </c>
      <c r="AC17" s="122" t="s">
        <v>64</v>
      </c>
      <c r="AD17" s="123">
        <v>1250</v>
      </c>
      <c r="AE17" s="118">
        <f>MyGrid3[[#This Row],[يوليو]]/$AD$187</f>
        <v>1.5384615384615385</v>
      </c>
      <c r="AF17" s="119" t="s">
        <v>64</v>
      </c>
      <c r="AG17" s="123"/>
      <c r="AH17" s="121">
        <f>MyGrid3[[#This Row],[أغسطس]]/$AG$187</f>
        <v>0</v>
      </c>
      <c r="AI17" s="122" t="s">
        <v>64</v>
      </c>
      <c r="AJ17" s="123"/>
      <c r="AK17" s="118">
        <f>MyGrid3[[#This Row],[سبتمبر]]/$AJ$187</f>
        <v>0</v>
      </c>
      <c r="AL17" s="119" t="s">
        <v>64</v>
      </c>
      <c r="AM17" s="123"/>
      <c r="AN17" s="121">
        <f>MyGrid3[[#This Row],[أكتوبر]]/$AM$187</f>
        <v>0</v>
      </c>
      <c r="AO17" s="122" t="s">
        <v>64</v>
      </c>
      <c r="AP17" s="123"/>
      <c r="AQ17" s="125">
        <f>MyGrid3[[#This Row],[نوفمبر]]/$AP$187</f>
        <v>0</v>
      </c>
      <c r="AR17" s="119" t="s">
        <v>64</v>
      </c>
      <c r="AS17" s="391">
        <v>841.67</v>
      </c>
      <c r="AT17" s="121">
        <f>MyGrid3[[#This Row],[ديسمبر]]/$AS$187</f>
        <v>1.0359015384615384</v>
      </c>
      <c r="AU17" s="126">
        <f t="shared" si="0"/>
        <v>9758.33</v>
      </c>
      <c r="AV17" s="127">
        <f>MyGrid3[[#This Row],[الإجمالي]]/$AU$187</f>
        <v>0.80274113913325318</v>
      </c>
    </row>
    <row r="18" spans="1:48" s="128" customFormat="1" ht="33" hidden="1" customHeight="1" thickBot="1">
      <c r="A18" s="110">
        <f>SUBTOTAL(3,$B$4:B18)</f>
        <v>0</v>
      </c>
      <c r="B18" s="111">
        <v>98199</v>
      </c>
      <c r="C18" s="112" t="s">
        <v>976</v>
      </c>
      <c r="D18" s="113" t="s">
        <v>975</v>
      </c>
      <c r="E18" s="140"/>
      <c r="F18" s="115" t="e">
        <f>RANK(G18,MyGrid3[الاساسي])</f>
        <v>#N/A</v>
      </c>
      <c r="G18" s="130"/>
      <c r="H18" s="131"/>
      <c r="I18" s="132">
        <f>RANK(J18,MyGrid3[يناير])</f>
        <v>81</v>
      </c>
      <c r="J18" s="117"/>
      <c r="K18" s="118">
        <f>MyGrid3[[#This Row],[يناير]]/$J$187</f>
        <v>0</v>
      </c>
      <c r="L18" s="133"/>
      <c r="M18" s="132">
        <f>RANK(N18,MyGrid3[فبراير])</f>
        <v>101</v>
      </c>
      <c r="N18" s="134"/>
      <c r="O18" s="121">
        <f>MyGrid3[[#This Row],[فبراير]]/$N$187</f>
        <v>0</v>
      </c>
      <c r="P18" s="135"/>
      <c r="Q18" s="132">
        <f>RANK(R18,MyGrid3[مارس])</f>
        <v>110</v>
      </c>
      <c r="R18" s="123"/>
      <c r="S18" s="118">
        <f>MyGrid3[[#This Row],[مارس]]/$R$187</f>
        <v>0</v>
      </c>
      <c r="T18" s="133"/>
      <c r="U18" s="397"/>
      <c r="V18" s="121">
        <f>MyGrid3[[#This Row],[أبريل]]/$U$187</f>
        <v>0</v>
      </c>
      <c r="W18" s="136"/>
      <c r="X18" s="397"/>
      <c r="Y18" s="118">
        <f>MyGrid3[[#This Row],[مايو]]/$X$187</f>
        <v>0</v>
      </c>
      <c r="Z18" s="137"/>
      <c r="AA18" s="123"/>
      <c r="AB18" s="121">
        <f>MyGrid3[[#This Row],[يونيو]]/$AA$187</f>
        <v>0</v>
      </c>
      <c r="AC18" s="122" t="s">
        <v>64</v>
      </c>
      <c r="AD18" s="123">
        <v>330.83</v>
      </c>
      <c r="AE18" s="118">
        <f>MyGrid3[[#This Row],[يوليو]]/$AD$187</f>
        <v>0.40717538461538461</v>
      </c>
      <c r="AF18" s="119" t="s">
        <v>64</v>
      </c>
      <c r="AG18" s="138"/>
      <c r="AH18" s="121">
        <f>MyGrid3[[#This Row],[أغسطس]]/$AG$187</f>
        <v>0</v>
      </c>
      <c r="AI18" s="122" t="s">
        <v>64</v>
      </c>
      <c r="AJ18" s="123"/>
      <c r="AK18" s="118">
        <f>MyGrid3[[#This Row],[سبتمبر]]/$AJ$187</f>
        <v>0</v>
      </c>
      <c r="AL18" s="119" t="s">
        <v>64</v>
      </c>
      <c r="AM18" s="123"/>
      <c r="AN18" s="121">
        <f>MyGrid3[[#This Row],[أكتوبر]]/$AM$187</f>
        <v>0</v>
      </c>
      <c r="AO18" s="122" t="s">
        <v>64</v>
      </c>
      <c r="AP18" s="123"/>
      <c r="AQ18" s="125">
        <f>MyGrid3[[#This Row],[نوفمبر]]/$AP$187</f>
        <v>0</v>
      </c>
      <c r="AR18" s="119" t="s">
        <v>64</v>
      </c>
      <c r="AS18" s="391"/>
      <c r="AT18" s="121">
        <f>MyGrid3[[#This Row],[ديسمبر]]/$AS$187</f>
        <v>0</v>
      </c>
      <c r="AU18" s="126">
        <f t="shared" si="0"/>
        <v>330.83</v>
      </c>
      <c r="AV18" s="127">
        <f>MyGrid3[[#This Row],[الإجمالي]]/$AU$187</f>
        <v>2.7214784810459795E-2</v>
      </c>
    </row>
    <row r="19" spans="1:48" s="128" customFormat="1" ht="33" hidden="1" customHeight="1">
      <c r="A19" s="110">
        <f>SUBTOTAL(3,$B$4:B19)</f>
        <v>0</v>
      </c>
      <c r="B19" s="111">
        <v>100604</v>
      </c>
      <c r="C19" s="112" t="s">
        <v>977</v>
      </c>
      <c r="D19" s="113"/>
      <c r="E19" s="140"/>
      <c r="F19" s="115" t="e">
        <f>RANK(G19,MyGrid3[الاساسي])</f>
        <v>#N/A</v>
      </c>
      <c r="G19" s="130"/>
      <c r="H19" s="131"/>
      <c r="I19" s="115">
        <f>RANK(J19,MyGrid3[يناير])</f>
        <v>81</v>
      </c>
      <c r="J19" s="117">
        <v>0</v>
      </c>
      <c r="K19" s="118">
        <f>MyGrid3[[#This Row],[يناير]]/$J$187</f>
        <v>0</v>
      </c>
      <c r="L19" s="133"/>
      <c r="M19" s="132">
        <f>RANK(N19,MyGrid3[فبراير])</f>
        <v>101</v>
      </c>
      <c r="N19" s="134">
        <v>0</v>
      </c>
      <c r="O19" s="121">
        <f>MyGrid3[[#This Row],[فبراير]]/$N$187</f>
        <v>0</v>
      </c>
      <c r="P19" s="122" t="s">
        <v>64</v>
      </c>
      <c r="Q19" s="132">
        <f>RANK(R19,MyGrid3[مارس])</f>
        <v>7</v>
      </c>
      <c r="R19" s="123">
        <v>2500</v>
      </c>
      <c r="S19" s="118">
        <f>MyGrid3[[#This Row],[مارس]]/$R$187</f>
        <v>1.7699115044247788</v>
      </c>
      <c r="T19" s="119" t="s">
        <v>64</v>
      </c>
      <c r="U19" s="397"/>
      <c r="V19" s="121">
        <f>MyGrid3[[#This Row],[أبريل]]/$U$187</f>
        <v>0</v>
      </c>
      <c r="W19" s="122" t="s">
        <v>64</v>
      </c>
      <c r="X19" s="397"/>
      <c r="Y19" s="118">
        <f>MyGrid3[[#This Row],[مايو]]/$X$187</f>
        <v>0</v>
      </c>
      <c r="Z19" s="119" t="s">
        <v>64</v>
      </c>
      <c r="AA19" s="123"/>
      <c r="AB19" s="121">
        <f>MyGrid3[[#This Row],[يونيو]]/$AA$187</f>
        <v>0</v>
      </c>
      <c r="AC19" s="122" t="s">
        <v>64</v>
      </c>
      <c r="AD19" s="123"/>
      <c r="AE19" s="118">
        <f>MyGrid3[[#This Row],[يوليو]]/$AD$187</f>
        <v>0</v>
      </c>
      <c r="AF19" s="119" t="s">
        <v>64</v>
      </c>
      <c r="AG19" s="138"/>
      <c r="AH19" s="121">
        <f>MyGrid3[[#This Row],[أغسطس]]/$AG$187</f>
        <v>0</v>
      </c>
      <c r="AI19" s="122" t="s">
        <v>64</v>
      </c>
      <c r="AJ19" s="123"/>
      <c r="AK19" s="118">
        <f>MyGrid3[[#This Row],[سبتمبر]]/$AJ$187</f>
        <v>0</v>
      </c>
      <c r="AL19" s="119" t="s">
        <v>64</v>
      </c>
      <c r="AM19" s="123"/>
      <c r="AN19" s="121">
        <f>MyGrid3[[#This Row],[أكتوبر]]/$AM$187</f>
        <v>0</v>
      </c>
      <c r="AO19" s="122" t="s">
        <v>64</v>
      </c>
      <c r="AP19" s="123"/>
      <c r="AQ19" s="125">
        <f>MyGrid3[[#This Row],[نوفمبر]]/$AP$187</f>
        <v>0</v>
      </c>
      <c r="AR19" s="119" t="s">
        <v>64</v>
      </c>
      <c r="AS19" s="391"/>
      <c r="AT19" s="121">
        <f>MyGrid3[[#This Row],[ديسمبر]]/$AS$187</f>
        <v>0</v>
      </c>
      <c r="AU19" s="126">
        <f t="shared" si="0"/>
        <v>2500</v>
      </c>
      <c r="AV19" s="127">
        <f>MyGrid3[[#This Row],[الإجمالي]]/$AU$187</f>
        <v>0.20565535781564395</v>
      </c>
    </row>
    <row r="20" spans="1:48" s="128" customFormat="1" ht="33" hidden="1" customHeight="1">
      <c r="A20" s="110">
        <f>SUBTOTAL(3,$B$4:B20)</f>
        <v>0</v>
      </c>
      <c r="B20" s="111">
        <v>100605</v>
      </c>
      <c r="C20" s="112" t="s">
        <v>978</v>
      </c>
      <c r="D20" s="113" t="s">
        <v>979</v>
      </c>
      <c r="E20" s="140" t="s">
        <v>64</v>
      </c>
      <c r="F20" s="115">
        <f>RANK(G20,MyGrid3[الاساسي])</f>
        <v>10</v>
      </c>
      <c r="G20" s="116">
        <v>2000</v>
      </c>
      <c r="H20" s="131"/>
      <c r="I20" s="115">
        <f>RANK(J20,MyGrid3[يناير])</f>
        <v>81</v>
      </c>
      <c r="J20" s="117">
        <v>0</v>
      </c>
      <c r="K20" s="118">
        <f>MyGrid3[[#This Row],[يناير]]/$J$187</f>
        <v>0</v>
      </c>
      <c r="L20" s="133"/>
      <c r="M20" s="132">
        <f>RANK(N20,MyGrid3[فبراير])</f>
        <v>101</v>
      </c>
      <c r="N20" s="134">
        <v>0</v>
      </c>
      <c r="O20" s="121">
        <f>MyGrid3[[#This Row],[فبراير]]/$N$187</f>
        <v>0</v>
      </c>
      <c r="P20" s="122" t="s">
        <v>64</v>
      </c>
      <c r="Q20" s="132">
        <f>RANK(R20,MyGrid3[مارس])</f>
        <v>7</v>
      </c>
      <c r="R20" s="123">
        <v>2500</v>
      </c>
      <c r="S20" s="118">
        <f>MyGrid3[[#This Row],[مارس]]/$R$187</f>
        <v>1.7699115044247788</v>
      </c>
      <c r="T20" s="119" t="s">
        <v>64</v>
      </c>
      <c r="U20" s="397">
        <f>2416.66-66.67</f>
        <v>2349.9899999999998</v>
      </c>
      <c r="V20" s="121">
        <f>MyGrid3[[#This Row],[أبريل]]/$U$187</f>
        <v>1.6637097345132741</v>
      </c>
      <c r="W20" s="122" t="s">
        <v>64</v>
      </c>
      <c r="X20" s="397">
        <v>2500</v>
      </c>
      <c r="Y20" s="118">
        <f>MyGrid3[[#This Row],[مايو]]/$X$187</f>
        <v>1.7672965311503688</v>
      </c>
      <c r="Z20" s="119" t="s">
        <v>64</v>
      </c>
      <c r="AA20" s="123">
        <v>2500</v>
      </c>
      <c r="AB20" s="121">
        <f>MyGrid3[[#This Row],[يونيو]]/$AA$187</f>
        <v>11.538284026399594</v>
      </c>
      <c r="AC20" s="122" t="s">
        <v>64</v>
      </c>
      <c r="AD20" s="123">
        <v>2500</v>
      </c>
      <c r="AE20" s="118">
        <f>MyGrid3[[#This Row],[يوليو]]/$AD$187</f>
        <v>3.0769230769230771</v>
      </c>
      <c r="AF20" s="139" t="s">
        <v>64</v>
      </c>
      <c r="AG20" s="124">
        <v>2500</v>
      </c>
      <c r="AH20" s="121">
        <f>MyGrid3[[#This Row],[أغسطس]]/$AG$187</f>
        <v>3.0769230769230771</v>
      </c>
      <c r="AI20" s="122" t="s">
        <v>64</v>
      </c>
      <c r="AJ20" s="123">
        <v>2500</v>
      </c>
      <c r="AK20" s="118">
        <f>MyGrid3[[#This Row],[سبتمبر]]/$AJ$187</f>
        <v>3.0769230769230771</v>
      </c>
      <c r="AL20" s="119" t="s">
        <v>64</v>
      </c>
      <c r="AM20" s="123"/>
      <c r="AN20" s="121">
        <f>MyGrid3[[#This Row],[أكتوبر]]/$AM$187</f>
        <v>0</v>
      </c>
      <c r="AO20" s="122" t="s">
        <v>64</v>
      </c>
      <c r="AP20" s="123"/>
      <c r="AQ20" s="125">
        <f>MyGrid3[[#This Row],[نوفمبر]]/$AP$187</f>
        <v>0</v>
      </c>
      <c r="AR20" s="119" t="s">
        <v>64</v>
      </c>
      <c r="AS20" s="391"/>
      <c r="AT20" s="121">
        <f>MyGrid3[[#This Row],[ديسمبر]]/$AS$187</f>
        <v>0</v>
      </c>
      <c r="AU20" s="126">
        <f t="shared" si="0"/>
        <v>17349.989999999998</v>
      </c>
      <c r="AV20" s="127">
        <f>MyGrid3[[#This Row],[الإجمالي]]/$AU$187</f>
        <v>1.4272473606191376</v>
      </c>
    </row>
    <row r="21" spans="1:48" s="128" customFormat="1" ht="33" hidden="1" customHeight="1">
      <c r="A21" s="110">
        <f>SUBTOTAL(3,$B$4:B21)</f>
        <v>0</v>
      </c>
      <c r="B21" s="111">
        <v>100606</v>
      </c>
      <c r="C21" s="112" t="s">
        <v>980</v>
      </c>
      <c r="D21" s="113" t="s">
        <v>979</v>
      </c>
      <c r="E21" s="140" t="s">
        <v>64</v>
      </c>
      <c r="F21" s="115">
        <f>RANK(G21,MyGrid3[الاساسي])</f>
        <v>33</v>
      </c>
      <c r="G21" s="116">
        <v>1500</v>
      </c>
      <c r="H21" s="131"/>
      <c r="I21" s="115">
        <f>RANK(J21,MyGrid3[يناير])</f>
        <v>81</v>
      </c>
      <c r="J21" s="117">
        <v>0</v>
      </c>
      <c r="K21" s="118">
        <f>MyGrid3[[#This Row],[يناير]]/$J$187</f>
        <v>0</v>
      </c>
      <c r="L21" s="133"/>
      <c r="M21" s="132">
        <f>RANK(N21,MyGrid3[فبراير])</f>
        <v>101</v>
      </c>
      <c r="N21" s="134">
        <v>0</v>
      </c>
      <c r="O21" s="121">
        <f>MyGrid3[[#This Row],[فبراير]]/$N$187</f>
        <v>0</v>
      </c>
      <c r="P21" s="122" t="s">
        <v>64</v>
      </c>
      <c r="Q21" s="132">
        <f>RANK(R21,MyGrid3[مارس])</f>
        <v>16</v>
      </c>
      <c r="R21" s="123">
        <v>2000</v>
      </c>
      <c r="S21" s="118">
        <f>MyGrid3[[#This Row],[مارس]]/$R$187</f>
        <v>1.415929203539823</v>
      </c>
      <c r="T21" s="119" t="s">
        <v>64</v>
      </c>
      <c r="U21" s="397">
        <v>2000</v>
      </c>
      <c r="V21" s="121">
        <f>MyGrid3[[#This Row],[أبريل]]/$U$187</f>
        <v>1.415929203539823</v>
      </c>
      <c r="W21" s="122" t="s">
        <v>64</v>
      </c>
      <c r="X21" s="397">
        <v>2000</v>
      </c>
      <c r="Y21" s="118">
        <f>MyGrid3[[#This Row],[مايو]]/$X$187</f>
        <v>1.4138372249202951</v>
      </c>
      <c r="Z21" s="119" t="s">
        <v>64</v>
      </c>
      <c r="AA21" s="123">
        <v>2000</v>
      </c>
      <c r="AB21" s="121">
        <f>MyGrid3[[#This Row],[يونيو]]/$AA$187</f>
        <v>9.2306272211196756</v>
      </c>
      <c r="AC21" s="122" t="s">
        <v>64</v>
      </c>
      <c r="AD21" s="123">
        <v>2000</v>
      </c>
      <c r="AE21" s="118">
        <f>MyGrid3[[#This Row],[يوليو]]/$AD$187</f>
        <v>2.4615384615384617</v>
      </c>
      <c r="AF21" s="139" t="s">
        <v>64</v>
      </c>
      <c r="AG21" s="124">
        <v>2000</v>
      </c>
      <c r="AH21" s="121">
        <f>MyGrid3[[#This Row],[أغسطس]]/$AG$187</f>
        <v>2.4615384615384617</v>
      </c>
      <c r="AI21" s="122" t="s">
        <v>64</v>
      </c>
      <c r="AJ21" s="123">
        <v>2000</v>
      </c>
      <c r="AK21" s="118">
        <f>MyGrid3[[#This Row],[سبتمبر]]/$AJ$187</f>
        <v>2.4615384615384617</v>
      </c>
      <c r="AL21" s="119" t="s">
        <v>64</v>
      </c>
      <c r="AM21" s="123"/>
      <c r="AN21" s="121">
        <f>MyGrid3[[#This Row],[أكتوبر]]/$AM$187</f>
        <v>0</v>
      </c>
      <c r="AO21" s="122" t="s">
        <v>64</v>
      </c>
      <c r="AP21" s="123"/>
      <c r="AQ21" s="125">
        <f>MyGrid3[[#This Row],[نوفمبر]]/$AP$187</f>
        <v>0</v>
      </c>
      <c r="AR21" s="119" t="s">
        <v>64</v>
      </c>
      <c r="AS21" s="391"/>
      <c r="AT21" s="121">
        <f>MyGrid3[[#This Row],[ديسمبر]]/$AS$187</f>
        <v>0</v>
      </c>
      <c r="AU21" s="126">
        <f t="shared" si="0"/>
        <v>14000</v>
      </c>
      <c r="AV21" s="127">
        <f>MyGrid3[[#This Row],[الإجمالي]]/$AU$187</f>
        <v>1.1516700037676062</v>
      </c>
    </row>
    <row r="22" spans="1:48" s="128" customFormat="1" ht="33" hidden="1" customHeight="1">
      <c r="A22" s="110">
        <f>SUBTOTAL(3,$B$4:B22)</f>
        <v>0</v>
      </c>
      <c r="B22" s="111">
        <v>100613</v>
      </c>
      <c r="C22" s="112" t="s">
        <v>981</v>
      </c>
      <c r="D22" s="113" t="s">
        <v>957</v>
      </c>
      <c r="E22" s="140" t="s">
        <v>64</v>
      </c>
      <c r="F22" s="115">
        <f>RANK(G22,MyGrid3[الاساسي])</f>
        <v>10</v>
      </c>
      <c r="G22" s="116">
        <v>2000</v>
      </c>
      <c r="H22" s="131"/>
      <c r="I22" s="115">
        <f>RANK(J22,MyGrid3[يناير])</f>
        <v>81</v>
      </c>
      <c r="J22" s="117">
        <v>0</v>
      </c>
      <c r="K22" s="118">
        <f>MyGrid3[[#This Row],[يناير]]/$J$187</f>
        <v>0</v>
      </c>
      <c r="L22" s="133"/>
      <c r="M22" s="132">
        <f>RANK(N22,MyGrid3[فبراير])</f>
        <v>101</v>
      </c>
      <c r="N22" s="134">
        <v>0</v>
      </c>
      <c r="O22" s="121">
        <f>MyGrid3[[#This Row],[فبراير]]/$N$187</f>
        <v>0</v>
      </c>
      <c r="P22" s="122" t="s">
        <v>64</v>
      </c>
      <c r="Q22" s="132">
        <f>RANK(R22,MyGrid3[مارس])</f>
        <v>7</v>
      </c>
      <c r="R22" s="123">
        <v>2500</v>
      </c>
      <c r="S22" s="118">
        <f>MyGrid3[[#This Row],[مارس]]/$R$187</f>
        <v>1.7699115044247788</v>
      </c>
      <c r="T22" s="119" t="s">
        <v>64</v>
      </c>
      <c r="U22" s="397">
        <v>2500</v>
      </c>
      <c r="V22" s="121">
        <f>MyGrid3[[#This Row],[أبريل]]/$U$187</f>
        <v>1.7699115044247788</v>
      </c>
      <c r="W22" s="122" t="s">
        <v>64</v>
      </c>
      <c r="X22" s="397">
        <v>2500</v>
      </c>
      <c r="Y22" s="118">
        <f>MyGrid3[[#This Row],[مايو]]/$X$187</f>
        <v>1.7672965311503688</v>
      </c>
      <c r="Z22" s="119" t="s">
        <v>64</v>
      </c>
      <c r="AA22" s="123">
        <v>2500</v>
      </c>
      <c r="AB22" s="121">
        <f>MyGrid3[[#This Row],[يونيو]]/$AA$187</f>
        <v>11.538284026399594</v>
      </c>
      <c r="AC22" s="122" t="s">
        <v>64</v>
      </c>
      <c r="AD22" s="123">
        <v>2500</v>
      </c>
      <c r="AE22" s="118">
        <f>MyGrid3[[#This Row],[يوليو]]/$AD$187</f>
        <v>3.0769230769230771</v>
      </c>
      <c r="AF22" s="139" t="s">
        <v>64</v>
      </c>
      <c r="AG22" s="124">
        <v>2500</v>
      </c>
      <c r="AH22" s="121">
        <f>MyGrid3[[#This Row],[أغسطس]]/$AG$187</f>
        <v>3.0769230769230771</v>
      </c>
      <c r="AI22" s="122" t="s">
        <v>64</v>
      </c>
      <c r="AJ22" s="123">
        <v>2500</v>
      </c>
      <c r="AK22" s="118">
        <f>MyGrid3[[#This Row],[سبتمبر]]/$AJ$187</f>
        <v>3.0769230769230771</v>
      </c>
      <c r="AL22" s="119" t="s">
        <v>64</v>
      </c>
      <c r="AM22" s="123">
        <v>2500</v>
      </c>
      <c r="AN22" s="121">
        <f>MyGrid3[[#This Row],[أكتوبر]]/$AM$187</f>
        <v>3.0769230769230771</v>
      </c>
      <c r="AO22" s="122" t="s">
        <v>64</v>
      </c>
      <c r="AP22" s="123">
        <v>2500</v>
      </c>
      <c r="AQ22" s="125">
        <f>MyGrid3[[#This Row],[نوفمبر]]/$AP$187</f>
        <v>3.0769230769230771</v>
      </c>
      <c r="AR22" s="119" t="s">
        <v>64</v>
      </c>
      <c r="AS22" s="391">
        <v>2500</v>
      </c>
      <c r="AT22" s="121">
        <f>MyGrid3[[#This Row],[ديسمبر]]/$AS$187</f>
        <v>3.0769230769230771</v>
      </c>
      <c r="AU22" s="126">
        <f t="shared" si="0"/>
        <v>25000</v>
      </c>
      <c r="AV22" s="127">
        <f>MyGrid3[[#This Row],[الإجمالي]]/$AU$187</f>
        <v>2.0565535781564397</v>
      </c>
    </row>
    <row r="23" spans="1:48" s="128" customFormat="1" ht="33" hidden="1" customHeight="1">
      <c r="A23" s="110">
        <f>SUBTOTAL(3,$B$4:B23)</f>
        <v>0</v>
      </c>
      <c r="B23" s="111">
        <v>100615</v>
      </c>
      <c r="C23" s="112" t="s">
        <v>982</v>
      </c>
      <c r="D23" s="113"/>
      <c r="E23" s="140" t="s">
        <v>64</v>
      </c>
      <c r="F23" s="115">
        <f>RANK(G23,MyGrid3[الاساسي])</f>
        <v>107</v>
      </c>
      <c r="G23" s="130">
        <v>500</v>
      </c>
      <c r="H23" s="114" t="s">
        <v>64</v>
      </c>
      <c r="I23" s="115">
        <f>RANK(J23,MyGrid3[يناير])</f>
        <v>42</v>
      </c>
      <c r="J23" s="141">
        <v>875</v>
      </c>
      <c r="K23" s="118">
        <f>MyGrid3[[#This Row],[يناير]]/$J$187</f>
        <v>0.61946902654867253</v>
      </c>
      <c r="L23" s="119" t="s">
        <v>64</v>
      </c>
      <c r="M23" s="115">
        <f>RANK(N23,MyGrid3[فبراير])</f>
        <v>101</v>
      </c>
      <c r="N23" s="134">
        <v>0</v>
      </c>
      <c r="O23" s="121">
        <f>MyGrid3[[#This Row],[فبراير]]/$N$187</f>
        <v>0</v>
      </c>
      <c r="P23" s="122" t="s">
        <v>64</v>
      </c>
      <c r="Q23" s="115">
        <f>RANK(R23,MyGrid3[مارس])</f>
        <v>110</v>
      </c>
      <c r="R23" s="123">
        <v>0</v>
      </c>
      <c r="S23" s="118">
        <f>MyGrid3[[#This Row],[مارس]]/$R$187</f>
        <v>0</v>
      </c>
      <c r="T23" s="119" t="s">
        <v>64</v>
      </c>
      <c r="U23" s="397"/>
      <c r="V23" s="121">
        <f>MyGrid3[[#This Row],[أبريل]]/$U$187</f>
        <v>0</v>
      </c>
      <c r="W23" s="122" t="s">
        <v>64</v>
      </c>
      <c r="X23" s="397">
        <v>4000</v>
      </c>
      <c r="Y23" s="118">
        <f>MyGrid3[[#This Row],[مايو]]/$X$187</f>
        <v>2.8276744498405901</v>
      </c>
      <c r="Z23" s="119" t="s">
        <v>64</v>
      </c>
      <c r="AA23" s="123"/>
      <c r="AB23" s="121">
        <f>MyGrid3[[#This Row],[يونيو]]/$AA$187</f>
        <v>0</v>
      </c>
      <c r="AC23" s="122" t="s">
        <v>64</v>
      </c>
      <c r="AD23" s="123"/>
      <c r="AE23" s="118">
        <f>MyGrid3[[#This Row],[يوليو]]/$AD$187</f>
        <v>0</v>
      </c>
      <c r="AF23" s="119" t="s">
        <v>64</v>
      </c>
      <c r="AG23" s="123"/>
      <c r="AH23" s="121">
        <f>MyGrid3[[#This Row],[أغسطس]]/$AG$187</f>
        <v>0</v>
      </c>
      <c r="AI23" s="122" t="s">
        <v>64</v>
      </c>
      <c r="AJ23" s="123"/>
      <c r="AK23" s="118">
        <f>MyGrid3[[#This Row],[سبتمبر]]/$AJ$187</f>
        <v>0</v>
      </c>
      <c r="AL23" s="119" t="s">
        <v>64</v>
      </c>
      <c r="AM23" s="123"/>
      <c r="AN23" s="121">
        <f>MyGrid3[[#This Row],[أكتوبر]]/$AM$187</f>
        <v>0</v>
      </c>
      <c r="AO23" s="122" t="s">
        <v>64</v>
      </c>
      <c r="AP23" s="123"/>
      <c r="AQ23" s="125">
        <f>MyGrid3[[#This Row],[نوفمبر]]/$AP$187</f>
        <v>0</v>
      </c>
      <c r="AR23" s="119" t="s">
        <v>64</v>
      </c>
      <c r="AS23" s="391"/>
      <c r="AT23" s="121">
        <f>MyGrid3[[#This Row],[ديسمبر]]/$AS$187</f>
        <v>0</v>
      </c>
      <c r="AU23" s="126">
        <f t="shared" si="0"/>
        <v>4875</v>
      </c>
      <c r="AV23" s="127">
        <f>MyGrid3[[#This Row],[الإجمالي]]/$AU$187</f>
        <v>0.40102794774050571</v>
      </c>
    </row>
    <row r="24" spans="1:48" s="128" customFormat="1" ht="33" hidden="1" customHeight="1">
      <c r="A24" s="110">
        <f>SUBTOTAL(3,$B$4:B24)</f>
        <v>0</v>
      </c>
      <c r="B24" s="111">
        <v>100616</v>
      </c>
      <c r="C24" s="112" t="s">
        <v>983</v>
      </c>
      <c r="D24" s="113" t="s">
        <v>984</v>
      </c>
      <c r="E24" s="140" t="s">
        <v>64</v>
      </c>
      <c r="F24" s="115">
        <f>RANK(G24,MyGrid3[الاساسي])</f>
        <v>10</v>
      </c>
      <c r="G24" s="116">
        <v>2000</v>
      </c>
      <c r="H24" s="131"/>
      <c r="I24" s="115">
        <f>RANK(J24,MyGrid3[يناير])</f>
        <v>81</v>
      </c>
      <c r="J24" s="117">
        <v>0</v>
      </c>
      <c r="K24" s="118">
        <f>MyGrid3[[#This Row],[يناير]]/$J$187</f>
        <v>0</v>
      </c>
      <c r="L24" s="133"/>
      <c r="M24" s="132">
        <f>RANK(N24,MyGrid3[فبراير])</f>
        <v>101</v>
      </c>
      <c r="N24" s="134">
        <v>0</v>
      </c>
      <c r="O24" s="121">
        <f>MyGrid3[[#This Row],[فبراير]]/$N$187</f>
        <v>0</v>
      </c>
      <c r="P24" s="122" t="s">
        <v>64</v>
      </c>
      <c r="Q24" s="132">
        <f>RANK(R24,MyGrid3[مارس])</f>
        <v>11</v>
      </c>
      <c r="R24" s="123">
        <v>2250</v>
      </c>
      <c r="S24" s="118">
        <f>MyGrid3[[#This Row],[مارس]]/$R$187</f>
        <v>1.5929203539823009</v>
      </c>
      <c r="T24" s="119" t="s">
        <v>64</v>
      </c>
      <c r="U24" s="397">
        <f>2333.34-66.67</f>
        <v>2266.67</v>
      </c>
      <c r="V24" s="121">
        <f>MyGrid3[[#This Row],[أبريل]]/$U$187</f>
        <v>1.6047221238938054</v>
      </c>
      <c r="W24" s="122" t="s">
        <v>64</v>
      </c>
      <c r="X24" s="397">
        <v>2500</v>
      </c>
      <c r="Y24" s="118">
        <f>MyGrid3[[#This Row],[مايو]]/$X$187</f>
        <v>1.7672965311503688</v>
      </c>
      <c r="Z24" s="119" t="s">
        <v>64</v>
      </c>
      <c r="AA24" s="123">
        <v>2500</v>
      </c>
      <c r="AB24" s="121">
        <f>MyGrid3[[#This Row],[يونيو]]/$AA$187</f>
        <v>11.538284026399594</v>
      </c>
      <c r="AC24" s="122" t="s">
        <v>64</v>
      </c>
      <c r="AD24" s="123">
        <v>2500</v>
      </c>
      <c r="AE24" s="118">
        <f>MyGrid3[[#This Row],[يوليو]]/$AD$187</f>
        <v>3.0769230769230771</v>
      </c>
      <c r="AF24" s="139" t="s">
        <v>64</v>
      </c>
      <c r="AG24" s="124">
        <v>2500</v>
      </c>
      <c r="AH24" s="121">
        <f>MyGrid3[[#This Row],[أغسطس]]/$AG$187</f>
        <v>3.0769230769230771</v>
      </c>
      <c r="AI24" s="122" t="s">
        <v>64</v>
      </c>
      <c r="AJ24" s="123">
        <v>2500</v>
      </c>
      <c r="AK24" s="118">
        <f>MyGrid3[[#This Row],[سبتمبر]]/$AJ$187</f>
        <v>3.0769230769230771</v>
      </c>
      <c r="AL24" s="119" t="s">
        <v>64</v>
      </c>
      <c r="AM24" s="123"/>
      <c r="AN24" s="121">
        <f>MyGrid3[[#This Row],[أكتوبر]]/$AM$187</f>
        <v>0</v>
      </c>
      <c r="AO24" s="122" t="s">
        <v>64</v>
      </c>
      <c r="AP24" s="123"/>
      <c r="AQ24" s="125">
        <f>MyGrid3[[#This Row],[نوفمبر]]/$AP$187</f>
        <v>0</v>
      </c>
      <c r="AR24" s="119" t="s">
        <v>64</v>
      </c>
      <c r="AS24" s="391"/>
      <c r="AT24" s="121">
        <f>MyGrid3[[#This Row],[ديسمبر]]/$AS$187</f>
        <v>0</v>
      </c>
      <c r="AU24" s="126">
        <f t="shared" si="0"/>
        <v>17016.669999999998</v>
      </c>
      <c r="AV24" s="127">
        <f>MyGrid3[[#This Row],[الإجمالي]]/$AU$187</f>
        <v>1.3998277430722934</v>
      </c>
    </row>
    <row r="25" spans="1:48" s="128" customFormat="1" ht="33" hidden="1" customHeight="1">
      <c r="A25" s="110">
        <f>SUBTOTAL(3,$B$4:B25)</f>
        <v>0</v>
      </c>
      <c r="B25" s="111">
        <v>100637</v>
      </c>
      <c r="C25" s="112" t="s">
        <v>985</v>
      </c>
      <c r="D25" s="113" t="s">
        <v>957</v>
      </c>
      <c r="E25" s="147" t="s">
        <v>64</v>
      </c>
      <c r="F25" s="115">
        <f>RANK(G25,MyGrid3[الاساسي])</f>
        <v>10</v>
      </c>
      <c r="G25" s="130">
        <v>2000</v>
      </c>
      <c r="H25" s="131"/>
      <c r="I25" s="132">
        <f>RANK(J25,MyGrid3[يناير])</f>
        <v>81</v>
      </c>
      <c r="J25" s="117"/>
      <c r="K25" s="118">
        <f>MyGrid3[[#This Row],[يناير]]/$J$187</f>
        <v>0</v>
      </c>
      <c r="L25" s="133"/>
      <c r="M25" s="132">
        <f>RANK(N25,MyGrid3[فبراير])</f>
        <v>101</v>
      </c>
      <c r="N25" s="134"/>
      <c r="O25" s="121">
        <f>MyGrid3[[#This Row],[فبراير]]/$N$187</f>
        <v>0</v>
      </c>
      <c r="P25" s="135"/>
      <c r="Q25" s="132">
        <f>RANK(R25,MyGrid3[مارس])</f>
        <v>110</v>
      </c>
      <c r="R25" s="123"/>
      <c r="S25" s="118">
        <f>MyGrid3[[#This Row],[مارس]]/$R$187</f>
        <v>0</v>
      </c>
      <c r="T25" s="133"/>
      <c r="U25" s="397"/>
      <c r="V25" s="121">
        <f>MyGrid3[[#This Row],[أبريل]]/$U$187</f>
        <v>0</v>
      </c>
      <c r="W25" s="136"/>
      <c r="X25" s="397"/>
      <c r="Y25" s="118">
        <f>MyGrid3[[#This Row],[مايو]]/$X$187</f>
        <v>0</v>
      </c>
      <c r="Z25" s="137"/>
      <c r="AA25" s="123"/>
      <c r="AB25" s="121">
        <f>MyGrid3[[#This Row],[يونيو]]/$AA$187</f>
        <v>0</v>
      </c>
      <c r="AC25" s="136"/>
      <c r="AD25" s="123"/>
      <c r="AE25" s="118">
        <f>MyGrid3[[#This Row],[يوليو]]/$AD$187</f>
        <v>0</v>
      </c>
      <c r="AF25" s="137"/>
      <c r="AG25" s="138"/>
      <c r="AH25" s="121">
        <f>MyGrid3[[#This Row],[أغسطس]]/$AG$187</f>
        <v>0</v>
      </c>
      <c r="AI25" s="136"/>
      <c r="AJ25" s="123"/>
      <c r="AK25" s="118">
        <f>MyGrid3[[#This Row],[سبتمبر]]/$AJ$187</f>
        <v>0</v>
      </c>
      <c r="AL25" s="119" t="s">
        <v>64</v>
      </c>
      <c r="AM25" s="123">
        <v>1083.3399999999999</v>
      </c>
      <c r="AN25" s="121">
        <f>MyGrid3[[#This Row],[أكتوبر]]/$AM$187</f>
        <v>1.3333415384615384</v>
      </c>
      <c r="AO25" s="122" t="s">
        <v>64</v>
      </c>
      <c r="AP25" s="123">
        <v>2500</v>
      </c>
      <c r="AQ25" s="125">
        <f>MyGrid3[[#This Row],[نوفمبر]]/$AP$187</f>
        <v>3.0769230769230771</v>
      </c>
      <c r="AR25" s="119" t="s">
        <v>64</v>
      </c>
      <c r="AS25" s="391">
        <v>2500</v>
      </c>
      <c r="AT25" s="121">
        <f>MyGrid3[[#This Row],[ديسمبر]]/$AS$187</f>
        <v>3.0769230769230771</v>
      </c>
      <c r="AU25" s="126">
        <f t="shared" si="0"/>
        <v>6083.34</v>
      </c>
      <c r="AV25" s="127">
        <f>MyGrid3[[#This Row],[الإجمالي]]/$AU$187</f>
        <v>0.50042858576568783</v>
      </c>
    </row>
    <row r="26" spans="1:48" s="128" customFormat="1" ht="33" hidden="1" customHeight="1">
      <c r="A26" s="110">
        <f>SUBTOTAL(3,$B$4:B26)</f>
        <v>0</v>
      </c>
      <c r="B26" s="111">
        <v>100638</v>
      </c>
      <c r="C26" s="112" t="s">
        <v>986</v>
      </c>
      <c r="D26" s="113" t="s">
        <v>957</v>
      </c>
      <c r="E26" s="147" t="s">
        <v>64</v>
      </c>
      <c r="F26" s="115">
        <f>RANK(G26,MyGrid3[الاساسي])</f>
        <v>33</v>
      </c>
      <c r="G26" s="130">
        <v>1500</v>
      </c>
      <c r="H26" s="131"/>
      <c r="I26" s="132">
        <f>RANK(J26,MyGrid3[يناير])</f>
        <v>81</v>
      </c>
      <c r="J26" s="117"/>
      <c r="K26" s="118">
        <f>MyGrid3[[#This Row],[يناير]]/$J$187</f>
        <v>0</v>
      </c>
      <c r="L26" s="133"/>
      <c r="M26" s="132">
        <f>RANK(N26,MyGrid3[فبراير])</f>
        <v>101</v>
      </c>
      <c r="N26" s="134"/>
      <c r="O26" s="121">
        <f>MyGrid3[[#This Row],[فبراير]]/$N$187</f>
        <v>0</v>
      </c>
      <c r="P26" s="135"/>
      <c r="Q26" s="132">
        <f>RANK(R26,MyGrid3[مارس])</f>
        <v>110</v>
      </c>
      <c r="R26" s="123"/>
      <c r="S26" s="118">
        <f>MyGrid3[[#This Row],[مارس]]/$R$187</f>
        <v>0</v>
      </c>
      <c r="T26" s="133"/>
      <c r="U26" s="397"/>
      <c r="V26" s="121">
        <f>MyGrid3[[#This Row],[أبريل]]/$U$187</f>
        <v>0</v>
      </c>
      <c r="W26" s="136"/>
      <c r="X26" s="397"/>
      <c r="Y26" s="118">
        <f>MyGrid3[[#This Row],[مايو]]/$X$187</f>
        <v>0</v>
      </c>
      <c r="Z26" s="137"/>
      <c r="AA26" s="123"/>
      <c r="AB26" s="121">
        <f>MyGrid3[[#This Row],[يونيو]]/$AA$187</f>
        <v>0</v>
      </c>
      <c r="AC26" s="136"/>
      <c r="AD26" s="123"/>
      <c r="AE26" s="118">
        <f>MyGrid3[[#This Row],[يوليو]]/$AD$187</f>
        <v>0</v>
      </c>
      <c r="AF26" s="137"/>
      <c r="AG26" s="138"/>
      <c r="AH26" s="121">
        <f>MyGrid3[[#This Row],[أغسطس]]/$AG$187</f>
        <v>0</v>
      </c>
      <c r="AI26" s="136"/>
      <c r="AJ26" s="123"/>
      <c r="AK26" s="118">
        <f>MyGrid3[[#This Row],[سبتمبر]]/$AJ$187</f>
        <v>0</v>
      </c>
      <c r="AL26" s="119" t="s">
        <v>64</v>
      </c>
      <c r="AM26" s="123">
        <v>333.33</v>
      </c>
      <c r="AN26" s="121">
        <f>MyGrid3[[#This Row],[أكتوبر]]/$AM$187</f>
        <v>0.41025230769230769</v>
      </c>
      <c r="AO26" s="122" t="s">
        <v>64</v>
      </c>
      <c r="AP26" s="123">
        <v>2000</v>
      </c>
      <c r="AQ26" s="125">
        <f>MyGrid3[[#This Row],[نوفمبر]]/$AP$187</f>
        <v>2.4615384615384617</v>
      </c>
      <c r="AR26" s="119" t="s">
        <v>64</v>
      </c>
      <c r="AS26" s="391">
        <v>2000</v>
      </c>
      <c r="AT26" s="121">
        <f>MyGrid3[[#This Row],[ديسمبر]]/$AS$187</f>
        <v>2.4615384615384617</v>
      </c>
      <c r="AU26" s="126">
        <f t="shared" si="0"/>
        <v>4333.33</v>
      </c>
      <c r="AV26" s="127">
        <f>MyGrid3[[#This Row],[الإجمالي]]/$AU$187</f>
        <v>0.35646901267330577</v>
      </c>
    </row>
    <row r="27" spans="1:48" s="128" customFormat="1" ht="33" hidden="1" customHeight="1">
      <c r="A27" s="110">
        <f>SUBTOTAL(3,$B$4:B27)</f>
        <v>0</v>
      </c>
      <c r="B27" s="111">
        <v>100617</v>
      </c>
      <c r="C27" s="112" t="s">
        <v>987</v>
      </c>
      <c r="D27" s="113" t="s">
        <v>957</v>
      </c>
      <c r="E27" s="140" t="s">
        <v>64</v>
      </c>
      <c r="F27" s="115">
        <f>RANK(G27,MyGrid3[الاساسي])</f>
        <v>10</v>
      </c>
      <c r="G27" s="130">
        <v>2000</v>
      </c>
      <c r="H27" s="131"/>
      <c r="I27" s="115">
        <f>RANK(J27,MyGrid3[يناير])</f>
        <v>81</v>
      </c>
      <c r="J27" s="117">
        <v>0</v>
      </c>
      <c r="K27" s="118">
        <f>MyGrid3[[#This Row],[يناير]]/$J$187</f>
        <v>0</v>
      </c>
      <c r="L27" s="133"/>
      <c r="M27" s="132">
        <f>RANK(N27,MyGrid3[فبراير])</f>
        <v>101</v>
      </c>
      <c r="N27" s="134">
        <v>0</v>
      </c>
      <c r="O27" s="121">
        <f>MyGrid3[[#This Row],[فبراير]]/$N$187</f>
        <v>0</v>
      </c>
      <c r="P27" s="122" t="s">
        <v>64</v>
      </c>
      <c r="Q27" s="132">
        <f>RANK(R27,MyGrid3[مارس])</f>
        <v>11</v>
      </c>
      <c r="R27" s="123">
        <v>2250</v>
      </c>
      <c r="S27" s="118">
        <f>MyGrid3[[#This Row],[مارس]]/$R$187</f>
        <v>1.5929203539823009</v>
      </c>
      <c r="T27" s="119" t="s">
        <v>64</v>
      </c>
      <c r="U27" s="397">
        <v>2500</v>
      </c>
      <c r="V27" s="121">
        <f>MyGrid3[[#This Row],[أبريل]]/$U$187</f>
        <v>1.7699115044247788</v>
      </c>
      <c r="W27" s="122" t="s">
        <v>64</v>
      </c>
      <c r="X27" s="397">
        <v>2500</v>
      </c>
      <c r="Y27" s="118">
        <f>MyGrid3[[#This Row],[مايو]]/$X$187</f>
        <v>1.7672965311503688</v>
      </c>
      <c r="Z27" s="119" t="s">
        <v>64</v>
      </c>
      <c r="AA27" s="123"/>
      <c r="AB27" s="121">
        <f>MyGrid3[[#This Row],[يونيو]]/$AA$187</f>
        <v>0</v>
      </c>
      <c r="AC27" s="122" t="s">
        <v>64</v>
      </c>
      <c r="AD27" s="123"/>
      <c r="AE27" s="118">
        <f>MyGrid3[[#This Row],[يوليو]]/$AD$187</f>
        <v>0</v>
      </c>
      <c r="AF27" s="119" t="s">
        <v>64</v>
      </c>
      <c r="AG27" s="138"/>
      <c r="AH27" s="121">
        <f>MyGrid3[[#This Row],[أغسطس]]/$AG$187</f>
        <v>0</v>
      </c>
      <c r="AI27" s="122" t="s">
        <v>64</v>
      </c>
      <c r="AJ27" s="123"/>
      <c r="AK27" s="118">
        <f>MyGrid3[[#This Row],[سبتمبر]]/$AJ$187</f>
        <v>0</v>
      </c>
      <c r="AL27" s="119" t="s">
        <v>64</v>
      </c>
      <c r="AM27" s="123">
        <v>2500</v>
      </c>
      <c r="AN27" s="121">
        <f>MyGrid3[[#This Row],[أكتوبر]]/$AM$187</f>
        <v>3.0769230769230771</v>
      </c>
      <c r="AO27" s="122" t="s">
        <v>64</v>
      </c>
      <c r="AP27" s="123">
        <v>2500</v>
      </c>
      <c r="AQ27" s="125">
        <f>MyGrid3[[#This Row],[نوفمبر]]/$AP$187</f>
        <v>3.0769230769230771</v>
      </c>
      <c r="AR27" s="119" t="s">
        <v>64</v>
      </c>
      <c r="AS27" s="391">
        <v>2500</v>
      </c>
      <c r="AT27" s="121">
        <f>MyGrid3[[#This Row],[ديسمبر]]/$AS$187</f>
        <v>3.0769230769230771</v>
      </c>
      <c r="AU27" s="126">
        <f t="shared" si="0"/>
        <v>14750</v>
      </c>
      <c r="AV27" s="127">
        <f>MyGrid3[[#This Row],[الإجمالي]]/$AU$187</f>
        <v>1.2133666111122994</v>
      </c>
    </row>
    <row r="28" spans="1:48" s="128" customFormat="1" ht="33" hidden="1" customHeight="1">
      <c r="A28" s="110">
        <f>SUBTOTAL(3,$B$4:B28)</f>
        <v>0</v>
      </c>
      <c r="B28" s="111">
        <v>400700</v>
      </c>
      <c r="C28" s="112" t="s">
        <v>988</v>
      </c>
      <c r="D28" s="113" t="s">
        <v>989</v>
      </c>
      <c r="E28" s="147" t="s">
        <v>990</v>
      </c>
      <c r="F28" s="115">
        <f>RANK(G28,MyGrid3[الاساسي])</f>
        <v>2</v>
      </c>
      <c r="G28" s="130">
        <v>8000</v>
      </c>
      <c r="H28" s="131"/>
      <c r="I28" s="132">
        <f>RANK(J28,MyGrid3[يناير])</f>
        <v>81</v>
      </c>
      <c r="J28" s="117"/>
      <c r="K28" s="118">
        <f>MyGrid3[[#This Row],[يناير]]/$J$187</f>
        <v>0</v>
      </c>
      <c r="L28" s="133"/>
      <c r="M28" s="132">
        <f>RANK(N28,MyGrid3[فبراير])</f>
        <v>101</v>
      </c>
      <c r="N28" s="134"/>
      <c r="O28" s="121">
        <f>MyGrid3[[#This Row],[فبراير]]/$N$187</f>
        <v>0</v>
      </c>
      <c r="P28" s="135"/>
      <c r="Q28" s="132">
        <f>RANK(R28,MyGrid3[مارس])</f>
        <v>110</v>
      </c>
      <c r="R28" s="123"/>
      <c r="S28" s="118">
        <f>MyGrid3[[#This Row],[مارس]]/$R$187</f>
        <v>0</v>
      </c>
      <c r="T28" s="133"/>
      <c r="U28" s="397"/>
      <c r="V28" s="121">
        <f>MyGrid3[[#This Row],[أبريل]]/$U$187</f>
        <v>0</v>
      </c>
      <c r="W28" s="136"/>
      <c r="X28" s="397"/>
      <c r="Y28" s="118">
        <f>MyGrid3[[#This Row],[مايو]]/$X$187</f>
        <v>0</v>
      </c>
      <c r="Z28" s="137"/>
      <c r="AA28" s="123"/>
      <c r="AB28" s="121">
        <f>MyGrid3[[#This Row],[يونيو]]/$AA$187</f>
        <v>0</v>
      </c>
      <c r="AC28" s="136"/>
      <c r="AD28" s="123"/>
      <c r="AE28" s="118">
        <f>MyGrid3[[#This Row],[يوليو]]/$AD$187</f>
        <v>0</v>
      </c>
      <c r="AF28" s="137"/>
      <c r="AG28" s="138"/>
      <c r="AH28" s="121">
        <f>MyGrid3[[#This Row],[أغسطس]]/$AG$187</f>
        <v>0</v>
      </c>
      <c r="AI28" s="136"/>
      <c r="AJ28" s="123"/>
      <c r="AK28" s="118">
        <f>MyGrid3[[#This Row],[سبتمبر]]/$AJ$187</f>
        <v>0</v>
      </c>
      <c r="AL28" s="137"/>
      <c r="AM28" s="123"/>
      <c r="AN28" s="121">
        <f>MyGrid3[[#This Row],[أكتوبر]]/$AM$187</f>
        <v>0</v>
      </c>
      <c r="AO28" s="136" t="s">
        <v>990</v>
      </c>
      <c r="AP28" s="123">
        <v>5333.34</v>
      </c>
      <c r="AQ28" s="125">
        <f>MyGrid3[[#This Row],[نوفمبر]]/$AP$187</f>
        <v>6.5641107692307692</v>
      </c>
      <c r="AR28" s="137" t="s">
        <v>990</v>
      </c>
      <c r="AS28" s="391">
        <v>9000</v>
      </c>
      <c r="AT28" s="121">
        <f>MyGrid3[[#This Row],[ديسمبر]]/$AS$187</f>
        <v>11.076923076923077</v>
      </c>
      <c r="AU28" s="126">
        <f t="shared" si="0"/>
        <v>14333.34</v>
      </c>
      <c r="AV28" s="127">
        <f>MyGrid3[[#This Row],[الإجمالي]]/$AU$187</f>
        <v>1.1790912665573128</v>
      </c>
    </row>
    <row r="29" spans="1:48" s="128" customFormat="1" ht="33" hidden="1" customHeight="1">
      <c r="A29" s="387">
        <f>SUBTOTAL(3,$B$4:B29)</f>
        <v>0</v>
      </c>
      <c r="B29" s="111">
        <v>400769</v>
      </c>
      <c r="C29" s="112" t="s">
        <v>1567</v>
      </c>
      <c r="D29" s="113" t="s">
        <v>989</v>
      </c>
      <c r="E29" s="147" t="s">
        <v>990</v>
      </c>
      <c r="F29" s="115">
        <f>RANK(G29,MyGrid3[الاساسي])</f>
        <v>17</v>
      </c>
      <c r="G29" s="130">
        <v>1800</v>
      </c>
      <c r="H29" s="131"/>
      <c r="I29" s="132">
        <f>RANK(J29,MyGrid3[يناير])</f>
        <v>81</v>
      </c>
      <c r="J29" s="388"/>
      <c r="K29" s="389">
        <f>MyGrid3[[#This Row],[يناير]]/$J$187</f>
        <v>0</v>
      </c>
      <c r="L29" s="390"/>
      <c r="M29" s="132">
        <f>RANK(N29,MyGrid3[فبراير])</f>
        <v>101</v>
      </c>
      <c r="N29" s="392"/>
      <c r="O29" s="393">
        <f>MyGrid3[[#This Row],[فبراير]]/$N$187</f>
        <v>0</v>
      </c>
      <c r="P29" s="394"/>
      <c r="Q29" s="132">
        <f>RANK(R29,MyGrid3[مارس])</f>
        <v>110</v>
      </c>
      <c r="R29" s="391"/>
      <c r="S29" s="389">
        <f>MyGrid3[[#This Row],[مارس]]/$R$187</f>
        <v>0</v>
      </c>
      <c r="T29" s="390"/>
      <c r="U29" s="397"/>
      <c r="V29" s="393">
        <f>MyGrid3[[#This Row],[أبريل]]/$U$187</f>
        <v>0</v>
      </c>
      <c r="W29" s="395"/>
      <c r="X29" s="397"/>
      <c r="Y29" s="389">
        <f>MyGrid3[[#This Row],[مايو]]/$X$187</f>
        <v>0</v>
      </c>
      <c r="Z29" s="396"/>
      <c r="AA29" s="391"/>
      <c r="AB29" s="393">
        <f>MyGrid3[[#This Row],[يونيو]]/$AA$187</f>
        <v>0</v>
      </c>
      <c r="AC29" s="395"/>
      <c r="AD29" s="391"/>
      <c r="AE29" s="389">
        <f>MyGrid3[[#This Row],[يوليو]]/$AD$187</f>
        <v>0</v>
      </c>
      <c r="AF29" s="396"/>
      <c r="AG29" s="397"/>
      <c r="AH29" s="393">
        <f>MyGrid3[[#This Row],[أغسطس]]/$AG$187</f>
        <v>0</v>
      </c>
      <c r="AI29" s="395"/>
      <c r="AJ29" s="391"/>
      <c r="AK29" s="389">
        <f>MyGrid3[[#This Row],[سبتمبر]]/$AJ$187</f>
        <v>0</v>
      </c>
      <c r="AL29" s="396"/>
      <c r="AM29" s="391"/>
      <c r="AN29" s="393">
        <f>MyGrid3[[#This Row],[أكتوبر]]/$AM$187</f>
        <v>0</v>
      </c>
      <c r="AO29" s="395"/>
      <c r="AP29" s="391"/>
      <c r="AQ29" s="398">
        <f>MyGrid3[[#This Row],[نوفمبر]]/$AP$187</f>
        <v>0</v>
      </c>
      <c r="AR29" s="137" t="s">
        <v>990</v>
      </c>
      <c r="AS29" s="391">
        <v>1500</v>
      </c>
      <c r="AT29" s="393">
        <f>MyGrid3[[#This Row],[ديسمبر]]/$AS$187</f>
        <v>1.8461538461538463</v>
      </c>
      <c r="AU29" s="399">
        <f>J29+N29+R29+U29+X29+AA29+AD29+AG29+AJ29+AM29+AP29+AS29</f>
        <v>1500</v>
      </c>
      <c r="AV29" s="400">
        <f>MyGrid3[[#This Row],[الإجمالي]]/$AU$187</f>
        <v>0.12339321468938637</v>
      </c>
    </row>
    <row r="30" spans="1:48" s="128" customFormat="1" ht="33" hidden="1" customHeight="1">
      <c r="A30" s="387">
        <f>SUBTOTAL(3,$B$4:B30)</f>
        <v>0</v>
      </c>
      <c r="B30" s="111">
        <v>401424</v>
      </c>
      <c r="C30" s="112" t="s">
        <v>1328</v>
      </c>
      <c r="D30" s="113" t="s">
        <v>989</v>
      </c>
      <c r="E30" s="147" t="s">
        <v>990</v>
      </c>
      <c r="F30" s="115">
        <f>RANK(G30,MyGrid3[الاساسي])</f>
        <v>17</v>
      </c>
      <c r="G30" s="130">
        <v>1800</v>
      </c>
      <c r="H30" s="131"/>
      <c r="I30" s="132">
        <f>RANK(J30,MyGrid3[يناير])</f>
        <v>81</v>
      </c>
      <c r="J30" s="388"/>
      <c r="K30" s="389">
        <f>MyGrid3[[#This Row],[يناير]]/$J$187</f>
        <v>0</v>
      </c>
      <c r="L30" s="390"/>
      <c r="M30" s="132">
        <f>RANK(N30,MyGrid3[فبراير])</f>
        <v>101</v>
      </c>
      <c r="N30" s="392"/>
      <c r="O30" s="393">
        <f>MyGrid3[[#This Row],[فبراير]]/$N$187</f>
        <v>0</v>
      </c>
      <c r="P30" s="394"/>
      <c r="Q30" s="132">
        <f>RANK(R30,MyGrid3[مارس])</f>
        <v>110</v>
      </c>
      <c r="R30" s="391"/>
      <c r="S30" s="389">
        <f>MyGrid3[[#This Row],[مارس]]/$R$187</f>
        <v>0</v>
      </c>
      <c r="T30" s="390"/>
      <c r="U30" s="397"/>
      <c r="V30" s="393">
        <f>MyGrid3[[#This Row],[أبريل]]/$U$187</f>
        <v>0</v>
      </c>
      <c r="W30" s="395"/>
      <c r="X30" s="397"/>
      <c r="Y30" s="389">
        <f>MyGrid3[[#This Row],[مايو]]/$X$187</f>
        <v>0</v>
      </c>
      <c r="Z30" s="396"/>
      <c r="AA30" s="391"/>
      <c r="AB30" s="393">
        <f>MyGrid3[[#This Row],[يونيو]]/$AA$187</f>
        <v>0</v>
      </c>
      <c r="AC30" s="395"/>
      <c r="AD30" s="391"/>
      <c r="AE30" s="389">
        <f>MyGrid3[[#This Row],[يوليو]]/$AD$187</f>
        <v>0</v>
      </c>
      <c r="AF30" s="396"/>
      <c r="AG30" s="397"/>
      <c r="AH30" s="393">
        <f>MyGrid3[[#This Row],[أغسطس]]/$AG$187</f>
        <v>0</v>
      </c>
      <c r="AI30" s="395"/>
      <c r="AJ30" s="391"/>
      <c r="AK30" s="389">
        <f>MyGrid3[[#This Row],[سبتمبر]]/$AJ$187</f>
        <v>0</v>
      </c>
      <c r="AL30" s="396"/>
      <c r="AM30" s="391"/>
      <c r="AN30" s="393">
        <f>MyGrid3[[#This Row],[أكتوبر]]/$AM$187</f>
        <v>0</v>
      </c>
      <c r="AO30" s="395"/>
      <c r="AP30" s="391"/>
      <c r="AQ30" s="398">
        <f>MyGrid3[[#This Row],[نوفمبر]]/$AP$187</f>
        <v>0</v>
      </c>
      <c r="AR30" s="137" t="s">
        <v>990</v>
      </c>
      <c r="AS30" s="391">
        <v>1500</v>
      </c>
      <c r="AT30" s="393">
        <f>MyGrid3[[#This Row],[ديسمبر]]/$AS$187</f>
        <v>1.8461538461538463</v>
      </c>
      <c r="AU30" s="399">
        <f>J30+N30+R30+U30+X30+AA30+AD30+AG30+AJ30+AM30+AP30+AS30</f>
        <v>1500</v>
      </c>
      <c r="AV30" s="400">
        <f>MyGrid3[[#This Row],[الإجمالي]]/$AU$187</f>
        <v>0.12339321468938637</v>
      </c>
    </row>
    <row r="31" spans="1:48" s="128" customFormat="1" ht="33" hidden="1" customHeight="1">
      <c r="A31" s="533">
        <f>SUBTOTAL(3,$B$4:B31)</f>
        <v>0</v>
      </c>
      <c r="B31" s="111">
        <v>404678</v>
      </c>
      <c r="C31" s="112" t="s">
        <v>1568</v>
      </c>
      <c r="D31" s="113" t="s">
        <v>989</v>
      </c>
      <c r="E31" s="147" t="s">
        <v>990</v>
      </c>
      <c r="F31" s="115">
        <f>RANK(G31,MyGrid3[الاساسي])</f>
        <v>17</v>
      </c>
      <c r="G31" s="130">
        <v>1800</v>
      </c>
      <c r="H31" s="131"/>
      <c r="I31" s="132">
        <f>RANK(J31,MyGrid3[يناير])</f>
        <v>81</v>
      </c>
      <c r="J31" s="388"/>
      <c r="K31" s="389">
        <f>MyGrid3[[#This Row],[يناير]]/$J$187</f>
        <v>0</v>
      </c>
      <c r="L31" s="133"/>
      <c r="M31" s="132">
        <f>RANK(N31,MyGrid3[فبراير])</f>
        <v>101</v>
      </c>
      <c r="N31" s="392"/>
      <c r="O31" s="121">
        <f>MyGrid3[[#This Row],[فبراير]]/$N$187</f>
        <v>0</v>
      </c>
      <c r="P31" s="394"/>
      <c r="Q31" s="132">
        <f>RANK(R31,MyGrid3[مارس])</f>
        <v>110</v>
      </c>
      <c r="R31" s="391"/>
      <c r="S31" s="389">
        <f>MyGrid3[[#This Row],[مارس]]/$R$187</f>
        <v>0</v>
      </c>
      <c r="T31" s="133"/>
      <c r="U31" s="397"/>
      <c r="V31" s="121">
        <f>MyGrid3[[#This Row],[أبريل]]/$U$187</f>
        <v>0</v>
      </c>
      <c r="W31" s="395"/>
      <c r="X31" s="397"/>
      <c r="Y31" s="389">
        <f>MyGrid3[[#This Row],[مايو]]/$X$187</f>
        <v>0</v>
      </c>
      <c r="Z31" s="137"/>
      <c r="AA31" s="391"/>
      <c r="AB31" s="121">
        <f>MyGrid3[[#This Row],[يونيو]]/$AA$187</f>
        <v>0</v>
      </c>
      <c r="AC31" s="395"/>
      <c r="AD31" s="391"/>
      <c r="AE31" s="389">
        <f>MyGrid3[[#This Row],[يوليو]]/$AD$187</f>
        <v>0</v>
      </c>
      <c r="AF31" s="137"/>
      <c r="AG31" s="397"/>
      <c r="AH31" s="121">
        <f>MyGrid3[[#This Row],[أغسطس]]/$AG$187</f>
        <v>0</v>
      </c>
      <c r="AI31" s="395"/>
      <c r="AJ31" s="391"/>
      <c r="AK31" s="389">
        <f>MyGrid3[[#This Row],[سبتمبر]]/$AJ$187</f>
        <v>0</v>
      </c>
      <c r="AL31" s="137"/>
      <c r="AM31" s="391"/>
      <c r="AN31" s="121">
        <f>MyGrid3[[#This Row],[أكتوبر]]/$AM$187</f>
        <v>0</v>
      </c>
      <c r="AO31" s="395"/>
      <c r="AP31" s="391"/>
      <c r="AQ31" s="398">
        <f>MyGrid3[[#This Row],[نوفمبر]]/$AP$187</f>
        <v>0</v>
      </c>
      <c r="AR31" s="137" t="s">
        <v>990</v>
      </c>
      <c r="AS31" s="391">
        <v>1500</v>
      </c>
      <c r="AT31" s="121">
        <f>MyGrid3[[#This Row],[ديسمبر]]/$AS$187</f>
        <v>1.8461538461538463</v>
      </c>
      <c r="AU31" s="399">
        <f>J31+N31+R31+U31+X31+AA31+AD31+AG31+AJ31+AM31+AP31+AS31</f>
        <v>1500</v>
      </c>
      <c r="AV31" s="118">
        <f>MyGrid3[[#This Row],[الإجمالي]]/$AU$187</f>
        <v>0.12339321468938637</v>
      </c>
    </row>
    <row r="32" spans="1:48" s="128" customFormat="1" ht="33" hidden="1" customHeight="1">
      <c r="A32" s="533">
        <f>SUBTOTAL(3,$B$4:B32)</f>
        <v>0</v>
      </c>
      <c r="B32" s="111">
        <v>409843</v>
      </c>
      <c r="C32" s="112" t="s">
        <v>1569</v>
      </c>
      <c r="D32" s="113" t="s">
        <v>989</v>
      </c>
      <c r="E32" s="147" t="s">
        <v>990</v>
      </c>
      <c r="F32" s="115">
        <f>RANK(G32,MyGrid3[الاساسي])</f>
        <v>17</v>
      </c>
      <c r="G32" s="130">
        <v>1800</v>
      </c>
      <c r="H32" s="131"/>
      <c r="I32" s="132">
        <f>RANK(J32,MyGrid3[يناير])</f>
        <v>81</v>
      </c>
      <c r="J32" s="388"/>
      <c r="K32" s="389">
        <f>MyGrid3[[#This Row],[يناير]]/$J$187</f>
        <v>0</v>
      </c>
      <c r="L32" s="133"/>
      <c r="M32" s="132">
        <f>RANK(N32,MyGrid3[فبراير])</f>
        <v>101</v>
      </c>
      <c r="N32" s="392"/>
      <c r="O32" s="121">
        <f>MyGrid3[[#This Row],[فبراير]]/$N$187</f>
        <v>0</v>
      </c>
      <c r="P32" s="394"/>
      <c r="Q32" s="132">
        <f>RANK(R32,MyGrid3[مارس])</f>
        <v>110</v>
      </c>
      <c r="R32" s="391"/>
      <c r="S32" s="389">
        <f>MyGrid3[[#This Row],[مارس]]/$R$187</f>
        <v>0</v>
      </c>
      <c r="T32" s="133"/>
      <c r="U32" s="397"/>
      <c r="V32" s="121">
        <f>MyGrid3[[#This Row],[أبريل]]/$U$187</f>
        <v>0</v>
      </c>
      <c r="W32" s="395"/>
      <c r="X32" s="397"/>
      <c r="Y32" s="389">
        <f>MyGrid3[[#This Row],[مايو]]/$X$187</f>
        <v>0</v>
      </c>
      <c r="Z32" s="137"/>
      <c r="AA32" s="391"/>
      <c r="AB32" s="121">
        <f>MyGrid3[[#This Row],[يونيو]]/$AA$187</f>
        <v>0</v>
      </c>
      <c r="AC32" s="395"/>
      <c r="AD32" s="391"/>
      <c r="AE32" s="389">
        <f>MyGrid3[[#This Row],[يوليو]]/$AD$187</f>
        <v>0</v>
      </c>
      <c r="AF32" s="137"/>
      <c r="AG32" s="397"/>
      <c r="AH32" s="121">
        <f>MyGrid3[[#This Row],[أغسطس]]/$AG$187</f>
        <v>0</v>
      </c>
      <c r="AI32" s="395"/>
      <c r="AJ32" s="391"/>
      <c r="AK32" s="389">
        <f>MyGrid3[[#This Row],[سبتمبر]]/$AJ$187</f>
        <v>0</v>
      </c>
      <c r="AL32" s="137"/>
      <c r="AM32" s="391"/>
      <c r="AN32" s="121">
        <f>MyGrid3[[#This Row],[أكتوبر]]/$AM$187</f>
        <v>0</v>
      </c>
      <c r="AO32" s="395"/>
      <c r="AP32" s="391"/>
      <c r="AQ32" s="398">
        <f>MyGrid3[[#This Row],[نوفمبر]]/$AP$187</f>
        <v>0</v>
      </c>
      <c r="AR32" s="137" t="s">
        <v>990</v>
      </c>
      <c r="AS32" s="391">
        <v>1500</v>
      </c>
      <c r="AT32" s="121">
        <f>MyGrid3[[#This Row],[ديسمبر]]/$AS$187</f>
        <v>1.8461538461538463</v>
      </c>
      <c r="AU32" s="399">
        <f>J32+N32+R32+U32+X32+AA32+AD32+AG32+AJ32+AM32+AP32+AS32</f>
        <v>1500</v>
      </c>
      <c r="AV32" s="118">
        <f>MyGrid3[[#This Row],[الإجمالي]]/$AU$187</f>
        <v>0.12339321468938637</v>
      </c>
    </row>
    <row r="33" spans="1:48" s="128" customFormat="1" ht="33" hidden="1" customHeight="1">
      <c r="A33" s="533">
        <f>SUBTOTAL(3,$B$4:B33)</f>
        <v>0</v>
      </c>
      <c r="B33" s="111">
        <v>410643</v>
      </c>
      <c r="C33" s="112" t="s">
        <v>1570</v>
      </c>
      <c r="D33" s="113" t="s">
        <v>989</v>
      </c>
      <c r="E33" s="147" t="s">
        <v>990</v>
      </c>
      <c r="F33" s="115">
        <f>RANK(G33,MyGrid3[الاساسي])</f>
        <v>17</v>
      </c>
      <c r="G33" s="130">
        <v>1800</v>
      </c>
      <c r="H33" s="131"/>
      <c r="I33" s="132">
        <f>RANK(J33,MyGrid3[يناير])</f>
        <v>81</v>
      </c>
      <c r="J33" s="388"/>
      <c r="K33" s="389">
        <f>MyGrid3[[#This Row],[يناير]]/$J$187</f>
        <v>0</v>
      </c>
      <c r="L33" s="133"/>
      <c r="M33" s="132">
        <f>RANK(N33,MyGrid3[فبراير])</f>
        <v>101</v>
      </c>
      <c r="N33" s="392"/>
      <c r="O33" s="121">
        <f>MyGrid3[[#This Row],[فبراير]]/$N$187</f>
        <v>0</v>
      </c>
      <c r="P33" s="394"/>
      <c r="Q33" s="132">
        <f>RANK(R33,MyGrid3[مارس])</f>
        <v>110</v>
      </c>
      <c r="R33" s="391"/>
      <c r="S33" s="389">
        <f>MyGrid3[[#This Row],[مارس]]/$R$187</f>
        <v>0</v>
      </c>
      <c r="T33" s="133"/>
      <c r="U33" s="397"/>
      <c r="V33" s="121">
        <f>MyGrid3[[#This Row],[أبريل]]/$U$187</f>
        <v>0</v>
      </c>
      <c r="W33" s="395"/>
      <c r="X33" s="397"/>
      <c r="Y33" s="389">
        <f>MyGrid3[[#This Row],[مايو]]/$X$187</f>
        <v>0</v>
      </c>
      <c r="Z33" s="137"/>
      <c r="AA33" s="391"/>
      <c r="AB33" s="121">
        <f>MyGrid3[[#This Row],[يونيو]]/$AA$187</f>
        <v>0</v>
      </c>
      <c r="AC33" s="395"/>
      <c r="AD33" s="391"/>
      <c r="AE33" s="389">
        <f>MyGrid3[[#This Row],[يوليو]]/$AD$187</f>
        <v>0</v>
      </c>
      <c r="AF33" s="137"/>
      <c r="AG33" s="397"/>
      <c r="AH33" s="121">
        <f>MyGrid3[[#This Row],[أغسطس]]/$AG$187</f>
        <v>0</v>
      </c>
      <c r="AI33" s="395"/>
      <c r="AJ33" s="391"/>
      <c r="AK33" s="389">
        <f>MyGrid3[[#This Row],[سبتمبر]]/$AJ$187</f>
        <v>0</v>
      </c>
      <c r="AL33" s="137"/>
      <c r="AM33" s="391"/>
      <c r="AN33" s="121">
        <f>MyGrid3[[#This Row],[أكتوبر]]/$AM$187</f>
        <v>0</v>
      </c>
      <c r="AO33" s="395"/>
      <c r="AP33" s="391"/>
      <c r="AQ33" s="398">
        <f>MyGrid3[[#This Row],[نوفمبر]]/$AP$187</f>
        <v>0</v>
      </c>
      <c r="AR33" s="137" t="s">
        <v>990</v>
      </c>
      <c r="AS33" s="391">
        <v>1500</v>
      </c>
      <c r="AT33" s="121">
        <f>MyGrid3[[#This Row],[ديسمبر]]/$AS$187</f>
        <v>1.8461538461538463</v>
      </c>
      <c r="AU33" s="399">
        <f>J33+N33+R33+U33+X33+AA33+AD33+AG33+AJ33+AM33+AP33+AS33</f>
        <v>1500</v>
      </c>
      <c r="AV33" s="118">
        <f>MyGrid3[[#This Row],[الإجمالي]]/$AU$187</f>
        <v>0.12339321468938637</v>
      </c>
    </row>
    <row r="34" spans="1:48" s="128" customFormat="1" ht="33" hidden="1" customHeight="1">
      <c r="A34" s="110">
        <f>SUBTOTAL(3,$B$4:B34)</f>
        <v>0</v>
      </c>
      <c r="B34" s="111">
        <v>412787</v>
      </c>
      <c r="C34" s="112" t="s">
        <v>991</v>
      </c>
      <c r="D34" s="113" t="s">
        <v>989</v>
      </c>
      <c r="E34" s="147" t="s">
        <v>64</v>
      </c>
      <c r="F34" s="115">
        <f>RANK(G34,MyGrid3[الاساسي])</f>
        <v>4</v>
      </c>
      <c r="G34" s="130">
        <v>3200</v>
      </c>
      <c r="H34" s="131"/>
      <c r="I34" s="132">
        <f>RANK(J34,MyGrid3[يناير])</f>
        <v>81</v>
      </c>
      <c r="J34" s="117"/>
      <c r="K34" s="118">
        <f>MyGrid3[[#This Row],[يناير]]/$J$187</f>
        <v>0</v>
      </c>
      <c r="L34" s="133"/>
      <c r="M34" s="132">
        <f>RANK(N34,MyGrid3[فبراير])</f>
        <v>101</v>
      </c>
      <c r="N34" s="134"/>
      <c r="O34" s="121">
        <f>MyGrid3[[#This Row],[فبراير]]/$N$187</f>
        <v>0</v>
      </c>
      <c r="P34" s="135"/>
      <c r="Q34" s="132">
        <f>RANK(R34,MyGrid3[مارس])</f>
        <v>110</v>
      </c>
      <c r="R34" s="123"/>
      <c r="S34" s="118">
        <f>MyGrid3[[#This Row],[مارس]]/$R$187</f>
        <v>0</v>
      </c>
      <c r="T34" s="133"/>
      <c r="U34" s="397"/>
      <c r="V34" s="121">
        <f>MyGrid3[[#This Row],[أبريل]]/$U$187</f>
        <v>0</v>
      </c>
      <c r="W34" s="136"/>
      <c r="X34" s="397"/>
      <c r="Y34" s="118">
        <f>MyGrid3[[#This Row],[مايو]]/$X$187</f>
        <v>0</v>
      </c>
      <c r="Z34" s="137"/>
      <c r="AA34" s="123"/>
      <c r="AB34" s="121">
        <f>MyGrid3[[#This Row],[يونيو]]/$AA$187</f>
        <v>0</v>
      </c>
      <c r="AC34" s="136"/>
      <c r="AD34" s="123"/>
      <c r="AE34" s="118">
        <f>MyGrid3[[#This Row],[يوليو]]/$AD$187</f>
        <v>0</v>
      </c>
      <c r="AF34" s="137"/>
      <c r="AG34" s="138"/>
      <c r="AH34" s="121">
        <f>MyGrid3[[#This Row],[أغسطس]]/$AG$187</f>
        <v>0</v>
      </c>
      <c r="AI34" s="136"/>
      <c r="AJ34" s="123"/>
      <c r="AK34" s="118">
        <f>MyGrid3[[#This Row],[سبتمبر]]/$AJ$187</f>
        <v>0</v>
      </c>
      <c r="AL34" s="119" t="s">
        <v>64</v>
      </c>
      <c r="AM34" s="123">
        <v>2666.66</v>
      </c>
      <c r="AN34" s="121">
        <f>MyGrid3[[#This Row],[أكتوبر]]/$AM$187</f>
        <v>3.2820430769230766</v>
      </c>
      <c r="AO34" s="122" t="s">
        <v>64</v>
      </c>
      <c r="AP34" s="123">
        <v>3600</v>
      </c>
      <c r="AQ34" s="125">
        <f>MyGrid3[[#This Row],[نوفمبر]]/$AP$187</f>
        <v>4.430769230769231</v>
      </c>
      <c r="AR34" s="119" t="s">
        <v>64</v>
      </c>
      <c r="AS34" s="391">
        <v>3600</v>
      </c>
      <c r="AT34" s="121">
        <f>MyGrid3[[#This Row],[ديسمبر]]/$AS$187</f>
        <v>4.430769230769231</v>
      </c>
      <c r="AU34" s="126">
        <f t="shared" si="0"/>
        <v>9866.66</v>
      </c>
      <c r="AV34" s="127">
        <f>MyGrid3[[#This Row],[الإجمالي]]/$AU$187</f>
        <v>0.81165259709812065</v>
      </c>
    </row>
    <row r="35" spans="1:48" s="128" customFormat="1" ht="33" hidden="1" customHeight="1">
      <c r="A35" s="533">
        <f>SUBTOTAL(3,$B$4:B35)</f>
        <v>0</v>
      </c>
      <c r="B35" s="111">
        <v>413634</v>
      </c>
      <c r="C35" s="112" t="s">
        <v>1571</v>
      </c>
      <c r="D35" s="113" t="s">
        <v>989</v>
      </c>
      <c r="E35" s="147" t="s">
        <v>990</v>
      </c>
      <c r="F35" s="115">
        <f>RANK(G35,MyGrid3[الاساسي])</f>
        <v>17</v>
      </c>
      <c r="G35" s="130">
        <v>1800</v>
      </c>
      <c r="H35" s="131"/>
      <c r="I35" s="132">
        <f>RANK(J35,MyGrid3[يناير])</f>
        <v>81</v>
      </c>
      <c r="J35" s="388"/>
      <c r="K35" s="389">
        <f>MyGrid3[[#This Row],[يناير]]/$J$187</f>
        <v>0</v>
      </c>
      <c r="L35" s="133"/>
      <c r="M35" s="132">
        <f>RANK(N35,MyGrid3[فبراير])</f>
        <v>101</v>
      </c>
      <c r="N35" s="392"/>
      <c r="O35" s="121">
        <f>MyGrid3[[#This Row],[فبراير]]/$N$187</f>
        <v>0</v>
      </c>
      <c r="P35" s="394"/>
      <c r="Q35" s="132">
        <f>RANK(R35,MyGrid3[مارس])</f>
        <v>110</v>
      </c>
      <c r="R35" s="391"/>
      <c r="S35" s="389">
        <f>MyGrid3[[#This Row],[مارس]]/$R$187</f>
        <v>0</v>
      </c>
      <c r="T35" s="133"/>
      <c r="U35" s="397"/>
      <c r="V35" s="121">
        <f>MyGrid3[[#This Row],[أبريل]]/$U$187</f>
        <v>0</v>
      </c>
      <c r="W35" s="395"/>
      <c r="X35" s="397"/>
      <c r="Y35" s="389">
        <f>MyGrid3[[#This Row],[مايو]]/$X$187</f>
        <v>0</v>
      </c>
      <c r="Z35" s="137"/>
      <c r="AA35" s="391"/>
      <c r="AB35" s="121">
        <f>MyGrid3[[#This Row],[يونيو]]/$AA$187</f>
        <v>0</v>
      </c>
      <c r="AC35" s="395"/>
      <c r="AD35" s="391"/>
      <c r="AE35" s="389">
        <f>MyGrid3[[#This Row],[يوليو]]/$AD$187</f>
        <v>0</v>
      </c>
      <c r="AF35" s="137"/>
      <c r="AG35" s="397"/>
      <c r="AH35" s="121">
        <f>MyGrid3[[#This Row],[أغسطس]]/$AG$187</f>
        <v>0</v>
      </c>
      <c r="AI35" s="395"/>
      <c r="AJ35" s="391"/>
      <c r="AK35" s="389">
        <f>MyGrid3[[#This Row],[سبتمبر]]/$AJ$187</f>
        <v>0</v>
      </c>
      <c r="AL35" s="137"/>
      <c r="AM35" s="391"/>
      <c r="AN35" s="121">
        <f>MyGrid3[[#This Row],[أكتوبر]]/$AM$187</f>
        <v>0</v>
      </c>
      <c r="AO35" s="395"/>
      <c r="AP35" s="391"/>
      <c r="AQ35" s="398">
        <f>MyGrid3[[#This Row],[نوفمبر]]/$AP$187</f>
        <v>0</v>
      </c>
      <c r="AR35" s="137" t="s">
        <v>990</v>
      </c>
      <c r="AS35" s="391">
        <v>1500</v>
      </c>
      <c r="AT35" s="121">
        <f>MyGrid3[[#This Row],[ديسمبر]]/$AS$187</f>
        <v>1.8461538461538463</v>
      </c>
      <c r="AU35" s="399">
        <f t="shared" ref="AU35:AU40" si="1">J35+N35+R35+U35+X35+AA35+AD35+AG35+AJ35+AM35+AP35+AS35</f>
        <v>1500</v>
      </c>
      <c r="AV35" s="118">
        <f>MyGrid3[[#This Row],[الإجمالي]]/$AU$187</f>
        <v>0.12339321468938637</v>
      </c>
    </row>
    <row r="36" spans="1:48" s="128" customFormat="1" ht="33" hidden="1" customHeight="1">
      <c r="A36" s="533">
        <f>SUBTOTAL(3,$B$4:B36)</f>
        <v>0</v>
      </c>
      <c r="B36" s="111">
        <v>437740</v>
      </c>
      <c r="C36" s="112" t="s">
        <v>1572</v>
      </c>
      <c r="D36" s="113" t="s">
        <v>989</v>
      </c>
      <c r="E36" s="147" t="s">
        <v>990</v>
      </c>
      <c r="F36" s="115">
        <f>RANK(G36,MyGrid3[الاساسي])</f>
        <v>17</v>
      </c>
      <c r="G36" s="130">
        <v>1800</v>
      </c>
      <c r="H36" s="131"/>
      <c r="I36" s="132">
        <f>RANK(J36,MyGrid3[يناير])</f>
        <v>81</v>
      </c>
      <c r="J36" s="388"/>
      <c r="K36" s="389">
        <f>MyGrid3[[#This Row],[يناير]]/$J$187</f>
        <v>0</v>
      </c>
      <c r="L36" s="133"/>
      <c r="M36" s="132">
        <f>RANK(N36,MyGrid3[فبراير])</f>
        <v>101</v>
      </c>
      <c r="N36" s="392"/>
      <c r="O36" s="121">
        <f>MyGrid3[[#This Row],[فبراير]]/$N$187</f>
        <v>0</v>
      </c>
      <c r="P36" s="394"/>
      <c r="Q36" s="132">
        <f>RANK(R36,MyGrid3[مارس])</f>
        <v>110</v>
      </c>
      <c r="R36" s="391"/>
      <c r="S36" s="389">
        <f>MyGrid3[[#This Row],[مارس]]/$R$187</f>
        <v>0</v>
      </c>
      <c r="T36" s="133"/>
      <c r="U36" s="397"/>
      <c r="V36" s="121">
        <f>MyGrid3[[#This Row],[أبريل]]/$U$187</f>
        <v>0</v>
      </c>
      <c r="W36" s="395"/>
      <c r="X36" s="397"/>
      <c r="Y36" s="389">
        <f>MyGrid3[[#This Row],[مايو]]/$X$187</f>
        <v>0</v>
      </c>
      <c r="Z36" s="137"/>
      <c r="AA36" s="391"/>
      <c r="AB36" s="121">
        <f>MyGrid3[[#This Row],[يونيو]]/$AA$187</f>
        <v>0</v>
      </c>
      <c r="AC36" s="395"/>
      <c r="AD36" s="391"/>
      <c r="AE36" s="389">
        <f>MyGrid3[[#This Row],[يوليو]]/$AD$187</f>
        <v>0</v>
      </c>
      <c r="AF36" s="137"/>
      <c r="AG36" s="397"/>
      <c r="AH36" s="121">
        <f>MyGrid3[[#This Row],[أغسطس]]/$AG$187</f>
        <v>0</v>
      </c>
      <c r="AI36" s="395"/>
      <c r="AJ36" s="391"/>
      <c r="AK36" s="389">
        <f>MyGrid3[[#This Row],[سبتمبر]]/$AJ$187</f>
        <v>0</v>
      </c>
      <c r="AL36" s="137"/>
      <c r="AM36" s="391"/>
      <c r="AN36" s="121">
        <f>MyGrid3[[#This Row],[أكتوبر]]/$AM$187</f>
        <v>0</v>
      </c>
      <c r="AO36" s="395"/>
      <c r="AP36" s="391"/>
      <c r="AQ36" s="398">
        <f>MyGrid3[[#This Row],[نوفمبر]]/$AP$187</f>
        <v>0</v>
      </c>
      <c r="AR36" s="137" t="s">
        <v>990</v>
      </c>
      <c r="AS36" s="391">
        <v>1500</v>
      </c>
      <c r="AT36" s="121">
        <f>MyGrid3[[#This Row],[ديسمبر]]/$AS$187</f>
        <v>1.8461538461538463</v>
      </c>
      <c r="AU36" s="399">
        <f t="shared" si="1"/>
        <v>1500</v>
      </c>
      <c r="AV36" s="118">
        <f>MyGrid3[[#This Row],[الإجمالي]]/$AU$187</f>
        <v>0.12339321468938637</v>
      </c>
    </row>
    <row r="37" spans="1:48" s="128" customFormat="1" ht="33" hidden="1" customHeight="1">
      <c r="A37" s="533">
        <f>SUBTOTAL(3,$B$4:B37)</f>
        <v>0</v>
      </c>
      <c r="B37" s="111">
        <v>440092</v>
      </c>
      <c r="C37" s="112" t="s">
        <v>1573</v>
      </c>
      <c r="D37" s="113" t="s">
        <v>989</v>
      </c>
      <c r="E37" s="147" t="s">
        <v>990</v>
      </c>
      <c r="F37" s="115">
        <f>RANK(G37,MyGrid3[الاساسي])</f>
        <v>17</v>
      </c>
      <c r="G37" s="130">
        <v>1800</v>
      </c>
      <c r="H37" s="131"/>
      <c r="I37" s="132">
        <f>RANK(J37,MyGrid3[يناير])</f>
        <v>81</v>
      </c>
      <c r="J37" s="388"/>
      <c r="K37" s="389">
        <f>MyGrid3[[#This Row],[يناير]]/$J$187</f>
        <v>0</v>
      </c>
      <c r="L37" s="133"/>
      <c r="M37" s="132">
        <f>RANK(N37,MyGrid3[فبراير])</f>
        <v>101</v>
      </c>
      <c r="N37" s="392"/>
      <c r="O37" s="121">
        <f>MyGrid3[[#This Row],[فبراير]]/$N$187</f>
        <v>0</v>
      </c>
      <c r="P37" s="394"/>
      <c r="Q37" s="132">
        <f>RANK(R37,MyGrid3[مارس])</f>
        <v>110</v>
      </c>
      <c r="R37" s="391"/>
      <c r="S37" s="389">
        <f>MyGrid3[[#This Row],[مارس]]/$R$187</f>
        <v>0</v>
      </c>
      <c r="T37" s="133"/>
      <c r="U37" s="397"/>
      <c r="V37" s="121">
        <f>MyGrid3[[#This Row],[أبريل]]/$U$187</f>
        <v>0</v>
      </c>
      <c r="W37" s="395"/>
      <c r="X37" s="397"/>
      <c r="Y37" s="389">
        <f>MyGrid3[[#This Row],[مايو]]/$X$187</f>
        <v>0</v>
      </c>
      <c r="Z37" s="137"/>
      <c r="AA37" s="391"/>
      <c r="AB37" s="121">
        <f>MyGrid3[[#This Row],[يونيو]]/$AA$187</f>
        <v>0</v>
      </c>
      <c r="AC37" s="395"/>
      <c r="AD37" s="391"/>
      <c r="AE37" s="389">
        <f>MyGrid3[[#This Row],[يوليو]]/$AD$187</f>
        <v>0</v>
      </c>
      <c r="AF37" s="137"/>
      <c r="AG37" s="397"/>
      <c r="AH37" s="121">
        <f>MyGrid3[[#This Row],[أغسطس]]/$AG$187</f>
        <v>0</v>
      </c>
      <c r="AI37" s="395"/>
      <c r="AJ37" s="391"/>
      <c r="AK37" s="389">
        <f>MyGrid3[[#This Row],[سبتمبر]]/$AJ$187</f>
        <v>0</v>
      </c>
      <c r="AL37" s="137"/>
      <c r="AM37" s="391"/>
      <c r="AN37" s="121">
        <f>MyGrid3[[#This Row],[أكتوبر]]/$AM$187</f>
        <v>0</v>
      </c>
      <c r="AO37" s="395"/>
      <c r="AP37" s="391"/>
      <c r="AQ37" s="398">
        <f>MyGrid3[[#This Row],[نوفمبر]]/$AP$187</f>
        <v>0</v>
      </c>
      <c r="AR37" s="137" t="s">
        <v>990</v>
      </c>
      <c r="AS37" s="391">
        <v>1500</v>
      </c>
      <c r="AT37" s="121">
        <f>MyGrid3[[#This Row],[ديسمبر]]/$AS$187</f>
        <v>1.8461538461538463</v>
      </c>
      <c r="AU37" s="399">
        <f t="shared" si="1"/>
        <v>1500</v>
      </c>
      <c r="AV37" s="118">
        <f>MyGrid3[[#This Row],[الإجمالي]]/$AU$187</f>
        <v>0.12339321468938637</v>
      </c>
    </row>
    <row r="38" spans="1:48" s="128" customFormat="1" ht="33" hidden="1" customHeight="1">
      <c r="A38" s="533">
        <f>SUBTOTAL(3,$B$4:B38)</f>
        <v>0</v>
      </c>
      <c r="B38" s="111">
        <v>440513</v>
      </c>
      <c r="C38" s="112" t="s">
        <v>1574</v>
      </c>
      <c r="D38" s="113" t="s">
        <v>989</v>
      </c>
      <c r="E38" s="147" t="s">
        <v>990</v>
      </c>
      <c r="F38" s="115">
        <f>RANK(G38,MyGrid3[الاساسي])</f>
        <v>17</v>
      </c>
      <c r="G38" s="130">
        <v>1800</v>
      </c>
      <c r="H38" s="131"/>
      <c r="I38" s="132">
        <f>RANK(J38,MyGrid3[يناير])</f>
        <v>81</v>
      </c>
      <c r="J38" s="388"/>
      <c r="K38" s="389">
        <f>MyGrid3[[#This Row],[يناير]]/$J$187</f>
        <v>0</v>
      </c>
      <c r="L38" s="133"/>
      <c r="M38" s="132">
        <f>RANK(N38,MyGrid3[فبراير])</f>
        <v>101</v>
      </c>
      <c r="N38" s="392"/>
      <c r="O38" s="121">
        <f>MyGrid3[[#This Row],[فبراير]]/$N$187</f>
        <v>0</v>
      </c>
      <c r="P38" s="394"/>
      <c r="Q38" s="132">
        <f>RANK(R38,MyGrid3[مارس])</f>
        <v>110</v>
      </c>
      <c r="R38" s="391"/>
      <c r="S38" s="389">
        <f>MyGrid3[[#This Row],[مارس]]/$R$187</f>
        <v>0</v>
      </c>
      <c r="T38" s="133"/>
      <c r="U38" s="397"/>
      <c r="V38" s="121">
        <f>MyGrid3[[#This Row],[أبريل]]/$U$187</f>
        <v>0</v>
      </c>
      <c r="W38" s="395"/>
      <c r="X38" s="397"/>
      <c r="Y38" s="389">
        <f>MyGrid3[[#This Row],[مايو]]/$X$187</f>
        <v>0</v>
      </c>
      <c r="Z38" s="137"/>
      <c r="AA38" s="391"/>
      <c r="AB38" s="121">
        <f>MyGrid3[[#This Row],[يونيو]]/$AA$187</f>
        <v>0</v>
      </c>
      <c r="AC38" s="395"/>
      <c r="AD38" s="391"/>
      <c r="AE38" s="389">
        <f>MyGrid3[[#This Row],[يوليو]]/$AD$187</f>
        <v>0</v>
      </c>
      <c r="AF38" s="137"/>
      <c r="AG38" s="397"/>
      <c r="AH38" s="121">
        <f>MyGrid3[[#This Row],[أغسطس]]/$AG$187</f>
        <v>0</v>
      </c>
      <c r="AI38" s="395"/>
      <c r="AJ38" s="391"/>
      <c r="AK38" s="389">
        <f>MyGrid3[[#This Row],[سبتمبر]]/$AJ$187</f>
        <v>0</v>
      </c>
      <c r="AL38" s="137"/>
      <c r="AM38" s="391"/>
      <c r="AN38" s="121">
        <f>MyGrid3[[#This Row],[أكتوبر]]/$AM$187</f>
        <v>0</v>
      </c>
      <c r="AO38" s="395"/>
      <c r="AP38" s="391"/>
      <c r="AQ38" s="398">
        <f>MyGrid3[[#This Row],[نوفمبر]]/$AP$187</f>
        <v>0</v>
      </c>
      <c r="AR38" s="137" t="s">
        <v>990</v>
      </c>
      <c r="AS38" s="391">
        <v>1680</v>
      </c>
      <c r="AT38" s="121">
        <f>MyGrid3[[#This Row],[ديسمبر]]/$AS$187</f>
        <v>2.0676923076923077</v>
      </c>
      <c r="AU38" s="399">
        <f t="shared" si="1"/>
        <v>1680</v>
      </c>
      <c r="AV38" s="118">
        <f>MyGrid3[[#This Row],[الإجمالي]]/$AU$187</f>
        <v>0.13820040045211274</v>
      </c>
    </row>
    <row r="39" spans="1:48" s="128" customFormat="1" ht="33" hidden="1" customHeight="1">
      <c r="A39" s="533">
        <f>SUBTOTAL(3,$B$4:B39)</f>
        <v>0</v>
      </c>
      <c r="B39" s="111">
        <v>453668</v>
      </c>
      <c r="C39" s="112" t="s">
        <v>1575</v>
      </c>
      <c r="D39" s="113" t="s">
        <v>989</v>
      </c>
      <c r="E39" s="147" t="s">
        <v>990</v>
      </c>
      <c r="F39" s="115">
        <f>RANK(G39,MyGrid3[الاساسي])</f>
        <v>17</v>
      </c>
      <c r="G39" s="130">
        <v>1800</v>
      </c>
      <c r="H39" s="131"/>
      <c r="I39" s="132">
        <f>RANK(J39,MyGrid3[يناير])</f>
        <v>81</v>
      </c>
      <c r="J39" s="388"/>
      <c r="K39" s="389">
        <f>MyGrid3[[#This Row],[يناير]]/$J$187</f>
        <v>0</v>
      </c>
      <c r="L39" s="133"/>
      <c r="M39" s="132">
        <f>RANK(N39,MyGrid3[فبراير])</f>
        <v>101</v>
      </c>
      <c r="N39" s="392"/>
      <c r="O39" s="121">
        <f>MyGrid3[[#This Row],[فبراير]]/$N$187</f>
        <v>0</v>
      </c>
      <c r="P39" s="394"/>
      <c r="Q39" s="132">
        <f>RANK(R39,MyGrid3[مارس])</f>
        <v>110</v>
      </c>
      <c r="R39" s="391"/>
      <c r="S39" s="389">
        <f>MyGrid3[[#This Row],[مارس]]/$R$187</f>
        <v>0</v>
      </c>
      <c r="T39" s="133"/>
      <c r="U39" s="397"/>
      <c r="V39" s="121">
        <f>MyGrid3[[#This Row],[أبريل]]/$U$187</f>
        <v>0</v>
      </c>
      <c r="W39" s="395"/>
      <c r="X39" s="397"/>
      <c r="Y39" s="389">
        <f>MyGrid3[[#This Row],[مايو]]/$X$187</f>
        <v>0</v>
      </c>
      <c r="Z39" s="137"/>
      <c r="AA39" s="391"/>
      <c r="AB39" s="121">
        <f>MyGrid3[[#This Row],[يونيو]]/$AA$187</f>
        <v>0</v>
      </c>
      <c r="AC39" s="395"/>
      <c r="AD39" s="391"/>
      <c r="AE39" s="389">
        <f>MyGrid3[[#This Row],[يوليو]]/$AD$187</f>
        <v>0</v>
      </c>
      <c r="AF39" s="137"/>
      <c r="AG39" s="397"/>
      <c r="AH39" s="121">
        <f>MyGrid3[[#This Row],[أغسطس]]/$AG$187</f>
        <v>0</v>
      </c>
      <c r="AI39" s="395"/>
      <c r="AJ39" s="391"/>
      <c r="AK39" s="389">
        <f>MyGrid3[[#This Row],[سبتمبر]]/$AJ$187</f>
        <v>0</v>
      </c>
      <c r="AL39" s="137"/>
      <c r="AM39" s="391"/>
      <c r="AN39" s="121">
        <f>MyGrid3[[#This Row],[أكتوبر]]/$AM$187</f>
        <v>0</v>
      </c>
      <c r="AO39" s="395"/>
      <c r="AP39" s="391"/>
      <c r="AQ39" s="398">
        <f>MyGrid3[[#This Row],[نوفمبر]]/$AP$187</f>
        <v>0</v>
      </c>
      <c r="AR39" s="137" t="s">
        <v>990</v>
      </c>
      <c r="AS39" s="391">
        <v>1500</v>
      </c>
      <c r="AT39" s="121">
        <f>MyGrid3[[#This Row],[ديسمبر]]/$AS$187</f>
        <v>1.8461538461538463</v>
      </c>
      <c r="AU39" s="399">
        <f t="shared" si="1"/>
        <v>1500</v>
      </c>
      <c r="AV39" s="118">
        <f>MyGrid3[[#This Row],[الإجمالي]]/$AU$187</f>
        <v>0.12339321468938637</v>
      </c>
    </row>
    <row r="40" spans="1:48" s="128" customFormat="1" ht="33" hidden="1" customHeight="1">
      <c r="A40" s="533">
        <f>SUBTOTAL(3,$B$4:B40)</f>
        <v>0</v>
      </c>
      <c r="B40" s="111">
        <v>489580</v>
      </c>
      <c r="C40" s="112" t="s">
        <v>1576</v>
      </c>
      <c r="D40" s="113" t="s">
        <v>989</v>
      </c>
      <c r="E40" s="147" t="s">
        <v>990</v>
      </c>
      <c r="F40" s="115">
        <f>RANK(G40,MyGrid3[الاساسي])</f>
        <v>17</v>
      </c>
      <c r="G40" s="130">
        <v>1800</v>
      </c>
      <c r="H40" s="131"/>
      <c r="I40" s="132">
        <f>RANK(J40,MyGrid3[يناير])</f>
        <v>81</v>
      </c>
      <c r="J40" s="388"/>
      <c r="K40" s="389">
        <f>MyGrid3[[#This Row],[يناير]]/$J$187</f>
        <v>0</v>
      </c>
      <c r="L40" s="133"/>
      <c r="M40" s="132">
        <f>RANK(N40,MyGrid3[فبراير])</f>
        <v>101</v>
      </c>
      <c r="N40" s="392"/>
      <c r="O40" s="121">
        <f>MyGrid3[[#This Row],[فبراير]]/$N$187</f>
        <v>0</v>
      </c>
      <c r="P40" s="394"/>
      <c r="Q40" s="132">
        <f>RANK(R40,MyGrid3[مارس])</f>
        <v>110</v>
      </c>
      <c r="R40" s="391"/>
      <c r="S40" s="389">
        <f>MyGrid3[[#This Row],[مارس]]/$R$187</f>
        <v>0</v>
      </c>
      <c r="T40" s="133"/>
      <c r="U40" s="397"/>
      <c r="V40" s="121">
        <f>MyGrid3[[#This Row],[أبريل]]/$U$187</f>
        <v>0</v>
      </c>
      <c r="W40" s="395"/>
      <c r="X40" s="397"/>
      <c r="Y40" s="389">
        <f>MyGrid3[[#This Row],[مايو]]/$X$187</f>
        <v>0</v>
      </c>
      <c r="Z40" s="137"/>
      <c r="AA40" s="391"/>
      <c r="AB40" s="121">
        <f>MyGrid3[[#This Row],[يونيو]]/$AA$187</f>
        <v>0</v>
      </c>
      <c r="AC40" s="395"/>
      <c r="AD40" s="391"/>
      <c r="AE40" s="389">
        <f>MyGrid3[[#This Row],[يوليو]]/$AD$187</f>
        <v>0</v>
      </c>
      <c r="AF40" s="137"/>
      <c r="AG40" s="397"/>
      <c r="AH40" s="121">
        <f>MyGrid3[[#This Row],[أغسطس]]/$AG$187</f>
        <v>0</v>
      </c>
      <c r="AI40" s="395"/>
      <c r="AJ40" s="391"/>
      <c r="AK40" s="389">
        <f>MyGrid3[[#This Row],[سبتمبر]]/$AJ$187</f>
        <v>0</v>
      </c>
      <c r="AL40" s="137"/>
      <c r="AM40" s="391"/>
      <c r="AN40" s="121">
        <f>MyGrid3[[#This Row],[أكتوبر]]/$AM$187</f>
        <v>0</v>
      </c>
      <c r="AO40" s="395"/>
      <c r="AP40" s="391"/>
      <c r="AQ40" s="398">
        <f>MyGrid3[[#This Row],[نوفمبر]]/$AP$187</f>
        <v>0</v>
      </c>
      <c r="AR40" s="137" t="s">
        <v>990</v>
      </c>
      <c r="AS40" s="391">
        <v>1500</v>
      </c>
      <c r="AT40" s="121">
        <f>MyGrid3[[#This Row],[ديسمبر]]/$AS$187</f>
        <v>1.8461538461538463</v>
      </c>
      <c r="AU40" s="399">
        <f t="shared" si="1"/>
        <v>1500</v>
      </c>
      <c r="AV40" s="118">
        <f>MyGrid3[[#This Row],[الإجمالي]]/$AU$187</f>
        <v>0.12339321468938637</v>
      </c>
    </row>
    <row r="41" spans="1:48" s="128" customFormat="1" ht="33" hidden="1" customHeight="1">
      <c r="A41" s="110">
        <f>SUBTOTAL(3,$B$4:B41)</f>
        <v>0</v>
      </c>
      <c r="B41" s="111">
        <v>490643</v>
      </c>
      <c r="C41" s="112" t="s">
        <v>992</v>
      </c>
      <c r="D41" s="113" t="s">
        <v>989</v>
      </c>
      <c r="E41" s="140" t="s">
        <v>990</v>
      </c>
      <c r="F41" s="115">
        <f>RANK(G41,MyGrid3[الاساسي])</f>
        <v>1</v>
      </c>
      <c r="G41" s="116">
        <v>15000</v>
      </c>
      <c r="H41" s="148" t="s">
        <v>990</v>
      </c>
      <c r="I41" s="115">
        <f>RANK(J41,MyGrid3[يناير])</f>
        <v>1</v>
      </c>
      <c r="J41" s="141">
        <v>9000</v>
      </c>
      <c r="K41" s="118">
        <f>MyGrid3[[#This Row],[يناير]]/$J$187</f>
        <v>6.3716814159292037</v>
      </c>
      <c r="L41" s="149" t="s">
        <v>990</v>
      </c>
      <c r="M41" s="115">
        <f>RANK(N41,MyGrid3[فبراير])</f>
        <v>1</v>
      </c>
      <c r="N41" s="120">
        <v>9000</v>
      </c>
      <c r="O41" s="121">
        <f>MyGrid3[[#This Row],[فبراير]]/$N$187</f>
        <v>6.3716814159292037</v>
      </c>
      <c r="P41" s="150" t="s">
        <v>990</v>
      </c>
      <c r="Q41" s="115">
        <f>RANK(R41,MyGrid3[مارس])</f>
        <v>1</v>
      </c>
      <c r="R41" s="123">
        <v>9000</v>
      </c>
      <c r="S41" s="118">
        <f>MyGrid3[[#This Row],[مارس]]/$R$187</f>
        <v>6.3716814159292037</v>
      </c>
      <c r="T41" s="149" t="s">
        <v>990</v>
      </c>
      <c r="U41" s="397">
        <v>9000</v>
      </c>
      <c r="V41" s="121">
        <f>MyGrid3[[#This Row],[أبريل]]/$U$187</f>
        <v>6.3716814159292037</v>
      </c>
      <c r="W41" s="150" t="s">
        <v>990</v>
      </c>
      <c r="X41" s="397">
        <v>14000</v>
      </c>
      <c r="Y41" s="118">
        <f>MyGrid3[[#This Row],[مايو]]/$X$187</f>
        <v>9.8968605744420657</v>
      </c>
      <c r="Z41" s="149" t="s">
        <v>990</v>
      </c>
      <c r="AA41" s="123">
        <v>14000</v>
      </c>
      <c r="AB41" s="121">
        <f>MyGrid3[[#This Row],[يونيو]]/$AA$187</f>
        <v>64.614390547837729</v>
      </c>
      <c r="AC41" s="150" t="s">
        <v>990</v>
      </c>
      <c r="AD41" s="123">
        <v>14000</v>
      </c>
      <c r="AE41" s="118">
        <f>MyGrid3[[#This Row],[يوليو]]/$AD$187</f>
        <v>17.23076923076923</v>
      </c>
      <c r="AF41" s="119" t="s">
        <v>990</v>
      </c>
      <c r="AG41" s="144">
        <v>14000</v>
      </c>
      <c r="AH41" s="121">
        <f>MyGrid3[[#This Row],[أغسطس]]/$AG$187</f>
        <v>17.23076923076923</v>
      </c>
      <c r="AI41" s="150" t="s">
        <v>990</v>
      </c>
      <c r="AJ41" s="123">
        <v>14000</v>
      </c>
      <c r="AK41" s="118">
        <f>MyGrid3[[#This Row],[سبتمبر]]/$AJ$187</f>
        <v>17.23076923076923</v>
      </c>
      <c r="AL41" s="149" t="s">
        <v>990</v>
      </c>
      <c r="AM41" s="123">
        <v>14000</v>
      </c>
      <c r="AN41" s="121">
        <f>MyGrid3[[#This Row],[أكتوبر]]/$AM$187</f>
        <v>17.23076923076923</v>
      </c>
      <c r="AO41" s="150" t="s">
        <v>990</v>
      </c>
      <c r="AP41" s="123">
        <v>14000</v>
      </c>
      <c r="AQ41" s="125">
        <f>MyGrid3[[#This Row],[نوفمبر]]/$AP$187</f>
        <v>17.23076923076923</v>
      </c>
      <c r="AR41" s="149" t="s">
        <v>990</v>
      </c>
      <c r="AS41" s="391">
        <v>14000</v>
      </c>
      <c r="AT41" s="121">
        <f>MyGrid3[[#This Row],[ديسمبر]]/$AS$187</f>
        <v>17.23076923076923</v>
      </c>
      <c r="AU41" s="126">
        <f t="shared" si="0"/>
        <v>148000</v>
      </c>
      <c r="AV41" s="127">
        <f>MyGrid3[[#This Row],[الإجمالي]]/$AU$187</f>
        <v>12.174797182686122</v>
      </c>
    </row>
    <row r="42" spans="1:48" s="128" customFormat="1" ht="33" hidden="1" customHeight="1" thickBot="1">
      <c r="A42" s="110">
        <f>SUBTOTAL(3,$B$4:B42)</f>
        <v>0</v>
      </c>
      <c r="B42" s="111">
        <v>690130</v>
      </c>
      <c r="C42" s="112" t="s">
        <v>993</v>
      </c>
      <c r="D42" s="113" t="s">
        <v>957</v>
      </c>
      <c r="E42" s="140" t="s">
        <v>994</v>
      </c>
      <c r="F42" s="115">
        <f>RANK(G42,MyGrid3[الاساسي])</f>
        <v>10</v>
      </c>
      <c r="G42" s="116">
        <v>2000</v>
      </c>
      <c r="H42" s="151" t="s">
        <v>994</v>
      </c>
      <c r="I42" s="115">
        <f>RANK(J42,MyGrid3[يناير])</f>
        <v>81</v>
      </c>
      <c r="J42" s="117">
        <v>0</v>
      </c>
      <c r="K42" s="118">
        <f>MyGrid3[[#This Row],[يناير]]/$J$187</f>
        <v>0</v>
      </c>
      <c r="L42" s="152" t="s">
        <v>994</v>
      </c>
      <c r="M42" s="115">
        <f>RANK(N42,MyGrid3[فبراير])</f>
        <v>101</v>
      </c>
      <c r="N42" s="134">
        <v>0</v>
      </c>
      <c r="O42" s="121">
        <f>MyGrid3[[#This Row],[فبراير]]/$N$187</f>
        <v>0</v>
      </c>
      <c r="P42" s="153" t="s">
        <v>994</v>
      </c>
      <c r="Q42" s="115">
        <f>RANK(R42,MyGrid3[مارس])</f>
        <v>110</v>
      </c>
      <c r="R42" s="123">
        <v>0</v>
      </c>
      <c r="S42" s="118">
        <f>MyGrid3[[#This Row],[مارس]]/$R$187</f>
        <v>0</v>
      </c>
      <c r="T42" s="152" t="s">
        <v>994</v>
      </c>
      <c r="U42" s="397"/>
      <c r="V42" s="121">
        <f>MyGrid3[[#This Row],[أبريل]]/$U$187</f>
        <v>0</v>
      </c>
      <c r="W42" s="153" t="s">
        <v>994</v>
      </c>
      <c r="X42" s="397"/>
      <c r="Y42" s="118">
        <f>MyGrid3[[#This Row],[مايو]]/$X$187</f>
        <v>0</v>
      </c>
      <c r="Z42" s="152" t="s">
        <v>994</v>
      </c>
      <c r="AA42" s="123">
        <v>2500</v>
      </c>
      <c r="AB42" s="121">
        <f>MyGrid3[[#This Row],[يونيو]]/$AA$187</f>
        <v>11.538284026399594</v>
      </c>
      <c r="AC42" s="153" t="s">
        <v>994</v>
      </c>
      <c r="AD42" s="123">
        <v>2500</v>
      </c>
      <c r="AE42" s="118">
        <f>MyGrid3[[#This Row],[يوليو]]/$AD$187</f>
        <v>3.0769230769230771</v>
      </c>
      <c r="AF42" s="119" t="s">
        <v>994</v>
      </c>
      <c r="AG42" s="124">
        <v>2500</v>
      </c>
      <c r="AH42" s="121">
        <f>MyGrid3[[#This Row],[أغسطس]]/$AG$187</f>
        <v>3.0769230769230771</v>
      </c>
      <c r="AI42" s="153" t="s">
        <v>994</v>
      </c>
      <c r="AJ42" s="123">
        <v>2500</v>
      </c>
      <c r="AK42" s="118">
        <f>MyGrid3[[#This Row],[سبتمبر]]/$AJ$187</f>
        <v>3.0769230769230771</v>
      </c>
      <c r="AL42" s="152" t="s">
        <v>994</v>
      </c>
      <c r="AM42" s="123">
        <v>2500</v>
      </c>
      <c r="AN42" s="121">
        <f>MyGrid3[[#This Row],[أكتوبر]]/$AM$187</f>
        <v>3.0769230769230771</v>
      </c>
      <c r="AO42" s="153" t="s">
        <v>994</v>
      </c>
      <c r="AP42" s="123">
        <v>2500</v>
      </c>
      <c r="AQ42" s="125">
        <f>MyGrid3[[#This Row],[نوفمبر]]/$AP$187</f>
        <v>3.0769230769230771</v>
      </c>
      <c r="AR42" s="152" t="s">
        <v>994</v>
      </c>
      <c r="AS42" s="391">
        <v>2500</v>
      </c>
      <c r="AT42" s="121">
        <f>MyGrid3[[#This Row],[ديسمبر]]/$AS$187</f>
        <v>3.0769230769230771</v>
      </c>
      <c r="AU42" s="126">
        <f t="shared" si="0"/>
        <v>17500</v>
      </c>
      <c r="AV42" s="127">
        <f>MyGrid3[[#This Row],[الإجمالي]]/$AU$187</f>
        <v>1.4395875047095077</v>
      </c>
    </row>
    <row r="43" spans="1:48" s="128" customFormat="1" ht="33" hidden="1" customHeight="1">
      <c r="A43" s="110">
        <f>SUBTOTAL(3,$B$4:B43)</f>
        <v>0</v>
      </c>
      <c r="B43" s="111">
        <v>690142</v>
      </c>
      <c r="C43" s="112" t="s">
        <v>995</v>
      </c>
      <c r="D43" s="113" t="s">
        <v>984</v>
      </c>
      <c r="E43" s="140" t="s">
        <v>996</v>
      </c>
      <c r="F43" s="115">
        <f>RANK(G43,MyGrid3[الاساسي])</f>
        <v>3</v>
      </c>
      <c r="G43" s="116">
        <v>6000</v>
      </c>
      <c r="H43" s="154" t="s">
        <v>996</v>
      </c>
      <c r="I43" s="115">
        <f>RANK(J43,MyGrid3[يناير])</f>
        <v>81</v>
      </c>
      <c r="J43" s="117">
        <v>0</v>
      </c>
      <c r="K43" s="118">
        <f>MyGrid3[[#This Row],[يناير]]/$J$187</f>
        <v>0</v>
      </c>
      <c r="L43" s="155" t="s">
        <v>996</v>
      </c>
      <c r="M43" s="115">
        <f>RANK(N43,MyGrid3[فبراير])</f>
        <v>101</v>
      </c>
      <c r="N43" s="134">
        <v>0</v>
      </c>
      <c r="O43" s="121">
        <f>MyGrid3[[#This Row],[فبراير]]/$N$187</f>
        <v>0</v>
      </c>
      <c r="P43" s="156" t="s">
        <v>996</v>
      </c>
      <c r="Q43" s="115">
        <f>RANK(R43,MyGrid3[مارس])</f>
        <v>4</v>
      </c>
      <c r="R43" s="123">
        <v>3600</v>
      </c>
      <c r="S43" s="118">
        <f>MyGrid3[[#This Row],[مارس]]/$R$187</f>
        <v>2.5486725663716814</v>
      </c>
      <c r="T43" s="155" t="s">
        <v>996</v>
      </c>
      <c r="U43" s="397">
        <v>6000</v>
      </c>
      <c r="V43" s="121">
        <f>MyGrid3[[#This Row],[أبريل]]/$U$187</f>
        <v>4.2477876106194694</v>
      </c>
      <c r="W43" s="156" t="s">
        <v>996</v>
      </c>
      <c r="X43" s="397">
        <v>6000</v>
      </c>
      <c r="Y43" s="118">
        <f>MyGrid3[[#This Row],[مايو]]/$X$187</f>
        <v>4.2415116747608854</v>
      </c>
      <c r="Z43" s="155" t="s">
        <v>996</v>
      </c>
      <c r="AA43" s="123">
        <v>6000</v>
      </c>
      <c r="AB43" s="121">
        <f>MyGrid3[[#This Row],[يونيو]]/$AA$187</f>
        <v>27.691881663359027</v>
      </c>
      <c r="AC43" s="156" t="s">
        <v>996</v>
      </c>
      <c r="AD43" s="123">
        <v>6000</v>
      </c>
      <c r="AE43" s="118">
        <f>MyGrid3[[#This Row],[يوليو]]/$AD$187</f>
        <v>7.384615384615385</v>
      </c>
      <c r="AF43" s="119" t="s">
        <v>996</v>
      </c>
      <c r="AG43" s="124">
        <v>6000</v>
      </c>
      <c r="AH43" s="121">
        <f>MyGrid3[[#This Row],[أغسطس]]/$AG$187</f>
        <v>7.384615384615385</v>
      </c>
      <c r="AI43" s="156" t="s">
        <v>996</v>
      </c>
      <c r="AJ43" s="123"/>
      <c r="AK43" s="118">
        <f>MyGrid3[[#This Row],[سبتمبر]]/$AJ$187</f>
        <v>0</v>
      </c>
      <c r="AL43" s="155" t="s">
        <v>996</v>
      </c>
      <c r="AM43" s="123"/>
      <c r="AN43" s="121">
        <f>MyGrid3[[#This Row],[أكتوبر]]/$AM$187</f>
        <v>0</v>
      </c>
      <c r="AO43" s="156" t="s">
        <v>996</v>
      </c>
      <c r="AP43" s="123"/>
      <c r="AQ43" s="125">
        <f>MyGrid3[[#This Row],[نوفمبر]]/$AP$187</f>
        <v>0</v>
      </c>
      <c r="AR43" s="155" t="s">
        <v>996</v>
      </c>
      <c r="AS43" s="391"/>
      <c r="AT43" s="121">
        <f>MyGrid3[[#This Row],[ديسمبر]]/$AS$187</f>
        <v>0</v>
      </c>
      <c r="AU43" s="126">
        <f t="shared" si="0"/>
        <v>33600</v>
      </c>
      <c r="AV43" s="127">
        <f>MyGrid3[[#This Row],[الإجمالي]]/$AU$187</f>
        <v>2.7640080090422545</v>
      </c>
    </row>
    <row r="44" spans="1:48" s="128" customFormat="1" ht="33" hidden="1" customHeight="1">
      <c r="A44" s="110">
        <f>SUBTOTAL(3,$B$4:B44)</f>
        <v>0</v>
      </c>
      <c r="B44" s="111">
        <v>690153</v>
      </c>
      <c r="C44" s="112" t="s">
        <v>997</v>
      </c>
      <c r="D44" s="113"/>
      <c r="E44" s="140" t="s">
        <v>64</v>
      </c>
      <c r="F44" s="115">
        <f>RANK(G44,MyGrid3[الاساسي])</f>
        <v>107</v>
      </c>
      <c r="G44" s="130">
        <v>500</v>
      </c>
      <c r="H44" s="114" t="s">
        <v>64</v>
      </c>
      <c r="I44" s="115">
        <f>RANK(J44,MyGrid3[يناير])</f>
        <v>45</v>
      </c>
      <c r="J44" s="141">
        <v>825</v>
      </c>
      <c r="K44" s="118">
        <f>MyGrid3[[#This Row],[يناير]]/$J$187</f>
        <v>0.58407079646017701</v>
      </c>
      <c r="L44" s="119" t="s">
        <v>64</v>
      </c>
      <c r="M44" s="115">
        <f>RANK(N44,MyGrid3[فبراير])</f>
        <v>101</v>
      </c>
      <c r="N44" s="134">
        <v>0</v>
      </c>
      <c r="O44" s="121">
        <f>MyGrid3[[#This Row],[فبراير]]/$N$187</f>
        <v>0</v>
      </c>
      <c r="P44" s="122" t="s">
        <v>64</v>
      </c>
      <c r="Q44" s="115">
        <f>RANK(R44,MyGrid3[مارس])</f>
        <v>110</v>
      </c>
      <c r="R44" s="123">
        <v>0</v>
      </c>
      <c r="S44" s="118">
        <f>MyGrid3[[#This Row],[مارس]]/$R$187</f>
        <v>0</v>
      </c>
      <c r="T44" s="119" t="s">
        <v>64</v>
      </c>
      <c r="U44" s="397"/>
      <c r="V44" s="121">
        <f>MyGrid3[[#This Row],[أبريل]]/$U$187</f>
        <v>0</v>
      </c>
      <c r="W44" s="122" t="s">
        <v>64</v>
      </c>
      <c r="X44" s="397"/>
      <c r="Y44" s="118">
        <f>MyGrid3[[#This Row],[مايو]]/$X$187</f>
        <v>0</v>
      </c>
      <c r="Z44" s="119" t="s">
        <v>64</v>
      </c>
      <c r="AA44" s="123"/>
      <c r="AB44" s="121">
        <f>MyGrid3[[#This Row],[يونيو]]/$AA$187</f>
        <v>0</v>
      </c>
      <c r="AC44" s="122" t="s">
        <v>64</v>
      </c>
      <c r="AD44" s="123"/>
      <c r="AE44" s="118">
        <f>MyGrid3[[#This Row],[يوليو]]/$AD$187</f>
        <v>0</v>
      </c>
      <c r="AF44" s="119" t="s">
        <v>64</v>
      </c>
      <c r="AG44" s="123"/>
      <c r="AH44" s="121">
        <f>MyGrid3[[#This Row],[أغسطس]]/$AG$187</f>
        <v>0</v>
      </c>
      <c r="AI44" s="122" t="s">
        <v>64</v>
      </c>
      <c r="AJ44" s="123"/>
      <c r="AK44" s="118">
        <f>MyGrid3[[#This Row],[سبتمبر]]/$AJ$187</f>
        <v>0</v>
      </c>
      <c r="AL44" s="119" t="s">
        <v>64</v>
      </c>
      <c r="AM44" s="123"/>
      <c r="AN44" s="121">
        <f>MyGrid3[[#This Row],[أكتوبر]]/$AM$187</f>
        <v>0</v>
      </c>
      <c r="AO44" s="122" t="s">
        <v>64</v>
      </c>
      <c r="AP44" s="123"/>
      <c r="AQ44" s="125">
        <f>MyGrid3[[#This Row],[نوفمبر]]/$AP$187</f>
        <v>0</v>
      </c>
      <c r="AR44" s="119" t="s">
        <v>64</v>
      </c>
      <c r="AS44" s="391"/>
      <c r="AT44" s="121">
        <f>MyGrid3[[#This Row],[ديسمبر]]/$AS$187</f>
        <v>0</v>
      </c>
      <c r="AU44" s="126">
        <f t="shared" si="0"/>
        <v>825</v>
      </c>
      <c r="AV44" s="127">
        <f>MyGrid3[[#This Row],[الإجمالي]]/$AU$187</f>
        <v>6.7866268079162503E-2</v>
      </c>
    </row>
    <row r="45" spans="1:48" s="128" customFormat="1" ht="33" hidden="1" customHeight="1">
      <c r="A45" s="110">
        <f>SUBTOTAL(3,$B$4:B45)</f>
        <v>0</v>
      </c>
      <c r="B45" s="111">
        <v>690156</v>
      </c>
      <c r="C45" s="112" t="s">
        <v>998</v>
      </c>
      <c r="D45" s="113" t="s">
        <v>957</v>
      </c>
      <c r="E45" s="147" t="s">
        <v>64</v>
      </c>
      <c r="F45" s="115">
        <f>RANK(G45,MyGrid3[الاساسي])</f>
        <v>49</v>
      </c>
      <c r="G45" s="130">
        <v>1000</v>
      </c>
      <c r="H45" s="131"/>
      <c r="I45" s="132">
        <f>RANK(J45,MyGrid3[يناير])</f>
        <v>81</v>
      </c>
      <c r="J45" s="117"/>
      <c r="K45" s="118">
        <f>MyGrid3[[#This Row],[يناير]]/$J$187</f>
        <v>0</v>
      </c>
      <c r="L45" s="133"/>
      <c r="M45" s="132">
        <f>RANK(N45,MyGrid3[فبراير])</f>
        <v>101</v>
      </c>
      <c r="N45" s="134"/>
      <c r="O45" s="121">
        <f>MyGrid3[[#This Row],[فبراير]]/$N$187</f>
        <v>0</v>
      </c>
      <c r="P45" s="135"/>
      <c r="Q45" s="132">
        <f>RANK(R45,MyGrid3[مارس])</f>
        <v>110</v>
      </c>
      <c r="R45" s="123"/>
      <c r="S45" s="118">
        <f>MyGrid3[[#This Row],[مارس]]/$R$187</f>
        <v>0</v>
      </c>
      <c r="T45" s="133"/>
      <c r="U45" s="397"/>
      <c r="V45" s="121">
        <f>MyGrid3[[#This Row],[أبريل]]/$U$187</f>
        <v>0</v>
      </c>
      <c r="W45" s="136"/>
      <c r="X45" s="397"/>
      <c r="Y45" s="118">
        <f>MyGrid3[[#This Row],[مايو]]/$X$187</f>
        <v>0</v>
      </c>
      <c r="Z45" s="137"/>
      <c r="AA45" s="123"/>
      <c r="AB45" s="121">
        <f>MyGrid3[[#This Row],[يونيو]]/$AA$187</f>
        <v>0</v>
      </c>
      <c r="AC45" s="136"/>
      <c r="AD45" s="123"/>
      <c r="AE45" s="118">
        <f>MyGrid3[[#This Row],[يوليو]]/$AD$187</f>
        <v>0</v>
      </c>
      <c r="AF45" s="137"/>
      <c r="AG45" s="138"/>
      <c r="AH45" s="121">
        <f>MyGrid3[[#This Row],[أغسطس]]/$AG$187</f>
        <v>0</v>
      </c>
      <c r="AI45" s="122" t="s">
        <v>64</v>
      </c>
      <c r="AJ45" s="123">
        <v>1250</v>
      </c>
      <c r="AK45" s="118">
        <f>MyGrid3[[#This Row],[سبتمبر]]/$AJ$187</f>
        <v>1.5384615384615385</v>
      </c>
      <c r="AL45" s="119" t="s">
        <v>64</v>
      </c>
      <c r="AM45" s="123">
        <v>1000</v>
      </c>
      <c r="AN45" s="121">
        <f>MyGrid3[[#This Row],[أكتوبر]]/$AM$187</f>
        <v>1.2307692307692308</v>
      </c>
      <c r="AO45" s="122" t="s">
        <v>64</v>
      </c>
      <c r="AP45" s="123">
        <v>1000</v>
      </c>
      <c r="AQ45" s="125">
        <f>MyGrid3[[#This Row],[نوفمبر]]/$AP$187</f>
        <v>1.2307692307692308</v>
      </c>
      <c r="AR45" s="119" t="s">
        <v>64</v>
      </c>
      <c r="AS45" s="391">
        <v>1000</v>
      </c>
      <c r="AT45" s="121">
        <f>MyGrid3[[#This Row],[ديسمبر]]/$AS$187</f>
        <v>1.2307692307692308</v>
      </c>
      <c r="AU45" s="126">
        <f t="shared" si="0"/>
        <v>4250</v>
      </c>
      <c r="AV45" s="127">
        <f>MyGrid3[[#This Row],[الإجمالي]]/$AU$187</f>
        <v>0.34961410828659473</v>
      </c>
    </row>
    <row r="46" spans="1:48" s="128" customFormat="1" ht="33" hidden="1" customHeight="1">
      <c r="A46" s="110">
        <f>SUBTOTAL(3,$B$4:B46)</f>
        <v>0</v>
      </c>
      <c r="B46" s="111">
        <v>690159</v>
      </c>
      <c r="C46" s="112" t="s">
        <v>999</v>
      </c>
      <c r="D46" s="113" t="s">
        <v>957</v>
      </c>
      <c r="E46" s="140" t="s">
        <v>990</v>
      </c>
      <c r="F46" s="115">
        <f>RANK(G46,MyGrid3[الاساسي])</f>
        <v>29</v>
      </c>
      <c r="G46" s="116">
        <v>1700</v>
      </c>
      <c r="H46" s="148" t="s">
        <v>990</v>
      </c>
      <c r="I46" s="115">
        <f>RANK(J46,MyGrid3[يناير])</f>
        <v>9</v>
      </c>
      <c r="J46" s="141">
        <v>1700</v>
      </c>
      <c r="K46" s="118">
        <f>MyGrid3[[#This Row],[يناير]]/$J$187</f>
        <v>1.2035398230088497</v>
      </c>
      <c r="L46" s="149" t="s">
        <v>990</v>
      </c>
      <c r="M46" s="115">
        <f>RANK(N46,MyGrid3[فبراير])</f>
        <v>12</v>
      </c>
      <c r="N46" s="120">
        <v>1700</v>
      </c>
      <c r="O46" s="121">
        <f>MyGrid3[[#This Row],[فبراير]]/$N$187</f>
        <v>1.2035398230088497</v>
      </c>
      <c r="P46" s="150" t="s">
        <v>990</v>
      </c>
      <c r="Q46" s="115">
        <f>RANK(R46,MyGrid3[مارس])</f>
        <v>20</v>
      </c>
      <c r="R46" s="123">
        <v>1700</v>
      </c>
      <c r="S46" s="118">
        <f>MyGrid3[[#This Row],[مارس]]/$R$187</f>
        <v>1.2035398230088497</v>
      </c>
      <c r="T46" s="149" t="s">
        <v>990</v>
      </c>
      <c r="U46" s="397">
        <v>1700</v>
      </c>
      <c r="V46" s="121">
        <f>MyGrid3[[#This Row],[أبريل]]/$U$187</f>
        <v>1.2035398230088497</v>
      </c>
      <c r="W46" s="150" t="s">
        <v>990</v>
      </c>
      <c r="X46" s="397">
        <v>1700</v>
      </c>
      <c r="Y46" s="118">
        <f>MyGrid3[[#This Row],[مايو]]/$X$187</f>
        <v>1.2017616411822507</v>
      </c>
      <c r="Z46" s="149" t="s">
        <v>990</v>
      </c>
      <c r="AA46" s="123">
        <v>1700</v>
      </c>
      <c r="AB46" s="121">
        <f>MyGrid3[[#This Row],[يونيو]]/$AA$187</f>
        <v>7.8460331379517241</v>
      </c>
      <c r="AC46" s="150" t="s">
        <v>990</v>
      </c>
      <c r="AD46" s="123">
        <v>1700</v>
      </c>
      <c r="AE46" s="118">
        <f>MyGrid3[[#This Row],[يوليو]]/$AD$187</f>
        <v>2.0923076923076924</v>
      </c>
      <c r="AF46" s="119" t="s">
        <v>990</v>
      </c>
      <c r="AG46" s="144">
        <v>1700</v>
      </c>
      <c r="AH46" s="121">
        <f>MyGrid3[[#This Row],[أغسطس]]/$AG$187</f>
        <v>2.0923076923076924</v>
      </c>
      <c r="AI46" s="150" t="s">
        <v>990</v>
      </c>
      <c r="AJ46" s="123">
        <v>1700</v>
      </c>
      <c r="AK46" s="118">
        <f>MyGrid3[[#This Row],[سبتمبر]]/$AJ$187</f>
        <v>2.0923076923076924</v>
      </c>
      <c r="AL46" s="149" t="s">
        <v>990</v>
      </c>
      <c r="AM46" s="123">
        <v>1700</v>
      </c>
      <c r="AN46" s="121">
        <f>MyGrid3[[#This Row],[أكتوبر]]/$AM$187</f>
        <v>2.0923076923076924</v>
      </c>
      <c r="AO46" s="150" t="s">
        <v>990</v>
      </c>
      <c r="AP46" s="123">
        <v>1700</v>
      </c>
      <c r="AQ46" s="125">
        <f>MyGrid3[[#This Row],[نوفمبر]]/$AP$187</f>
        <v>2.0923076923076924</v>
      </c>
      <c r="AR46" s="149" t="s">
        <v>990</v>
      </c>
      <c r="AS46" s="391">
        <v>1700</v>
      </c>
      <c r="AT46" s="121">
        <f>MyGrid3[[#This Row],[ديسمبر]]/$AS$187</f>
        <v>2.0923076923076924</v>
      </c>
      <c r="AU46" s="126">
        <f t="shared" si="0"/>
        <v>20400</v>
      </c>
      <c r="AV46" s="127">
        <f>MyGrid3[[#This Row],[الإجمالي]]/$AU$187</f>
        <v>1.6781477197756547</v>
      </c>
    </row>
    <row r="47" spans="1:48" s="128" customFormat="1" ht="33" hidden="1" customHeight="1">
      <c r="A47" s="110">
        <f>SUBTOTAL(3,$B$4:B47)</f>
        <v>0</v>
      </c>
      <c r="B47" s="111">
        <v>690160</v>
      </c>
      <c r="C47" s="112" t="s">
        <v>1000</v>
      </c>
      <c r="D47" s="113" t="s">
        <v>957</v>
      </c>
      <c r="E47" s="140" t="s">
        <v>64</v>
      </c>
      <c r="F47" s="115">
        <f>RANK(G47,MyGrid3[الاساسي])</f>
        <v>33</v>
      </c>
      <c r="G47" s="116">
        <v>1500</v>
      </c>
      <c r="H47" s="131"/>
      <c r="I47" s="115">
        <f>RANK(J47,MyGrid3[يناير])</f>
        <v>81</v>
      </c>
      <c r="J47" s="117">
        <v>0</v>
      </c>
      <c r="K47" s="118">
        <f>MyGrid3[[#This Row],[يناير]]/$J$187</f>
        <v>0</v>
      </c>
      <c r="L47" s="133"/>
      <c r="M47" s="132">
        <f>RANK(N47,MyGrid3[فبراير])</f>
        <v>101</v>
      </c>
      <c r="N47" s="134">
        <v>0</v>
      </c>
      <c r="O47" s="121">
        <f>MyGrid3[[#This Row],[فبراير]]/$N$187</f>
        <v>0</v>
      </c>
      <c r="P47" s="122" t="s">
        <v>64</v>
      </c>
      <c r="Q47" s="132">
        <f>RANK(R47,MyGrid3[مارس])</f>
        <v>11</v>
      </c>
      <c r="R47" s="123">
        <v>2250</v>
      </c>
      <c r="S47" s="118">
        <f>MyGrid3[[#This Row],[مارس]]/$R$187</f>
        <v>1.5929203539823009</v>
      </c>
      <c r="T47" s="119" t="s">
        <v>64</v>
      </c>
      <c r="U47" s="397">
        <v>2250</v>
      </c>
      <c r="V47" s="121">
        <f>MyGrid3[[#This Row],[أبريل]]/$U$187</f>
        <v>1.5929203539823009</v>
      </c>
      <c r="W47" s="122" t="s">
        <v>64</v>
      </c>
      <c r="X47" s="397">
        <v>2250</v>
      </c>
      <c r="Y47" s="118">
        <f>MyGrid3[[#This Row],[مايو]]/$X$187</f>
        <v>1.5905668780353319</v>
      </c>
      <c r="Z47" s="119" t="s">
        <v>64</v>
      </c>
      <c r="AA47" s="123">
        <v>2250</v>
      </c>
      <c r="AB47" s="121">
        <f>MyGrid3[[#This Row],[يونيو]]/$AA$187</f>
        <v>10.384455623759635</v>
      </c>
      <c r="AC47" s="122" t="s">
        <v>64</v>
      </c>
      <c r="AD47" s="123">
        <v>1875</v>
      </c>
      <c r="AE47" s="118">
        <f>MyGrid3[[#This Row],[يوليو]]/$AD$187</f>
        <v>2.3076923076923075</v>
      </c>
      <c r="AF47" s="139" t="s">
        <v>64</v>
      </c>
      <c r="AG47" s="124">
        <v>1875</v>
      </c>
      <c r="AH47" s="121">
        <f>MyGrid3[[#This Row],[أغسطس]]/$AG$187</f>
        <v>2.3076923076923075</v>
      </c>
      <c r="AI47" s="122" t="s">
        <v>64</v>
      </c>
      <c r="AJ47" s="123">
        <v>1875</v>
      </c>
      <c r="AK47" s="118">
        <f>MyGrid3[[#This Row],[سبتمبر]]/$AJ$187</f>
        <v>2.3076923076923075</v>
      </c>
      <c r="AL47" s="119" t="s">
        <v>64</v>
      </c>
      <c r="AM47" s="123">
        <v>1875</v>
      </c>
      <c r="AN47" s="121">
        <f>MyGrid3[[#This Row],[أكتوبر]]/$AM$187</f>
        <v>2.3076923076923075</v>
      </c>
      <c r="AO47" s="122" t="s">
        <v>64</v>
      </c>
      <c r="AP47" s="123">
        <v>1875</v>
      </c>
      <c r="AQ47" s="125">
        <f>MyGrid3[[#This Row],[نوفمبر]]/$AP$187</f>
        <v>2.3076923076923075</v>
      </c>
      <c r="AR47" s="119" t="s">
        <v>64</v>
      </c>
      <c r="AS47" s="391">
        <v>1875</v>
      </c>
      <c r="AT47" s="121">
        <f>MyGrid3[[#This Row],[ديسمبر]]/$AS$187</f>
        <v>2.3076923076923075</v>
      </c>
      <c r="AU47" s="126">
        <f t="shared" si="0"/>
        <v>20250</v>
      </c>
      <c r="AV47" s="127">
        <f>MyGrid3[[#This Row],[الإجمالي]]/$AU$187</f>
        <v>1.665808398306716</v>
      </c>
    </row>
    <row r="48" spans="1:48" s="128" customFormat="1" ht="33" hidden="1" customHeight="1">
      <c r="A48" s="110">
        <f>SUBTOTAL(3,$B$4:B48)</f>
        <v>0</v>
      </c>
      <c r="B48" s="111">
        <v>690161</v>
      </c>
      <c r="C48" s="112" t="s">
        <v>1001</v>
      </c>
      <c r="D48" s="113" t="s">
        <v>965</v>
      </c>
      <c r="E48" s="140" t="s">
        <v>64</v>
      </c>
      <c r="F48" s="115">
        <f>RANK(G48,MyGrid3[الاساسي])</f>
        <v>17</v>
      </c>
      <c r="G48" s="116">
        <v>1800</v>
      </c>
      <c r="H48" s="131"/>
      <c r="I48" s="132">
        <f>RANK(J48,MyGrid3[يناير])</f>
        <v>81</v>
      </c>
      <c r="J48" s="117"/>
      <c r="K48" s="118">
        <f>MyGrid3[[#This Row],[يناير]]/$J$187</f>
        <v>0</v>
      </c>
      <c r="L48" s="133"/>
      <c r="M48" s="132">
        <f>RANK(N48,MyGrid3[فبراير])</f>
        <v>101</v>
      </c>
      <c r="N48" s="134"/>
      <c r="O48" s="121">
        <f>MyGrid3[[#This Row],[فبراير]]/$N$187</f>
        <v>0</v>
      </c>
      <c r="P48" s="135"/>
      <c r="Q48" s="132">
        <f>RANK(R48,MyGrid3[مارس])</f>
        <v>110</v>
      </c>
      <c r="R48" s="123"/>
      <c r="S48" s="118">
        <f>MyGrid3[[#This Row],[مارس]]/$R$187</f>
        <v>0</v>
      </c>
      <c r="T48" s="133" t="s">
        <v>64</v>
      </c>
      <c r="U48" s="397">
        <v>1882.5</v>
      </c>
      <c r="V48" s="121">
        <f>MyGrid3[[#This Row],[أبريل]]/$U$187</f>
        <v>1.3327433628318583</v>
      </c>
      <c r="W48" s="135" t="s">
        <v>64</v>
      </c>
      <c r="X48" s="397">
        <v>2250</v>
      </c>
      <c r="Y48" s="118">
        <f>MyGrid3[[#This Row],[مايو]]/$X$187</f>
        <v>1.5905668780353319</v>
      </c>
      <c r="Z48" s="133" t="s">
        <v>64</v>
      </c>
      <c r="AA48" s="123">
        <v>2250</v>
      </c>
      <c r="AB48" s="121">
        <f>MyGrid3[[#This Row],[يونيو]]/$AA$187</f>
        <v>10.384455623759635</v>
      </c>
      <c r="AC48" s="135" t="s">
        <v>64</v>
      </c>
      <c r="AD48" s="123">
        <v>2250</v>
      </c>
      <c r="AE48" s="118">
        <f>MyGrid3[[#This Row],[يوليو]]/$AD$187</f>
        <v>2.7692307692307692</v>
      </c>
      <c r="AF48" s="139" t="s">
        <v>64</v>
      </c>
      <c r="AG48" s="124">
        <v>2250</v>
      </c>
      <c r="AH48" s="121">
        <f>MyGrid3[[#This Row],[أغسطس]]/$AG$187</f>
        <v>2.7692307692307692</v>
      </c>
      <c r="AI48" s="135" t="s">
        <v>64</v>
      </c>
      <c r="AJ48" s="123">
        <v>2250</v>
      </c>
      <c r="AK48" s="118">
        <f>MyGrid3[[#This Row],[سبتمبر]]/$AJ$187</f>
        <v>2.7692307692307692</v>
      </c>
      <c r="AL48" s="133" t="s">
        <v>64</v>
      </c>
      <c r="AM48" s="123">
        <v>2250</v>
      </c>
      <c r="AN48" s="121">
        <f>MyGrid3[[#This Row],[أكتوبر]]/$AM$187</f>
        <v>2.7692307692307692</v>
      </c>
      <c r="AO48" s="135" t="s">
        <v>64</v>
      </c>
      <c r="AP48" s="123">
        <v>2250</v>
      </c>
      <c r="AQ48" s="125">
        <f>MyGrid3[[#This Row],[نوفمبر]]/$AP$187</f>
        <v>2.7692307692307692</v>
      </c>
      <c r="AR48" s="133" t="s">
        <v>64</v>
      </c>
      <c r="AS48" s="391">
        <v>2250</v>
      </c>
      <c r="AT48" s="121">
        <f>MyGrid3[[#This Row],[ديسمبر]]/$AS$187</f>
        <v>2.7692307692307692</v>
      </c>
      <c r="AU48" s="126">
        <f t="shared" si="0"/>
        <v>19882.5</v>
      </c>
      <c r="AV48" s="127">
        <f>MyGrid3[[#This Row],[الإجمالي]]/$AU$187</f>
        <v>1.6355770607078164</v>
      </c>
    </row>
    <row r="49" spans="1:48" s="128" customFormat="1" ht="33" hidden="1" customHeight="1">
      <c r="A49" s="110">
        <f>SUBTOTAL(3,$B$4:B49)</f>
        <v>0</v>
      </c>
      <c r="B49" s="111">
        <v>690162</v>
      </c>
      <c r="C49" s="112" t="s">
        <v>1002</v>
      </c>
      <c r="D49" s="113" t="s">
        <v>965</v>
      </c>
      <c r="E49" s="140" t="s">
        <v>64</v>
      </c>
      <c r="F49" s="115">
        <f>RANK(G49,MyGrid3[الاساسي])</f>
        <v>33</v>
      </c>
      <c r="G49" s="116">
        <v>1500</v>
      </c>
      <c r="H49" s="114" t="s">
        <v>958</v>
      </c>
      <c r="I49" s="115">
        <f>RANK(J49,MyGrid3[يناير])</f>
        <v>81</v>
      </c>
      <c r="J49" s="117">
        <v>0</v>
      </c>
      <c r="K49" s="118">
        <f>MyGrid3[[#This Row],[يناير]]/$J$187</f>
        <v>0</v>
      </c>
      <c r="L49" s="119" t="s">
        <v>64</v>
      </c>
      <c r="M49" s="115">
        <f>RANK(N49,MyGrid3[فبراير])</f>
        <v>8</v>
      </c>
      <c r="N49" s="120">
        <v>2065</v>
      </c>
      <c r="O49" s="121">
        <f>MyGrid3[[#This Row],[فبراير]]/$N$187</f>
        <v>1.4619469026548673</v>
      </c>
      <c r="P49" s="122" t="s">
        <v>64</v>
      </c>
      <c r="Q49" s="115">
        <f>RANK(R49,MyGrid3[مارس])</f>
        <v>10</v>
      </c>
      <c r="R49" s="123">
        <v>2300</v>
      </c>
      <c r="S49" s="118">
        <f>MyGrid3[[#This Row],[مارس]]/$R$187</f>
        <v>1.6283185840707965</v>
      </c>
      <c r="T49" s="119" t="s">
        <v>64</v>
      </c>
      <c r="U49" s="397">
        <v>2550</v>
      </c>
      <c r="V49" s="121">
        <f>MyGrid3[[#This Row],[أبريل]]/$U$187</f>
        <v>1.8053097345132743</v>
      </c>
      <c r="W49" s="122" t="s">
        <v>64</v>
      </c>
      <c r="X49" s="397">
        <v>1800</v>
      </c>
      <c r="Y49" s="118">
        <f>MyGrid3[[#This Row],[مايو]]/$X$187</f>
        <v>1.2724535024282655</v>
      </c>
      <c r="Z49" s="119" t="s">
        <v>64</v>
      </c>
      <c r="AA49" s="123"/>
      <c r="AB49" s="121">
        <f>MyGrid3[[#This Row],[يونيو]]/$AA$187</f>
        <v>0</v>
      </c>
      <c r="AC49" s="122" t="s">
        <v>64</v>
      </c>
      <c r="AD49" s="123"/>
      <c r="AE49" s="118">
        <f>MyGrid3[[#This Row],[يوليو]]/$AD$187</f>
        <v>0</v>
      </c>
      <c r="AF49" s="139" t="s">
        <v>64</v>
      </c>
      <c r="AG49" s="124">
        <v>1447.5</v>
      </c>
      <c r="AH49" s="121">
        <f>MyGrid3[[#This Row],[أغسطس]]/$AG$187</f>
        <v>1.7815384615384615</v>
      </c>
      <c r="AI49" s="122" t="s">
        <v>64</v>
      </c>
      <c r="AJ49" s="123">
        <v>2175</v>
      </c>
      <c r="AK49" s="118">
        <f>MyGrid3[[#This Row],[سبتمبر]]/$AJ$187</f>
        <v>2.6769230769230767</v>
      </c>
      <c r="AL49" s="119" t="s">
        <v>64</v>
      </c>
      <c r="AM49" s="123">
        <v>2175</v>
      </c>
      <c r="AN49" s="121">
        <f>MyGrid3[[#This Row],[أكتوبر]]/$AM$187</f>
        <v>2.6769230769230767</v>
      </c>
      <c r="AO49" s="122" t="s">
        <v>64</v>
      </c>
      <c r="AP49" s="123">
        <v>2175</v>
      </c>
      <c r="AQ49" s="125">
        <f>MyGrid3[[#This Row],[نوفمبر]]/$AP$187</f>
        <v>2.6769230769230767</v>
      </c>
      <c r="AR49" s="119" t="s">
        <v>64</v>
      </c>
      <c r="AS49" s="391">
        <v>2175</v>
      </c>
      <c r="AT49" s="121">
        <f>MyGrid3[[#This Row],[ديسمبر]]/$AS$187</f>
        <v>2.6769230769230767</v>
      </c>
      <c r="AU49" s="126">
        <f t="shared" si="0"/>
        <v>18862.5</v>
      </c>
      <c r="AV49" s="127">
        <f>MyGrid3[[#This Row],[الإجمالي]]/$AU$187</f>
        <v>1.5516696747190337</v>
      </c>
    </row>
    <row r="50" spans="1:48" s="128" customFormat="1" ht="33" hidden="1" customHeight="1">
      <c r="A50" s="110">
        <f>SUBTOTAL(3,$B$4:B50)</f>
        <v>0</v>
      </c>
      <c r="B50" s="111">
        <v>690163</v>
      </c>
      <c r="C50" s="112" t="s">
        <v>1003</v>
      </c>
      <c r="D50" s="113" t="s">
        <v>965</v>
      </c>
      <c r="E50" s="140" t="s">
        <v>64</v>
      </c>
      <c r="F50" s="115">
        <f>RANK(G50,MyGrid3[الاساسي])</f>
        <v>77</v>
      </c>
      <c r="G50" s="116">
        <v>800</v>
      </c>
      <c r="H50" s="114" t="s">
        <v>958</v>
      </c>
      <c r="I50" s="115">
        <f>RANK(J50,MyGrid3[يناير])</f>
        <v>81</v>
      </c>
      <c r="J50" s="117">
        <v>0</v>
      </c>
      <c r="K50" s="118">
        <f>MyGrid3[[#This Row],[يناير]]/$J$187</f>
        <v>0</v>
      </c>
      <c r="L50" s="119" t="s">
        <v>64</v>
      </c>
      <c r="M50" s="115">
        <f>RANK(N50,MyGrid3[فبراير])</f>
        <v>42</v>
      </c>
      <c r="N50" s="120">
        <v>1066.67</v>
      </c>
      <c r="O50" s="121">
        <f>MyGrid3[[#This Row],[فبراير]]/$N$187</f>
        <v>0.75516460176991151</v>
      </c>
      <c r="P50" s="122" t="s">
        <v>64</v>
      </c>
      <c r="Q50" s="115">
        <f>RANK(R50,MyGrid3[مارس])</f>
        <v>52</v>
      </c>
      <c r="R50" s="123">
        <v>1066.67</v>
      </c>
      <c r="S50" s="118">
        <f>MyGrid3[[#This Row],[مارس]]/$R$187</f>
        <v>0.75516460176991151</v>
      </c>
      <c r="T50" s="119" t="s">
        <v>64</v>
      </c>
      <c r="U50" s="397">
        <v>1066.67</v>
      </c>
      <c r="V50" s="121">
        <f>MyGrid3[[#This Row],[أبريل]]/$U$187</f>
        <v>0.75516460176991151</v>
      </c>
      <c r="W50" s="122" t="s">
        <v>64</v>
      </c>
      <c r="X50" s="397">
        <v>1066.67</v>
      </c>
      <c r="Y50" s="118">
        <f>MyGrid3[[#This Row],[مايو]]/$X$187</f>
        <v>0.75404887635286555</v>
      </c>
      <c r="Z50" s="119" t="s">
        <v>64</v>
      </c>
      <c r="AA50" s="123">
        <v>1066.67</v>
      </c>
      <c r="AB50" s="121">
        <f>MyGrid3[[#This Row],[يونيو]]/$AA$187</f>
        <v>4.9230165689758625</v>
      </c>
      <c r="AC50" s="122" t="s">
        <v>64</v>
      </c>
      <c r="AD50" s="123">
        <v>1000</v>
      </c>
      <c r="AE50" s="118">
        <f>MyGrid3[[#This Row],[يوليو]]/$AD$187</f>
        <v>1.2307692307692308</v>
      </c>
      <c r="AF50" s="139" t="s">
        <v>64</v>
      </c>
      <c r="AG50" s="124">
        <v>1000</v>
      </c>
      <c r="AH50" s="121">
        <f>MyGrid3[[#This Row],[أغسطس]]/$AG$187</f>
        <v>1.2307692307692308</v>
      </c>
      <c r="AI50" s="122" t="s">
        <v>64</v>
      </c>
      <c r="AJ50" s="123">
        <v>1000</v>
      </c>
      <c r="AK50" s="118">
        <f>MyGrid3[[#This Row],[سبتمبر]]/$AJ$187</f>
        <v>1.2307692307692308</v>
      </c>
      <c r="AL50" s="119" t="s">
        <v>64</v>
      </c>
      <c r="AM50" s="123">
        <v>1000</v>
      </c>
      <c r="AN50" s="121">
        <f>MyGrid3[[#This Row],[أكتوبر]]/$AM$187</f>
        <v>1.2307692307692308</v>
      </c>
      <c r="AO50" s="122" t="s">
        <v>64</v>
      </c>
      <c r="AP50" s="123">
        <v>1000</v>
      </c>
      <c r="AQ50" s="125">
        <f>MyGrid3[[#This Row],[نوفمبر]]/$AP$187</f>
        <v>1.2307692307692308</v>
      </c>
      <c r="AR50" s="119" t="s">
        <v>64</v>
      </c>
      <c r="AS50" s="391">
        <v>1000</v>
      </c>
      <c r="AT50" s="121">
        <f>MyGrid3[[#This Row],[ديسمبر]]/$AS$187</f>
        <v>1.2307692307692308</v>
      </c>
      <c r="AU50" s="126">
        <f t="shared" si="0"/>
        <v>11333.35</v>
      </c>
      <c r="AV50" s="127">
        <f>MyGrid3[[#This Row],[الإجمالي]]/$AU$187</f>
        <v>0.93230565979997138</v>
      </c>
    </row>
    <row r="51" spans="1:48" s="128" customFormat="1" ht="33" hidden="1" customHeight="1">
      <c r="A51" s="110">
        <f>SUBTOTAL(3,$B$4:B51)</f>
        <v>0</v>
      </c>
      <c r="B51" s="111">
        <v>690164</v>
      </c>
      <c r="C51" s="112" t="s">
        <v>1004</v>
      </c>
      <c r="D51" s="113" t="s">
        <v>965</v>
      </c>
      <c r="E51" s="140" t="s">
        <v>64</v>
      </c>
      <c r="F51" s="115">
        <f>RANK(G51,MyGrid3[الاساسي])</f>
        <v>43</v>
      </c>
      <c r="G51" s="116">
        <v>1300</v>
      </c>
      <c r="H51" s="131"/>
      <c r="I51" s="132">
        <f>RANK(J51,MyGrid3[يناير])</f>
        <v>81</v>
      </c>
      <c r="J51" s="117"/>
      <c r="K51" s="118">
        <f>MyGrid3[[#This Row],[يناير]]/$J$187</f>
        <v>0</v>
      </c>
      <c r="L51" s="133"/>
      <c r="M51" s="132">
        <f>RANK(N51,MyGrid3[فبراير])</f>
        <v>101</v>
      </c>
      <c r="N51" s="134"/>
      <c r="O51" s="121">
        <f>MyGrid3[[#This Row],[فبراير]]/$N$187</f>
        <v>0</v>
      </c>
      <c r="P51" s="135"/>
      <c r="Q51" s="132">
        <f>RANK(R51,MyGrid3[مارس])</f>
        <v>110</v>
      </c>
      <c r="R51" s="123"/>
      <c r="S51" s="118">
        <f>MyGrid3[[#This Row],[مارس]]/$R$187</f>
        <v>0</v>
      </c>
      <c r="T51" s="133"/>
      <c r="U51" s="397"/>
      <c r="V51" s="121">
        <f>MyGrid3[[#This Row],[أبريل]]/$U$187</f>
        <v>0</v>
      </c>
      <c r="W51" s="136"/>
      <c r="X51" s="397"/>
      <c r="Y51" s="118">
        <f>MyGrid3[[#This Row],[مايو]]/$X$187</f>
        <v>0</v>
      </c>
      <c r="Z51" s="119" t="s">
        <v>64</v>
      </c>
      <c r="AA51" s="123">
        <v>1191.67</v>
      </c>
      <c r="AB51" s="121">
        <f>MyGrid3[[#This Row],[يونيو]]/$AA$187</f>
        <v>5.4999307702958422</v>
      </c>
      <c r="AC51" s="122" t="s">
        <v>64</v>
      </c>
      <c r="AD51" s="123">
        <v>1625</v>
      </c>
      <c r="AE51" s="118">
        <f>MyGrid3[[#This Row],[يوليو]]/$AD$187</f>
        <v>2</v>
      </c>
      <c r="AF51" s="139" t="s">
        <v>64</v>
      </c>
      <c r="AG51" s="124">
        <v>1625</v>
      </c>
      <c r="AH51" s="121">
        <f>MyGrid3[[#This Row],[أغسطس]]/$AG$187</f>
        <v>2</v>
      </c>
      <c r="AI51" s="122" t="s">
        <v>64</v>
      </c>
      <c r="AJ51" s="123">
        <v>1625</v>
      </c>
      <c r="AK51" s="118">
        <f>MyGrid3[[#This Row],[سبتمبر]]/$AJ$187</f>
        <v>2</v>
      </c>
      <c r="AL51" s="119" t="s">
        <v>64</v>
      </c>
      <c r="AM51" s="123">
        <v>1625</v>
      </c>
      <c r="AN51" s="121">
        <f>MyGrid3[[#This Row],[أكتوبر]]/$AM$187</f>
        <v>2</v>
      </c>
      <c r="AO51" s="122" t="s">
        <v>64</v>
      </c>
      <c r="AP51" s="123">
        <v>1625</v>
      </c>
      <c r="AQ51" s="125">
        <f>MyGrid3[[#This Row],[نوفمبر]]/$AP$187</f>
        <v>2</v>
      </c>
      <c r="AR51" s="119" t="s">
        <v>64</v>
      </c>
      <c r="AS51" s="391">
        <v>1625</v>
      </c>
      <c r="AT51" s="121">
        <f>MyGrid3[[#This Row],[ديسمبر]]/$AS$187</f>
        <v>2</v>
      </c>
      <c r="AU51" s="126">
        <f t="shared" si="0"/>
        <v>10941.67</v>
      </c>
      <c r="AV51" s="127">
        <f>MyGrid3[[#This Row],[الإجمالي]]/$AU$187</f>
        <v>0.90008522358027876</v>
      </c>
    </row>
    <row r="52" spans="1:48" s="128" customFormat="1" ht="33" hidden="1" customHeight="1">
      <c r="A52" s="110">
        <f>SUBTOTAL(3,$B$4:B52)</f>
        <v>0</v>
      </c>
      <c r="B52" s="111">
        <v>690165</v>
      </c>
      <c r="C52" s="112" t="s">
        <v>1005</v>
      </c>
      <c r="D52" s="113" t="s">
        <v>965</v>
      </c>
      <c r="E52" s="140" t="s">
        <v>64</v>
      </c>
      <c r="F52" s="115">
        <f>RANK(G52,MyGrid3[الاساسي])</f>
        <v>33</v>
      </c>
      <c r="G52" s="130">
        <v>1500</v>
      </c>
      <c r="H52" s="114" t="s">
        <v>64</v>
      </c>
      <c r="I52" s="115">
        <f>RANK(J52,MyGrid3[يناير])</f>
        <v>16</v>
      </c>
      <c r="J52" s="141">
        <v>1500</v>
      </c>
      <c r="K52" s="118">
        <f>MyGrid3[[#This Row],[يناير]]/$J$187</f>
        <v>1.0619469026548674</v>
      </c>
      <c r="L52" s="119" t="s">
        <v>64</v>
      </c>
      <c r="M52" s="115">
        <f>RANK(N52,MyGrid3[فبراير])</f>
        <v>19</v>
      </c>
      <c r="N52" s="120">
        <v>1500</v>
      </c>
      <c r="O52" s="121">
        <f>MyGrid3[[#This Row],[فبراير]]/$N$187</f>
        <v>1.0619469026548674</v>
      </c>
      <c r="P52" s="122" t="s">
        <v>64</v>
      </c>
      <c r="Q52" s="115">
        <f>RANK(R52,MyGrid3[مارس])</f>
        <v>28</v>
      </c>
      <c r="R52" s="123">
        <v>1500</v>
      </c>
      <c r="S52" s="118">
        <f>MyGrid3[[#This Row],[مارس]]/$R$187</f>
        <v>1.0619469026548674</v>
      </c>
      <c r="T52" s="119" t="s">
        <v>64</v>
      </c>
      <c r="U52" s="397">
        <v>1500</v>
      </c>
      <c r="V52" s="121">
        <f>MyGrid3[[#This Row],[أبريل]]/$U$187</f>
        <v>1.0619469026548674</v>
      </c>
      <c r="W52" s="122" t="s">
        <v>64</v>
      </c>
      <c r="X52" s="397">
        <v>1500</v>
      </c>
      <c r="Y52" s="118">
        <f>MyGrid3[[#This Row],[مايو]]/$X$187</f>
        <v>1.0603779186902214</v>
      </c>
      <c r="Z52" s="119" t="s">
        <v>64</v>
      </c>
      <c r="AA52" s="123">
        <v>1500</v>
      </c>
      <c r="AB52" s="121">
        <f>MyGrid3[[#This Row],[يونيو]]/$AA$187</f>
        <v>6.9229704158397567</v>
      </c>
      <c r="AC52" s="122" t="s">
        <v>64</v>
      </c>
      <c r="AD52" s="123"/>
      <c r="AE52" s="118">
        <f>MyGrid3[[#This Row],[يوليو]]/$AD$187</f>
        <v>0</v>
      </c>
      <c r="AF52" s="119" t="s">
        <v>64</v>
      </c>
      <c r="AG52" s="123"/>
      <c r="AH52" s="121">
        <f>MyGrid3[[#This Row],[أغسطس]]/$AG$187</f>
        <v>0</v>
      </c>
      <c r="AI52" s="122" t="s">
        <v>64</v>
      </c>
      <c r="AJ52" s="123"/>
      <c r="AK52" s="118">
        <f>MyGrid3[[#This Row],[سبتمبر]]/$AJ$187</f>
        <v>0</v>
      </c>
      <c r="AL52" s="119" t="s">
        <v>64</v>
      </c>
      <c r="AM52" s="123">
        <v>150</v>
      </c>
      <c r="AN52" s="121">
        <f>MyGrid3[[#This Row],[أكتوبر]]/$AM$187</f>
        <v>0.18461538461538463</v>
      </c>
      <c r="AO52" s="122" t="s">
        <v>64</v>
      </c>
      <c r="AP52" s="123">
        <v>1500</v>
      </c>
      <c r="AQ52" s="125">
        <f>MyGrid3[[#This Row],[نوفمبر]]/$AP$187</f>
        <v>1.8461538461538463</v>
      </c>
      <c r="AR52" s="119" t="s">
        <v>64</v>
      </c>
      <c r="AS52" s="391">
        <v>1500</v>
      </c>
      <c r="AT52" s="121">
        <f>MyGrid3[[#This Row],[ديسمبر]]/$AS$187</f>
        <v>1.8461538461538463</v>
      </c>
      <c r="AU52" s="126">
        <f t="shared" si="0"/>
        <v>12150</v>
      </c>
      <c r="AV52" s="127">
        <f>MyGrid3[[#This Row],[الإجمالي]]/$AU$187</f>
        <v>0.99948503898402963</v>
      </c>
    </row>
    <row r="53" spans="1:48" s="128" customFormat="1" ht="33" hidden="1" customHeight="1">
      <c r="A53" s="110">
        <f>SUBTOTAL(3,$B$4:B53)</f>
        <v>0</v>
      </c>
      <c r="B53" s="111">
        <v>690166</v>
      </c>
      <c r="C53" s="112" t="s">
        <v>1006</v>
      </c>
      <c r="D53" s="113" t="s">
        <v>965</v>
      </c>
      <c r="E53" s="140" t="s">
        <v>1007</v>
      </c>
      <c r="F53" s="115">
        <f>RANK(G53,MyGrid3[الاساسي])</f>
        <v>33</v>
      </c>
      <c r="G53" s="130">
        <v>1500</v>
      </c>
      <c r="H53" s="157" t="s">
        <v>1007</v>
      </c>
      <c r="I53" s="115">
        <f>RANK(J53,MyGrid3[يناير])</f>
        <v>5</v>
      </c>
      <c r="J53" s="141">
        <v>2250</v>
      </c>
      <c r="K53" s="118">
        <f>MyGrid3[[#This Row],[يناير]]/$J$187</f>
        <v>1.5929203539823009</v>
      </c>
      <c r="L53" s="158" t="s">
        <v>1007</v>
      </c>
      <c r="M53" s="115">
        <f>RANK(N53,MyGrid3[فبراير])</f>
        <v>6</v>
      </c>
      <c r="N53" s="120">
        <v>2250</v>
      </c>
      <c r="O53" s="121">
        <f>MyGrid3[[#This Row],[فبراير]]/$N$187</f>
        <v>1.5929203539823009</v>
      </c>
      <c r="P53" s="159" t="s">
        <v>1007</v>
      </c>
      <c r="Q53" s="115">
        <f>RANK(R53,MyGrid3[مارس])</f>
        <v>11</v>
      </c>
      <c r="R53" s="123">
        <v>2250</v>
      </c>
      <c r="S53" s="118">
        <f>MyGrid3[[#This Row],[مارس]]/$R$187</f>
        <v>1.5929203539823009</v>
      </c>
      <c r="T53" s="158" t="s">
        <v>1007</v>
      </c>
      <c r="U53" s="397">
        <v>2250</v>
      </c>
      <c r="V53" s="121">
        <f>MyGrid3[[#This Row],[أبريل]]/$U$187</f>
        <v>1.5929203539823009</v>
      </c>
      <c r="W53" s="159" t="s">
        <v>1007</v>
      </c>
      <c r="X53" s="397"/>
      <c r="Y53" s="118">
        <f>MyGrid3[[#This Row],[مايو]]/$X$187</f>
        <v>0</v>
      </c>
      <c r="Z53" s="158" t="s">
        <v>1007</v>
      </c>
      <c r="AA53" s="123"/>
      <c r="AB53" s="121">
        <f>MyGrid3[[#This Row],[يونيو]]/$AA$187</f>
        <v>0</v>
      </c>
      <c r="AC53" s="159" t="s">
        <v>1007</v>
      </c>
      <c r="AD53" s="123"/>
      <c r="AE53" s="118">
        <f>MyGrid3[[#This Row],[يوليو]]/$AD$187</f>
        <v>0</v>
      </c>
      <c r="AF53" s="119" t="s">
        <v>1007</v>
      </c>
      <c r="AG53" s="123"/>
      <c r="AH53" s="121">
        <f>MyGrid3[[#This Row],[أغسطس]]/$AG$187</f>
        <v>0</v>
      </c>
      <c r="AI53" s="159" t="s">
        <v>1007</v>
      </c>
      <c r="AJ53" s="123">
        <v>1775</v>
      </c>
      <c r="AK53" s="118">
        <f>MyGrid3[[#This Row],[سبتمبر]]/$AJ$187</f>
        <v>2.1846153846153844</v>
      </c>
      <c r="AL53" s="158" t="s">
        <v>1007</v>
      </c>
      <c r="AM53" s="123">
        <v>1875</v>
      </c>
      <c r="AN53" s="121">
        <f>MyGrid3[[#This Row],[أكتوبر]]/$AM$187</f>
        <v>2.3076923076923075</v>
      </c>
      <c r="AO53" s="159" t="s">
        <v>1007</v>
      </c>
      <c r="AP53" s="123">
        <v>1875</v>
      </c>
      <c r="AQ53" s="125">
        <f>MyGrid3[[#This Row],[نوفمبر]]/$AP$187</f>
        <v>2.3076923076923075</v>
      </c>
      <c r="AR53" s="158" t="s">
        <v>1007</v>
      </c>
      <c r="AS53" s="391">
        <v>1875</v>
      </c>
      <c r="AT53" s="121">
        <f>MyGrid3[[#This Row],[ديسمبر]]/$AS$187</f>
        <v>2.3076923076923075</v>
      </c>
      <c r="AU53" s="126">
        <f t="shared" si="0"/>
        <v>16400</v>
      </c>
      <c r="AV53" s="127">
        <f>MyGrid3[[#This Row],[الإجمالي]]/$AU$187</f>
        <v>1.3490991472706244</v>
      </c>
    </row>
    <row r="54" spans="1:48" s="128" customFormat="1" ht="33" hidden="1" customHeight="1">
      <c r="A54" s="110">
        <f>SUBTOTAL(3,$B$4:B54)</f>
        <v>0</v>
      </c>
      <c r="B54" s="111">
        <v>690167</v>
      </c>
      <c r="C54" s="112" t="s">
        <v>1008</v>
      </c>
      <c r="D54" s="113" t="s">
        <v>965</v>
      </c>
      <c r="E54" s="160" t="s">
        <v>63</v>
      </c>
      <c r="F54" s="115">
        <f>RANK(G54,MyGrid3[الاساسي])</f>
        <v>33</v>
      </c>
      <c r="G54" s="116">
        <v>1500</v>
      </c>
      <c r="H54" s="161" t="s">
        <v>63</v>
      </c>
      <c r="I54" s="115">
        <f>RANK(J54,MyGrid3[يناير])</f>
        <v>7</v>
      </c>
      <c r="J54" s="141">
        <v>2075</v>
      </c>
      <c r="K54" s="118">
        <f>MyGrid3[[#This Row],[يناير]]/$J$187</f>
        <v>1.4690265486725664</v>
      </c>
      <c r="L54" s="162" t="s">
        <v>63</v>
      </c>
      <c r="M54" s="115">
        <f>RANK(N54,MyGrid3[فبراير])</f>
        <v>7</v>
      </c>
      <c r="N54" s="120">
        <v>2200</v>
      </c>
      <c r="O54" s="121">
        <f>MyGrid3[[#This Row],[فبراير]]/$N$187</f>
        <v>1.5575221238938053</v>
      </c>
      <c r="P54" s="163" t="s">
        <v>63</v>
      </c>
      <c r="Q54" s="115">
        <f>RANK(R54,MyGrid3[مارس])</f>
        <v>20</v>
      </c>
      <c r="R54" s="123">
        <v>1700</v>
      </c>
      <c r="S54" s="118">
        <f>MyGrid3[[#This Row],[مارس]]/$R$187</f>
        <v>1.2035398230088497</v>
      </c>
      <c r="T54" s="162" t="s">
        <v>63</v>
      </c>
      <c r="U54" s="397"/>
      <c r="V54" s="121">
        <f>MyGrid3[[#This Row],[أبريل]]/$U$187</f>
        <v>0</v>
      </c>
      <c r="W54" s="163" t="s">
        <v>63</v>
      </c>
      <c r="X54" s="397"/>
      <c r="Y54" s="118">
        <f>MyGrid3[[#This Row],[مايو]]/$X$187</f>
        <v>0</v>
      </c>
      <c r="Z54" s="162" t="s">
        <v>63</v>
      </c>
      <c r="AA54" s="123"/>
      <c r="AB54" s="121">
        <f>MyGrid3[[#This Row],[يونيو]]/$AA$187</f>
        <v>0</v>
      </c>
      <c r="AC54" s="163" t="s">
        <v>63</v>
      </c>
      <c r="AD54" s="123"/>
      <c r="AE54" s="118">
        <f>MyGrid3[[#This Row],[يوليو]]/$AD$187</f>
        <v>0</v>
      </c>
      <c r="AF54" s="119" t="s">
        <v>63</v>
      </c>
      <c r="AG54" s="144">
        <v>1961.67</v>
      </c>
      <c r="AH54" s="121">
        <f>MyGrid3[[#This Row],[أغسطس]]/$AG$187</f>
        <v>2.4143630769230771</v>
      </c>
      <c r="AI54" s="163" t="s">
        <v>63</v>
      </c>
      <c r="AJ54" s="123">
        <v>2075</v>
      </c>
      <c r="AK54" s="118">
        <f>MyGrid3[[#This Row],[سبتمبر]]/$AJ$187</f>
        <v>2.5538461538461537</v>
      </c>
      <c r="AL54" s="162" t="s">
        <v>63</v>
      </c>
      <c r="AM54" s="123">
        <v>2075</v>
      </c>
      <c r="AN54" s="121">
        <f>MyGrid3[[#This Row],[أكتوبر]]/$AM$187</f>
        <v>2.5538461538461537</v>
      </c>
      <c r="AO54" s="163" t="s">
        <v>63</v>
      </c>
      <c r="AP54" s="123">
        <v>2075</v>
      </c>
      <c r="AQ54" s="125">
        <f>MyGrid3[[#This Row],[نوفمبر]]/$AP$187</f>
        <v>2.5538461538461537</v>
      </c>
      <c r="AR54" s="162" t="s">
        <v>63</v>
      </c>
      <c r="AS54" s="391">
        <v>2075</v>
      </c>
      <c r="AT54" s="121">
        <f>MyGrid3[[#This Row],[ديسمبر]]/$AS$187</f>
        <v>2.5538461538461537</v>
      </c>
      <c r="AU54" s="126">
        <f t="shared" si="0"/>
        <v>16236.67</v>
      </c>
      <c r="AV54" s="127">
        <f>MyGrid3[[#This Row],[الإجمالي]]/$AU$187</f>
        <v>1.3356632714338126</v>
      </c>
    </row>
    <row r="55" spans="1:48" s="128" customFormat="1" ht="33" hidden="1" customHeight="1">
      <c r="A55" s="110">
        <f>SUBTOTAL(3,$B$4:B55)</f>
        <v>0</v>
      </c>
      <c r="B55" s="111">
        <v>690168</v>
      </c>
      <c r="C55" s="112" t="s">
        <v>1009</v>
      </c>
      <c r="D55" s="113" t="s">
        <v>965</v>
      </c>
      <c r="E55" s="160" t="s">
        <v>63</v>
      </c>
      <c r="F55" s="115">
        <f>RANK(G55,MyGrid3[الاساسي])</f>
        <v>49</v>
      </c>
      <c r="G55" s="116">
        <v>1000</v>
      </c>
      <c r="H55" s="161" t="s">
        <v>63</v>
      </c>
      <c r="I55" s="115">
        <f>RANK(J55,MyGrid3[يناير])</f>
        <v>81</v>
      </c>
      <c r="J55" s="117">
        <v>0</v>
      </c>
      <c r="K55" s="118">
        <f>MyGrid3[[#This Row],[يناير]]/$J$187</f>
        <v>0</v>
      </c>
      <c r="L55" s="162" t="s">
        <v>63</v>
      </c>
      <c r="M55" s="115">
        <f>RANK(N55,MyGrid3[فبراير])</f>
        <v>48</v>
      </c>
      <c r="N55" s="120">
        <v>833.34</v>
      </c>
      <c r="O55" s="121">
        <f>MyGrid3[[#This Row],[فبراير]]/$N$187</f>
        <v>0.58997522123893809</v>
      </c>
      <c r="P55" s="163" t="s">
        <v>63</v>
      </c>
      <c r="Q55" s="115">
        <f>RANK(R55,MyGrid3[مارس])</f>
        <v>47</v>
      </c>
      <c r="R55" s="123">
        <v>1166.67</v>
      </c>
      <c r="S55" s="118">
        <f>MyGrid3[[#This Row],[مارس]]/$R$187</f>
        <v>0.82596106194690266</v>
      </c>
      <c r="T55" s="162" t="s">
        <v>63</v>
      </c>
      <c r="U55" s="397">
        <v>1166.67</v>
      </c>
      <c r="V55" s="121">
        <f>MyGrid3[[#This Row],[أبريل]]/$U$187</f>
        <v>0.82596106194690266</v>
      </c>
      <c r="W55" s="163" t="s">
        <v>63</v>
      </c>
      <c r="X55" s="138">
        <v>1333.33</v>
      </c>
      <c r="Y55" s="118">
        <f>MyGrid3[[#This Row],[مايو]]/$X$187</f>
        <v>0.94255579355148844</v>
      </c>
      <c r="Z55" s="162" t="s">
        <v>63</v>
      </c>
      <c r="AA55" s="123">
        <v>1333.33</v>
      </c>
      <c r="AB55" s="121">
        <f>MyGrid3[[#This Row],[يونيو]]/$AA$187</f>
        <v>6.1537360963677479</v>
      </c>
      <c r="AC55" s="163" t="s">
        <v>63</v>
      </c>
      <c r="AD55" s="123">
        <v>1250</v>
      </c>
      <c r="AE55" s="118">
        <f>MyGrid3[[#This Row],[يوليو]]/$AD$187</f>
        <v>1.5384615384615385</v>
      </c>
      <c r="AF55" s="119" t="s">
        <v>63</v>
      </c>
      <c r="AG55" s="124">
        <v>1250</v>
      </c>
      <c r="AH55" s="121">
        <f>MyGrid3[[#This Row],[أغسطس]]/$AG$187</f>
        <v>1.5384615384615385</v>
      </c>
      <c r="AI55" s="163" t="s">
        <v>63</v>
      </c>
      <c r="AJ55" s="123">
        <v>1250</v>
      </c>
      <c r="AK55" s="118">
        <f>MyGrid3[[#This Row],[سبتمبر]]/$AJ$187</f>
        <v>1.5384615384615385</v>
      </c>
      <c r="AL55" s="162" t="s">
        <v>63</v>
      </c>
      <c r="AM55" s="123">
        <v>1250</v>
      </c>
      <c r="AN55" s="121">
        <f>MyGrid3[[#This Row],[أكتوبر]]/$AM$187</f>
        <v>1.5384615384615385</v>
      </c>
      <c r="AO55" s="163" t="s">
        <v>63</v>
      </c>
      <c r="AP55" s="123">
        <v>1250</v>
      </c>
      <c r="AQ55" s="125">
        <f>MyGrid3[[#This Row],[نوفمبر]]/$AP$187</f>
        <v>1.5384615384615385</v>
      </c>
      <c r="AR55" s="162" t="s">
        <v>63</v>
      </c>
      <c r="AS55" s="391">
        <v>1250</v>
      </c>
      <c r="AT55" s="121">
        <f>MyGrid3[[#This Row],[ديسمبر]]/$AS$187</f>
        <v>1.5384615384615385</v>
      </c>
      <c r="AU55" s="126">
        <f t="shared" si="0"/>
        <v>13333.34</v>
      </c>
      <c r="AV55" s="127">
        <f>MyGrid3[[#This Row],[الإجمالي]]/$AU$187</f>
        <v>1.0968291234310552</v>
      </c>
    </row>
    <row r="56" spans="1:48" s="128" customFormat="1" ht="33" hidden="1" customHeight="1">
      <c r="A56" s="110">
        <f>SUBTOTAL(3,$B$4:B56)</f>
        <v>0</v>
      </c>
      <c r="B56" s="111">
        <v>690169</v>
      </c>
      <c r="C56" s="112" t="s">
        <v>1010</v>
      </c>
      <c r="D56" s="113" t="s">
        <v>965</v>
      </c>
      <c r="E56" s="160" t="s">
        <v>63</v>
      </c>
      <c r="F56" s="115">
        <f>RANK(G56,MyGrid3[الاساسي])</f>
        <v>64</v>
      </c>
      <c r="G56" s="116">
        <v>950</v>
      </c>
      <c r="H56" s="161" t="s">
        <v>63</v>
      </c>
      <c r="I56" s="115">
        <f>RANK(J56,MyGrid3[يناير])</f>
        <v>34</v>
      </c>
      <c r="J56" s="141">
        <v>1187.5</v>
      </c>
      <c r="K56" s="118">
        <f>MyGrid3[[#This Row],[يناير]]/$J$187</f>
        <v>0.84070796460176989</v>
      </c>
      <c r="L56" s="162" t="s">
        <v>63</v>
      </c>
      <c r="M56" s="115">
        <f>RANK(N56,MyGrid3[فبراير])</f>
        <v>37</v>
      </c>
      <c r="N56" s="120">
        <v>1187.5</v>
      </c>
      <c r="O56" s="121">
        <f>MyGrid3[[#This Row],[فبراير]]/$N$187</f>
        <v>0.84070796460176989</v>
      </c>
      <c r="P56" s="163" t="s">
        <v>63</v>
      </c>
      <c r="Q56" s="115">
        <f>RANK(R56,MyGrid3[مارس])</f>
        <v>46</v>
      </c>
      <c r="R56" s="123">
        <v>1187.5</v>
      </c>
      <c r="S56" s="118">
        <f>MyGrid3[[#This Row],[مارس]]/$R$187</f>
        <v>0.84070796460176989</v>
      </c>
      <c r="T56" s="162" t="s">
        <v>63</v>
      </c>
      <c r="U56" s="397">
        <v>1237.5</v>
      </c>
      <c r="V56" s="121">
        <f>MyGrid3[[#This Row],[أبريل]]/$U$187</f>
        <v>0.87610619469026552</v>
      </c>
      <c r="W56" s="163" t="s">
        <v>63</v>
      </c>
      <c r="X56" s="397">
        <v>1316.67</v>
      </c>
      <c r="Y56" s="118">
        <f>MyGrid3[[#This Row],[مايو]]/$X$187</f>
        <v>0.93077852946790252</v>
      </c>
      <c r="Z56" s="162" t="s">
        <v>63</v>
      </c>
      <c r="AA56" s="123">
        <v>1316.67</v>
      </c>
      <c r="AB56" s="121">
        <f>MyGrid3[[#This Row],[يونيو]]/$AA$187</f>
        <v>6.0768449716158219</v>
      </c>
      <c r="AC56" s="163" t="s">
        <v>63</v>
      </c>
      <c r="AD56" s="123">
        <v>1237.5</v>
      </c>
      <c r="AE56" s="118">
        <f>MyGrid3[[#This Row],[يوليو]]/$AD$187</f>
        <v>1.523076923076923</v>
      </c>
      <c r="AF56" s="119" t="s">
        <v>63</v>
      </c>
      <c r="AG56" s="144">
        <v>1237.5</v>
      </c>
      <c r="AH56" s="121">
        <f>MyGrid3[[#This Row],[أغسطس]]/$AG$187</f>
        <v>1.523076923076923</v>
      </c>
      <c r="AI56" s="163" t="s">
        <v>63</v>
      </c>
      <c r="AJ56" s="123">
        <v>1237.5</v>
      </c>
      <c r="AK56" s="118">
        <f>MyGrid3[[#This Row],[سبتمبر]]/$AJ$187</f>
        <v>1.523076923076923</v>
      </c>
      <c r="AL56" s="162" t="s">
        <v>63</v>
      </c>
      <c r="AM56" s="123">
        <v>1237.5</v>
      </c>
      <c r="AN56" s="121">
        <f>MyGrid3[[#This Row],[أكتوبر]]/$AM$187</f>
        <v>1.523076923076923</v>
      </c>
      <c r="AO56" s="163" t="s">
        <v>63</v>
      </c>
      <c r="AP56" s="123">
        <v>1237.5</v>
      </c>
      <c r="AQ56" s="125">
        <f>MyGrid3[[#This Row],[نوفمبر]]/$AP$187</f>
        <v>1.523076923076923</v>
      </c>
      <c r="AR56" s="162" t="s">
        <v>63</v>
      </c>
      <c r="AS56" s="391">
        <v>1237.5</v>
      </c>
      <c r="AT56" s="121">
        <f>MyGrid3[[#This Row],[ديسمبر]]/$AS$187</f>
        <v>1.523076923076923</v>
      </c>
      <c r="AU56" s="126">
        <f t="shared" si="0"/>
        <v>14858.34</v>
      </c>
      <c r="AV56" s="127">
        <f>MyGrid3[[#This Row],[الإجمالي]]/$AU$187</f>
        <v>1.222278891698598</v>
      </c>
    </row>
    <row r="57" spans="1:48" s="128" customFormat="1" ht="33" hidden="1" customHeight="1">
      <c r="A57" s="110">
        <f>SUBTOTAL(3,$B$4:B57)</f>
        <v>0</v>
      </c>
      <c r="B57" s="111">
        <v>690170</v>
      </c>
      <c r="C57" s="112" t="s">
        <v>1011</v>
      </c>
      <c r="D57" s="113" t="s">
        <v>965</v>
      </c>
      <c r="E57" s="160" t="s">
        <v>64</v>
      </c>
      <c r="F57" s="115">
        <f>RANK(G57,MyGrid3[الاساسي])</f>
        <v>101</v>
      </c>
      <c r="G57" s="116">
        <v>750</v>
      </c>
      <c r="H57" s="114" t="s">
        <v>64</v>
      </c>
      <c r="I57" s="115">
        <f>RANK(J57,MyGrid3[يناير])</f>
        <v>35</v>
      </c>
      <c r="J57" s="141">
        <v>1125</v>
      </c>
      <c r="K57" s="118">
        <f>MyGrid3[[#This Row],[يناير]]/$J$187</f>
        <v>0.79646017699115046</v>
      </c>
      <c r="L57" s="119" t="s">
        <v>64</v>
      </c>
      <c r="M57" s="115">
        <f>RANK(N57,MyGrid3[فبراير])</f>
        <v>38</v>
      </c>
      <c r="N57" s="120">
        <v>1125</v>
      </c>
      <c r="O57" s="121">
        <f>MyGrid3[[#This Row],[فبراير]]/$N$187</f>
        <v>0.79646017699115046</v>
      </c>
      <c r="P57" s="122" t="s">
        <v>64</v>
      </c>
      <c r="Q57" s="115">
        <f>RANK(R57,MyGrid3[مارس])</f>
        <v>48</v>
      </c>
      <c r="R57" s="123">
        <v>1125</v>
      </c>
      <c r="S57" s="118">
        <f>MyGrid3[[#This Row],[مارس]]/$R$187</f>
        <v>0.79646017699115046</v>
      </c>
      <c r="T57" s="119" t="s">
        <v>64</v>
      </c>
      <c r="U57" s="397">
        <v>1375</v>
      </c>
      <c r="V57" s="121">
        <f>MyGrid3[[#This Row],[أبريل]]/$U$187</f>
        <v>0.97345132743362828</v>
      </c>
      <c r="W57" s="122" t="s">
        <v>64</v>
      </c>
      <c r="X57" s="397">
        <v>1343.75</v>
      </c>
      <c r="Y57" s="118">
        <f>MyGrid3[[#This Row],[مايو]]/$X$187</f>
        <v>0.94992188549332324</v>
      </c>
      <c r="Z57" s="119" t="s">
        <v>64</v>
      </c>
      <c r="AA57" s="123">
        <v>1375</v>
      </c>
      <c r="AB57" s="121">
        <f>MyGrid3[[#This Row],[يونيو]]/$AA$187</f>
        <v>6.346056214519777</v>
      </c>
      <c r="AC57" s="122" t="s">
        <v>64</v>
      </c>
      <c r="AD57" s="123">
        <v>1187.5</v>
      </c>
      <c r="AE57" s="118">
        <f>MyGrid3[[#This Row],[يوليو]]/$AD$187</f>
        <v>1.4615384615384615</v>
      </c>
      <c r="AF57" s="139" t="s">
        <v>64</v>
      </c>
      <c r="AG57" s="144">
        <v>1187.5</v>
      </c>
      <c r="AH57" s="121">
        <f>MyGrid3[[#This Row],[أغسطس]]/$AG$187</f>
        <v>1.4615384615384615</v>
      </c>
      <c r="AI57" s="122" t="s">
        <v>64</v>
      </c>
      <c r="AJ57" s="123">
        <v>1187.5</v>
      </c>
      <c r="AK57" s="118">
        <f>MyGrid3[[#This Row],[سبتمبر]]/$AJ$187</f>
        <v>1.4615384615384615</v>
      </c>
      <c r="AL57" s="119" t="s">
        <v>64</v>
      </c>
      <c r="AM57" s="123">
        <v>1187.5</v>
      </c>
      <c r="AN57" s="121">
        <f>MyGrid3[[#This Row],[أكتوبر]]/$AM$187</f>
        <v>1.4615384615384615</v>
      </c>
      <c r="AO57" s="122" t="s">
        <v>64</v>
      </c>
      <c r="AP57" s="123">
        <v>1187.5</v>
      </c>
      <c r="AQ57" s="125">
        <f>MyGrid3[[#This Row],[نوفمبر]]/$AP$187</f>
        <v>1.4615384615384615</v>
      </c>
      <c r="AR57" s="119" t="s">
        <v>64</v>
      </c>
      <c r="AS57" s="391">
        <v>1187.5</v>
      </c>
      <c r="AT57" s="121">
        <f>MyGrid3[[#This Row],[ديسمبر]]/$AS$187</f>
        <v>1.4615384615384615</v>
      </c>
      <c r="AU57" s="126">
        <f t="shared" si="0"/>
        <v>14593.75</v>
      </c>
      <c r="AV57" s="127">
        <f>MyGrid3[[#This Row],[الإجمالي]]/$AU$187</f>
        <v>1.2005131512488216</v>
      </c>
    </row>
    <row r="58" spans="1:48" s="128" customFormat="1" ht="33" hidden="1" customHeight="1">
      <c r="A58" s="110">
        <f>SUBTOTAL(3,$B$4:B58)</f>
        <v>0</v>
      </c>
      <c r="B58" s="111">
        <v>690171</v>
      </c>
      <c r="C58" s="112" t="s">
        <v>1012</v>
      </c>
      <c r="D58" s="113" t="s">
        <v>965</v>
      </c>
      <c r="E58" s="160" t="s">
        <v>1007</v>
      </c>
      <c r="F58" s="115">
        <f>RANK(G58,MyGrid3[الاساسي])</f>
        <v>102</v>
      </c>
      <c r="G58" s="116">
        <v>700</v>
      </c>
      <c r="H58" s="157" t="s">
        <v>1007</v>
      </c>
      <c r="I58" s="115">
        <f>RANK(J58,MyGrid3[يناير])</f>
        <v>81</v>
      </c>
      <c r="J58" s="117">
        <v>0</v>
      </c>
      <c r="K58" s="118">
        <f>MyGrid3[[#This Row],[يناير]]/$J$187</f>
        <v>0</v>
      </c>
      <c r="L58" s="158" t="s">
        <v>1007</v>
      </c>
      <c r="M58" s="115">
        <f>RANK(N58,MyGrid3[فبراير])</f>
        <v>101</v>
      </c>
      <c r="N58" s="134">
        <v>0</v>
      </c>
      <c r="O58" s="121">
        <f>MyGrid3[[#This Row],[فبراير]]/$N$187</f>
        <v>0</v>
      </c>
      <c r="P58" s="159" t="s">
        <v>1007</v>
      </c>
      <c r="Q58" s="115">
        <f>RANK(R58,MyGrid3[مارس])</f>
        <v>110</v>
      </c>
      <c r="R58" s="123">
        <v>0</v>
      </c>
      <c r="S58" s="118">
        <f>MyGrid3[[#This Row],[مارس]]/$R$187</f>
        <v>0</v>
      </c>
      <c r="T58" s="158" t="s">
        <v>1007</v>
      </c>
      <c r="U58" s="397"/>
      <c r="V58" s="121">
        <f>MyGrid3[[#This Row],[أبريل]]/$U$187</f>
        <v>0</v>
      </c>
      <c r="W58" s="159" t="s">
        <v>1007</v>
      </c>
      <c r="X58" s="397">
        <v>975</v>
      </c>
      <c r="Y58" s="118">
        <f>MyGrid3[[#This Row],[مايو]]/$X$187</f>
        <v>0.68924564714864378</v>
      </c>
      <c r="Z58" s="158" t="s">
        <v>1007</v>
      </c>
      <c r="AA58" s="123">
        <v>975</v>
      </c>
      <c r="AB58" s="121">
        <f>MyGrid3[[#This Row],[يونيو]]/$AA$187</f>
        <v>4.4999307702958422</v>
      </c>
      <c r="AC58" s="159" t="s">
        <v>1007</v>
      </c>
      <c r="AD58" s="123">
        <v>975</v>
      </c>
      <c r="AE58" s="118">
        <f>MyGrid3[[#This Row],[يوليو]]/$AD$187</f>
        <v>1.2</v>
      </c>
      <c r="AF58" s="119" t="s">
        <v>1007</v>
      </c>
      <c r="AG58" s="124">
        <v>975</v>
      </c>
      <c r="AH58" s="121">
        <f>MyGrid3[[#This Row],[أغسطس]]/$AG$187</f>
        <v>1.2</v>
      </c>
      <c r="AI58" s="159" t="s">
        <v>1007</v>
      </c>
      <c r="AJ58" s="123">
        <v>975</v>
      </c>
      <c r="AK58" s="118">
        <f>MyGrid3[[#This Row],[سبتمبر]]/$AJ$187</f>
        <v>1.2</v>
      </c>
      <c r="AL58" s="158" t="s">
        <v>1007</v>
      </c>
      <c r="AM58" s="123">
        <v>975</v>
      </c>
      <c r="AN58" s="121">
        <f>MyGrid3[[#This Row],[أكتوبر]]/$AM$187</f>
        <v>1.2</v>
      </c>
      <c r="AO58" s="159" t="s">
        <v>1007</v>
      </c>
      <c r="AP58" s="123">
        <v>975</v>
      </c>
      <c r="AQ58" s="125">
        <f>MyGrid3[[#This Row],[نوفمبر]]/$AP$187</f>
        <v>1.2</v>
      </c>
      <c r="AR58" s="158" t="s">
        <v>1007</v>
      </c>
      <c r="AS58" s="391">
        <v>975</v>
      </c>
      <c r="AT58" s="121">
        <f>MyGrid3[[#This Row],[ديسمبر]]/$AS$187</f>
        <v>1.2</v>
      </c>
      <c r="AU58" s="126">
        <f t="shared" si="0"/>
        <v>7800</v>
      </c>
      <c r="AV58" s="127">
        <f>MyGrid3[[#This Row],[الإجمالي]]/$AU$187</f>
        <v>0.64164471638480913</v>
      </c>
    </row>
    <row r="59" spans="1:48" s="128" customFormat="1" ht="33" hidden="1" customHeight="1">
      <c r="A59" s="110">
        <f>SUBTOTAL(3,$B$4:B59)</f>
        <v>0</v>
      </c>
      <c r="B59" s="111">
        <v>690172</v>
      </c>
      <c r="C59" s="112" t="s">
        <v>1013</v>
      </c>
      <c r="D59" s="113" t="s">
        <v>965</v>
      </c>
      <c r="E59" s="164" t="s">
        <v>1014</v>
      </c>
      <c r="F59" s="115">
        <f>RANK(G59,MyGrid3[الاساسي])</f>
        <v>77</v>
      </c>
      <c r="G59" s="116">
        <v>800</v>
      </c>
      <c r="H59" s="165" t="s">
        <v>1014</v>
      </c>
      <c r="I59" s="115">
        <f>RANK(J59,MyGrid3[يناير])</f>
        <v>81</v>
      </c>
      <c r="J59" s="117">
        <v>0</v>
      </c>
      <c r="K59" s="118">
        <f>MyGrid3[[#This Row],[يناير]]/$J$187</f>
        <v>0</v>
      </c>
      <c r="L59" s="166" t="s">
        <v>1014</v>
      </c>
      <c r="M59" s="115">
        <f>RANK(N59,MyGrid3[فبراير])</f>
        <v>36</v>
      </c>
      <c r="N59" s="167">
        <v>1200</v>
      </c>
      <c r="O59" s="121">
        <f>MyGrid3[[#This Row],[فبراير]]/$N$187</f>
        <v>0.84955752212389379</v>
      </c>
      <c r="P59" s="168" t="s">
        <v>1014</v>
      </c>
      <c r="Q59" s="115">
        <f>RANK(R59,MyGrid3[مارس])</f>
        <v>45</v>
      </c>
      <c r="R59" s="123">
        <v>1200</v>
      </c>
      <c r="S59" s="118">
        <f>MyGrid3[[#This Row],[مارس]]/$R$187</f>
        <v>0.84955752212389379</v>
      </c>
      <c r="T59" s="166" t="s">
        <v>1014</v>
      </c>
      <c r="U59" s="397">
        <v>1200</v>
      </c>
      <c r="V59" s="121">
        <f>MyGrid3[[#This Row],[أبريل]]/$U$187</f>
        <v>0.84955752212389379</v>
      </c>
      <c r="W59" s="168" t="s">
        <v>1014</v>
      </c>
      <c r="X59" s="138">
        <v>1266.67</v>
      </c>
      <c r="Y59" s="118">
        <f>MyGrid3[[#This Row],[مايو]]/$X$187</f>
        <v>0.89543259884489512</v>
      </c>
      <c r="Z59" s="166" t="s">
        <v>1014</v>
      </c>
      <c r="AA59" s="123">
        <v>1266.67</v>
      </c>
      <c r="AB59" s="121">
        <f>MyGrid3[[#This Row],[يونيو]]/$AA$187</f>
        <v>5.8460792910878299</v>
      </c>
      <c r="AC59" s="168" t="s">
        <v>1014</v>
      </c>
      <c r="AD59" s="123">
        <v>1200</v>
      </c>
      <c r="AE59" s="118">
        <f>MyGrid3[[#This Row],[يوليو]]/$AD$187</f>
        <v>1.476923076923077</v>
      </c>
      <c r="AF59" s="119" t="s">
        <v>1014</v>
      </c>
      <c r="AG59" s="124">
        <v>1200</v>
      </c>
      <c r="AH59" s="121">
        <f>MyGrid3[[#This Row],[أغسطس]]/$AG$187</f>
        <v>1.476923076923077</v>
      </c>
      <c r="AI59" s="168" t="s">
        <v>1014</v>
      </c>
      <c r="AJ59" s="123">
        <v>1200</v>
      </c>
      <c r="AK59" s="118">
        <f>MyGrid3[[#This Row],[سبتمبر]]/$AJ$187</f>
        <v>1.476923076923077</v>
      </c>
      <c r="AL59" s="166" t="s">
        <v>1014</v>
      </c>
      <c r="AM59" s="123">
        <v>1200</v>
      </c>
      <c r="AN59" s="121">
        <f>MyGrid3[[#This Row],[أكتوبر]]/$AM$187</f>
        <v>1.476923076923077</v>
      </c>
      <c r="AO59" s="168" t="s">
        <v>1014</v>
      </c>
      <c r="AP59" s="123">
        <v>1200</v>
      </c>
      <c r="AQ59" s="125">
        <f>MyGrid3[[#This Row],[نوفمبر]]/$AP$187</f>
        <v>1.476923076923077</v>
      </c>
      <c r="AR59" s="166" t="s">
        <v>1014</v>
      </c>
      <c r="AS59" s="391">
        <v>1200</v>
      </c>
      <c r="AT59" s="121">
        <f>MyGrid3[[#This Row],[ديسمبر]]/$AS$187</f>
        <v>1.476923076923077</v>
      </c>
      <c r="AU59" s="126">
        <f t="shared" si="0"/>
        <v>13333.34</v>
      </c>
      <c r="AV59" s="127">
        <f>MyGrid3[[#This Row],[الإجمالي]]/$AU$187</f>
        <v>1.0968291234310552</v>
      </c>
    </row>
    <row r="60" spans="1:48" s="128" customFormat="1" ht="33" hidden="1" customHeight="1">
      <c r="A60" s="110">
        <f>SUBTOTAL(3,$B$4:B60)</f>
        <v>0</v>
      </c>
      <c r="B60" s="111">
        <v>690173</v>
      </c>
      <c r="C60" s="112" t="s">
        <v>1015</v>
      </c>
      <c r="D60" s="113" t="s">
        <v>965</v>
      </c>
      <c r="E60" s="164" t="s">
        <v>63</v>
      </c>
      <c r="F60" s="115">
        <f>RANK(G60,MyGrid3[الاساسي])</f>
        <v>65</v>
      </c>
      <c r="G60" s="116">
        <v>900</v>
      </c>
      <c r="H60" s="161" t="s">
        <v>63</v>
      </c>
      <c r="I60" s="115">
        <f>RANK(J60,MyGrid3[يناير])</f>
        <v>35</v>
      </c>
      <c r="J60" s="141">
        <v>1125</v>
      </c>
      <c r="K60" s="118">
        <f>MyGrid3[[#This Row],[يناير]]/$J$187</f>
        <v>0.79646017699115046</v>
      </c>
      <c r="L60" s="162" t="s">
        <v>63</v>
      </c>
      <c r="M60" s="115">
        <f>RANK(N60,MyGrid3[فبراير])</f>
        <v>38</v>
      </c>
      <c r="N60" s="120">
        <v>1125</v>
      </c>
      <c r="O60" s="121">
        <f>MyGrid3[[#This Row],[فبراير]]/$N$187</f>
        <v>0.79646017699115046</v>
      </c>
      <c r="P60" s="163" t="s">
        <v>63</v>
      </c>
      <c r="Q60" s="115">
        <f>RANK(R60,MyGrid3[مارس])</f>
        <v>48</v>
      </c>
      <c r="R60" s="123">
        <v>1125</v>
      </c>
      <c r="S60" s="118">
        <f>MyGrid3[[#This Row],[مارس]]/$R$187</f>
        <v>0.79646017699115046</v>
      </c>
      <c r="T60" s="162" t="s">
        <v>63</v>
      </c>
      <c r="U60" s="397">
        <v>1225</v>
      </c>
      <c r="V60" s="121">
        <f>MyGrid3[[#This Row],[أبريل]]/$U$187</f>
        <v>0.86725663716814161</v>
      </c>
      <c r="W60" s="163" t="s">
        <v>63</v>
      </c>
      <c r="X60" s="397">
        <v>1300</v>
      </c>
      <c r="Y60" s="118">
        <f>MyGrid3[[#This Row],[مايو]]/$X$187</f>
        <v>0.91899419619819178</v>
      </c>
      <c r="Z60" s="162" t="s">
        <v>63</v>
      </c>
      <c r="AA60" s="123">
        <v>1300</v>
      </c>
      <c r="AB60" s="121">
        <f>MyGrid3[[#This Row],[يونيو]]/$AA$187</f>
        <v>5.9999076937277893</v>
      </c>
      <c r="AC60" s="163" t="s">
        <v>63</v>
      </c>
      <c r="AD60" s="123">
        <v>1225</v>
      </c>
      <c r="AE60" s="118">
        <f>MyGrid3[[#This Row],[يوليو]]/$AD$187</f>
        <v>1.5076923076923077</v>
      </c>
      <c r="AF60" s="119" t="s">
        <v>63</v>
      </c>
      <c r="AG60" s="144">
        <v>1225</v>
      </c>
      <c r="AH60" s="121">
        <f>MyGrid3[[#This Row],[أغسطس]]/$AG$187</f>
        <v>1.5076923076923077</v>
      </c>
      <c r="AI60" s="163" t="s">
        <v>63</v>
      </c>
      <c r="AJ60" s="123">
        <v>1225</v>
      </c>
      <c r="AK60" s="118">
        <f>MyGrid3[[#This Row],[سبتمبر]]/$AJ$187</f>
        <v>1.5076923076923077</v>
      </c>
      <c r="AL60" s="162" t="s">
        <v>63</v>
      </c>
      <c r="AM60" s="123">
        <v>1225</v>
      </c>
      <c r="AN60" s="121">
        <f>MyGrid3[[#This Row],[أكتوبر]]/$AM$187</f>
        <v>1.5076923076923077</v>
      </c>
      <c r="AO60" s="163" t="s">
        <v>63</v>
      </c>
      <c r="AP60" s="123">
        <v>1225</v>
      </c>
      <c r="AQ60" s="125">
        <f>MyGrid3[[#This Row],[نوفمبر]]/$AP$187</f>
        <v>1.5076923076923077</v>
      </c>
      <c r="AR60" s="162" t="s">
        <v>63</v>
      </c>
      <c r="AS60" s="391">
        <v>1225</v>
      </c>
      <c r="AT60" s="121">
        <f>MyGrid3[[#This Row],[ديسمبر]]/$AS$187</f>
        <v>1.5076923076923077</v>
      </c>
      <c r="AU60" s="126">
        <f t="shared" si="0"/>
        <v>14550</v>
      </c>
      <c r="AV60" s="127">
        <f>MyGrid3[[#This Row],[الإجمالي]]/$AU$187</f>
        <v>1.1969141824870477</v>
      </c>
    </row>
    <row r="61" spans="1:48" s="128" customFormat="1" ht="33" hidden="1" customHeight="1">
      <c r="A61" s="110">
        <f>SUBTOTAL(3,$B$4:B61)</f>
        <v>0</v>
      </c>
      <c r="B61" s="111">
        <v>690174</v>
      </c>
      <c r="C61" s="112" t="s">
        <v>1016</v>
      </c>
      <c r="D61" s="113" t="s">
        <v>965</v>
      </c>
      <c r="E61" s="164" t="s">
        <v>64</v>
      </c>
      <c r="F61" s="115">
        <f>RANK(G61,MyGrid3[الاساسي])</f>
        <v>65</v>
      </c>
      <c r="G61" s="116">
        <v>900</v>
      </c>
      <c r="H61" s="114" t="s">
        <v>64</v>
      </c>
      <c r="I61" s="115">
        <f>RANK(J61,MyGrid3[يناير])</f>
        <v>81</v>
      </c>
      <c r="J61" s="117">
        <v>0</v>
      </c>
      <c r="K61" s="118">
        <f>MyGrid3[[#This Row],[يناير]]/$J$187</f>
        <v>0</v>
      </c>
      <c r="L61" s="119" t="s">
        <v>64</v>
      </c>
      <c r="M61" s="115">
        <f>RANK(N61,MyGrid3[فبراير])</f>
        <v>64</v>
      </c>
      <c r="N61" s="120">
        <v>780</v>
      </c>
      <c r="O61" s="121">
        <f>MyGrid3[[#This Row],[فبراير]]/$N$187</f>
        <v>0.55221238938053097</v>
      </c>
      <c r="P61" s="122" t="s">
        <v>64</v>
      </c>
      <c r="Q61" s="115">
        <f>RANK(R61,MyGrid3[مارس])</f>
        <v>53</v>
      </c>
      <c r="R61" s="123">
        <v>1050</v>
      </c>
      <c r="S61" s="118">
        <f>MyGrid3[[#This Row],[مارس]]/$R$187</f>
        <v>0.74336283185840712</v>
      </c>
      <c r="T61" s="119" t="s">
        <v>64</v>
      </c>
      <c r="U61" s="397">
        <v>1050</v>
      </c>
      <c r="V61" s="121">
        <f>MyGrid3[[#This Row],[أبريل]]/$U$187</f>
        <v>0.74336283185840712</v>
      </c>
      <c r="W61" s="122" t="s">
        <v>64</v>
      </c>
      <c r="X61" s="397">
        <v>1200</v>
      </c>
      <c r="Y61" s="118">
        <f>MyGrid3[[#This Row],[مايو]]/$X$187</f>
        <v>0.848302334952177</v>
      </c>
      <c r="Z61" s="119" t="s">
        <v>64</v>
      </c>
      <c r="AA61" s="123">
        <v>1200</v>
      </c>
      <c r="AB61" s="121">
        <f>MyGrid3[[#This Row],[يونيو]]/$AA$187</f>
        <v>5.5383763326718052</v>
      </c>
      <c r="AC61" s="122" t="s">
        <v>64</v>
      </c>
      <c r="AD61" s="123">
        <v>1125</v>
      </c>
      <c r="AE61" s="118">
        <f>MyGrid3[[#This Row],[يوليو]]/$AD$187</f>
        <v>1.3846153846153846</v>
      </c>
      <c r="AF61" s="139" t="s">
        <v>64</v>
      </c>
      <c r="AG61" s="124">
        <v>1125</v>
      </c>
      <c r="AH61" s="121">
        <f>MyGrid3[[#This Row],[أغسطس]]/$AG$187</f>
        <v>1.3846153846153846</v>
      </c>
      <c r="AI61" s="122" t="s">
        <v>64</v>
      </c>
      <c r="AJ61" s="123">
        <v>1125</v>
      </c>
      <c r="AK61" s="118">
        <f>MyGrid3[[#This Row],[سبتمبر]]/$AJ$187</f>
        <v>1.3846153846153846</v>
      </c>
      <c r="AL61" s="119" t="s">
        <v>64</v>
      </c>
      <c r="AM61" s="123">
        <v>1125</v>
      </c>
      <c r="AN61" s="121">
        <f>MyGrid3[[#This Row],[أكتوبر]]/$AM$187</f>
        <v>1.3846153846153846</v>
      </c>
      <c r="AO61" s="122" t="s">
        <v>64</v>
      </c>
      <c r="AP61" s="123">
        <v>1125</v>
      </c>
      <c r="AQ61" s="125">
        <f>MyGrid3[[#This Row],[نوفمبر]]/$AP$187</f>
        <v>1.3846153846153846</v>
      </c>
      <c r="AR61" s="119" t="s">
        <v>64</v>
      </c>
      <c r="AS61" s="391">
        <v>1125</v>
      </c>
      <c r="AT61" s="121">
        <f>MyGrid3[[#This Row],[ديسمبر]]/$AS$187</f>
        <v>1.3846153846153846</v>
      </c>
      <c r="AU61" s="126">
        <f t="shared" si="0"/>
        <v>12030</v>
      </c>
      <c r="AV61" s="127">
        <f>MyGrid3[[#This Row],[الإجمالي]]/$AU$187</f>
        <v>0.98961358180887871</v>
      </c>
    </row>
    <row r="62" spans="1:48" s="128" customFormat="1" ht="33" hidden="1" customHeight="1">
      <c r="A62" s="110">
        <f>SUBTOTAL(3,$B$4:B62)</f>
        <v>0</v>
      </c>
      <c r="B62" s="111">
        <v>690175</v>
      </c>
      <c r="C62" s="112" t="s">
        <v>1017</v>
      </c>
      <c r="D62" s="113" t="s">
        <v>969</v>
      </c>
      <c r="E62" s="164" t="s">
        <v>63</v>
      </c>
      <c r="F62" s="115">
        <f>RANK(G62,MyGrid3[الاساسي])</f>
        <v>65</v>
      </c>
      <c r="G62" s="116">
        <v>900</v>
      </c>
      <c r="H62" s="161" t="s">
        <v>63</v>
      </c>
      <c r="I62" s="115">
        <f>RANK(J62,MyGrid3[يناير])</f>
        <v>35</v>
      </c>
      <c r="J62" s="141">
        <v>1125</v>
      </c>
      <c r="K62" s="118">
        <f>MyGrid3[[#This Row],[يناير]]/$J$187</f>
        <v>0.79646017699115046</v>
      </c>
      <c r="L62" s="162" t="s">
        <v>63</v>
      </c>
      <c r="M62" s="115">
        <f>RANK(N62,MyGrid3[فبراير])</f>
        <v>38</v>
      </c>
      <c r="N62" s="120">
        <v>1125</v>
      </c>
      <c r="O62" s="121">
        <f>MyGrid3[[#This Row],[فبراير]]/$N$187</f>
        <v>0.79646017699115046</v>
      </c>
      <c r="P62" s="163" t="s">
        <v>63</v>
      </c>
      <c r="Q62" s="115">
        <f>RANK(R62,MyGrid3[مارس])</f>
        <v>48</v>
      </c>
      <c r="R62" s="123">
        <v>1125</v>
      </c>
      <c r="S62" s="118">
        <f>MyGrid3[[#This Row],[مارس]]/$R$187</f>
        <v>0.79646017699115046</v>
      </c>
      <c r="T62" s="162" t="s">
        <v>63</v>
      </c>
      <c r="U62" s="397">
        <v>1225</v>
      </c>
      <c r="V62" s="121">
        <f>MyGrid3[[#This Row],[أبريل]]/$U$187</f>
        <v>0.86725663716814161</v>
      </c>
      <c r="W62" s="163" t="s">
        <v>63</v>
      </c>
      <c r="X62" s="397">
        <v>1300</v>
      </c>
      <c r="Y62" s="118">
        <f>MyGrid3[[#This Row],[مايو]]/$X$187</f>
        <v>0.91899419619819178</v>
      </c>
      <c r="Z62" s="162" t="s">
        <v>63</v>
      </c>
      <c r="AA62" s="123">
        <v>1300</v>
      </c>
      <c r="AB62" s="121">
        <f>MyGrid3[[#This Row],[يونيو]]/$AA$187</f>
        <v>5.9999076937277893</v>
      </c>
      <c r="AC62" s="163" t="s">
        <v>63</v>
      </c>
      <c r="AD62" s="123">
        <v>1225</v>
      </c>
      <c r="AE62" s="118">
        <f>MyGrid3[[#This Row],[يوليو]]/$AD$187</f>
        <v>1.5076923076923077</v>
      </c>
      <c r="AF62" s="119" t="s">
        <v>63</v>
      </c>
      <c r="AG62" s="144">
        <v>1225</v>
      </c>
      <c r="AH62" s="121">
        <f>MyGrid3[[#This Row],[أغسطس]]/$AG$187</f>
        <v>1.5076923076923077</v>
      </c>
      <c r="AI62" s="163" t="s">
        <v>63</v>
      </c>
      <c r="AJ62" s="123">
        <v>1225</v>
      </c>
      <c r="AK62" s="118">
        <f>MyGrid3[[#This Row],[سبتمبر]]/$AJ$187</f>
        <v>1.5076923076923077</v>
      </c>
      <c r="AL62" s="162" t="s">
        <v>63</v>
      </c>
      <c r="AM62" s="123">
        <v>1225</v>
      </c>
      <c r="AN62" s="121">
        <f>MyGrid3[[#This Row],[أكتوبر]]/$AM$187</f>
        <v>1.5076923076923077</v>
      </c>
      <c r="AO62" s="163" t="s">
        <v>63</v>
      </c>
      <c r="AP62" s="123">
        <v>1225</v>
      </c>
      <c r="AQ62" s="125">
        <f>MyGrid3[[#This Row],[نوفمبر]]/$AP$187</f>
        <v>1.5076923076923077</v>
      </c>
      <c r="AR62" s="162" t="s">
        <v>63</v>
      </c>
      <c r="AS62" s="391">
        <f>1191.67-30</f>
        <v>1161.67</v>
      </c>
      <c r="AT62" s="121">
        <f>MyGrid3[[#This Row],[ديسمبر]]/$AS$187</f>
        <v>1.4297476923076924</v>
      </c>
      <c r="AU62" s="126">
        <f t="shared" si="0"/>
        <v>14486.67</v>
      </c>
      <c r="AV62" s="127">
        <f>MyGrid3[[#This Row],[الإجمالي]]/$AU$187</f>
        <v>1.1917045209628618</v>
      </c>
    </row>
    <row r="63" spans="1:48" s="128" customFormat="1" ht="33" hidden="1" customHeight="1">
      <c r="A63" s="110">
        <f>SUBTOTAL(3,$B$4:B63)</f>
        <v>0</v>
      </c>
      <c r="B63" s="111">
        <v>690176</v>
      </c>
      <c r="C63" s="112" t="s">
        <v>1018</v>
      </c>
      <c r="D63" s="113" t="s">
        <v>969</v>
      </c>
      <c r="E63" s="164" t="s">
        <v>64</v>
      </c>
      <c r="F63" s="115">
        <f>RANK(G63,MyGrid3[الاساسي])</f>
        <v>49</v>
      </c>
      <c r="G63" s="116">
        <v>1000</v>
      </c>
      <c r="H63" s="114" t="s">
        <v>64</v>
      </c>
      <c r="I63" s="115">
        <f>RANK(J63,MyGrid3[يناير])</f>
        <v>16</v>
      </c>
      <c r="J63" s="141">
        <v>1500</v>
      </c>
      <c r="K63" s="118">
        <f>MyGrid3[[#This Row],[يناير]]/$J$187</f>
        <v>1.0619469026548674</v>
      </c>
      <c r="L63" s="119" t="s">
        <v>64</v>
      </c>
      <c r="M63" s="115">
        <f>RANK(N63,MyGrid3[فبراير])</f>
        <v>19</v>
      </c>
      <c r="N63" s="120">
        <v>1500</v>
      </c>
      <c r="O63" s="121">
        <f>MyGrid3[[#This Row],[فبراير]]/$N$187</f>
        <v>1.0619469026548674</v>
      </c>
      <c r="P63" s="122" t="s">
        <v>64</v>
      </c>
      <c r="Q63" s="115">
        <f>RANK(R63,MyGrid3[مارس])</f>
        <v>28</v>
      </c>
      <c r="R63" s="123">
        <v>1500</v>
      </c>
      <c r="S63" s="118">
        <f>MyGrid3[[#This Row],[مارس]]/$R$187</f>
        <v>1.0619469026548674</v>
      </c>
      <c r="T63" s="119" t="s">
        <v>64</v>
      </c>
      <c r="U63" s="397">
        <v>1500</v>
      </c>
      <c r="V63" s="121">
        <f>MyGrid3[[#This Row],[أبريل]]/$U$187</f>
        <v>1.0619469026548674</v>
      </c>
      <c r="W63" s="122" t="s">
        <v>64</v>
      </c>
      <c r="X63" s="138">
        <v>1458.33</v>
      </c>
      <c r="Y63" s="118">
        <f>MyGrid3[[#This Row],[مايو]]/$X$187</f>
        <v>1.0309206201090069</v>
      </c>
      <c r="Z63" s="119" t="s">
        <v>64</v>
      </c>
      <c r="AA63" s="123">
        <v>1458.33</v>
      </c>
      <c r="AB63" s="121">
        <f>MyGrid3[[#This Row],[يونيو]]/$AA$187</f>
        <v>6.7306502976877276</v>
      </c>
      <c r="AC63" s="122" t="s">
        <v>64</v>
      </c>
      <c r="AD63" s="123">
        <v>1250</v>
      </c>
      <c r="AE63" s="118">
        <f>MyGrid3[[#This Row],[يوليو]]/$AD$187</f>
        <v>1.5384615384615385</v>
      </c>
      <c r="AF63" s="139" t="s">
        <v>64</v>
      </c>
      <c r="AG63" s="144">
        <v>1250</v>
      </c>
      <c r="AH63" s="121">
        <f>MyGrid3[[#This Row],[أغسطس]]/$AG$187</f>
        <v>1.5384615384615385</v>
      </c>
      <c r="AI63" s="122" t="s">
        <v>64</v>
      </c>
      <c r="AJ63" s="123">
        <v>1250</v>
      </c>
      <c r="AK63" s="118">
        <f>MyGrid3[[#This Row],[سبتمبر]]/$AJ$187</f>
        <v>1.5384615384615385</v>
      </c>
      <c r="AL63" s="119" t="s">
        <v>64</v>
      </c>
      <c r="AM63" s="123">
        <v>1237.5</v>
      </c>
      <c r="AN63" s="121">
        <f>MyGrid3[[#This Row],[أكتوبر]]/$AM$187</f>
        <v>1.523076923076923</v>
      </c>
      <c r="AO63" s="122" t="s">
        <v>64</v>
      </c>
      <c r="AP63" s="123">
        <v>1250</v>
      </c>
      <c r="AQ63" s="125">
        <f>MyGrid3[[#This Row],[نوفمبر]]/$AP$187</f>
        <v>1.5384615384615385</v>
      </c>
      <c r="AR63" s="119" t="s">
        <v>64</v>
      </c>
      <c r="AS63" s="391">
        <v>1250</v>
      </c>
      <c r="AT63" s="121">
        <f>MyGrid3[[#This Row],[ديسمبر]]/$AS$187</f>
        <v>1.5384615384615385</v>
      </c>
      <c r="AU63" s="126">
        <f t="shared" si="0"/>
        <v>16404.16</v>
      </c>
      <c r="AV63" s="127">
        <f>MyGrid3[[#This Row],[الإجمالي]]/$AU$187</f>
        <v>1.3494413577860296</v>
      </c>
    </row>
    <row r="64" spans="1:48" s="128" customFormat="1" ht="33" hidden="1" customHeight="1">
      <c r="A64" s="110">
        <f>SUBTOTAL(3,$B$4:B64)</f>
        <v>0</v>
      </c>
      <c r="B64" s="111">
        <v>690177</v>
      </c>
      <c r="C64" s="112" t="s">
        <v>1019</v>
      </c>
      <c r="D64" s="113" t="s">
        <v>969</v>
      </c>
      <c r="E64" s="164" t="s">
        <v>63</v>
      </c>
      <c r="F64" s="115">
        <f>RANK(G64,MyGrid3[الاساسي])</f>
        <v>49</v>
      </c>
      <c r="G64" s="116">
        <v>1000</v>
      </c>
      <c r="H64" s="161" t="s">
        <v>63</v>
      </c>
      <c r="I64" s="115">
        <f>RANK(J64,MyGrid3[يناير])</f>
        <v>29</v>
      </c>
      <c r="J64" s="141">
        <v>1250</v>
      </c>
      <c r="K64" s="118">
        <f>MyGrid3[[#This Row],[يناير]]/$J$187</f>
        <v>0.88495575221238942</v>
      </c>
      <c r="L64" s="162" t="s">
        <v>63</v>
      </c>
      <c r="M64" s="115">
        <f>RANK(N64,MyGrid3[فبراير])</f>
        <v>31</v>
      </c>
      <c r="N64" s="120">
        <v>1250</v>
      </c>
      <c r="O64" s="121">
        <f>MyGrid3[[#This Row],[فبراير]]/$N$187</f>
        <v>0.88495575221238942</v>
      </c>
      <c r="P64" s="163" t="s">
        <v>63</v>
      </c>
      <c r="Q64" s="115">
        <f>RANK(R64,MyGrid3[مارس])</f>
        <v>40</v>
      </c>
      <c r="R64" s="123">
        <v>1250</v>
      </c>
      <c r="S64" s="118">
        <f>MyGrid3[[#This Row],[مارس]]/$R$187</f>
        <v>0.88495575221238942</v>
      </c>
      <c r="T64" s="162" t="s">
        <v>63</v>
      </c>
      <c r="U64" s="397">
        <v>1250</v>
      </c>
      <c r="V64" s="121">
        <f>MyGrid3[[#This Row],[أبريل]]/$U$187</f>
        <v>0.88495575221238942</v>
      </c>
      <c r="W64" s="163" t="s">
        <v>63</v>
      </c>
      <c r="X64" s="138">
        <v>1333.33</v>
      </c>
      <c r="Y64" s="118">
        <f>MyGrid3[[#This Row],[مايو]]/$X$187</f>
        <v>0.94255579355148844</v>
      </c>
      <c r="Z64" s="162" t="s">
        <v>63</v>
      </c>
      <c r="AA64" s="123">
        <v>1333.33</v>
      </c>
      <c r="AB64" s="121">
        <f>MyGrid3[[#This Row],[يونيو]]/$AA$187</f>
        <v>6.1537360963677479</v>
      </c>
      <c r="AC64" s="163" t="s">
        <v>63</v>
      </c>
      <c r="AD64" s="123">
        <v>1250</v>
      </c>
      <c r="AE64" s="118">
        <f>MyGrid3[[#This Row],[يوليو]]/$AD$187</f>
        <v>1.5384615384615385</v>
      </c>
      <c r="AF64" s="119" t="s">
        <v>63</v>
      </c>
      <c r="AG64" s="144">
        <v>1250</v>
      </c>
      <c r="AH64" s="121">
        <f>MyGrid3[[#This Row],[أغسطس]]/$AG$187</f>
        <v>1.5384615384615385</v>
      </c>
      <c r="AI64" s="163" t="s">
        <v>63</v>
      </c>
      <c r="AJ64" s="123">
        <v>1250</v>
      </c>
      <c r="AK64" s="118">
        <f>MyGrid3[[#This Row],[سبتمبر]]/$AJ$187</f>
        <v>1.5384615384615385</v>
      </c>
      <c r="AL64" s="162" t="s">
        <v>63</v>
      </c>
      <c r="AM64" s="123">
        <v>1250</v>
      </c>
      <c r="AN64" s="121">
        <f>MyGrid3[[#This Row],[أكتوبر]]/$AM$187</f>
        <v>1.5384615384615385</v>
      </c>
      <c r="AO64" s="163" t="s">
        <v>63</v>
      </c>
      <c r="AP64" s="123">
        <v>1250</v>
      </c>
      <c r="AQ64" s="125">
        <f>MyGrid3[[#This Row],[نوفمبر]]/$AP$187</f>
        <v>1.5384615384615385</v>
      </c>
      <c r="AR64" s="162" t="s">
        <v>63</v>
      </c>
      <c r="AS64" s="391">
        <v>1250</v>
      </c>
      <c r="AT64" s="121">
        <f>MyGrid3[[#This Row],[ديسمبر]]/$AS$187</f>
        <v>1.5384615384615385</v>
      </c>
      <c r="AU64" s="126">
        <f t="shared" si="0"/>
        <v>15166.66</v>
      </c>
      <c r="AV64" s="127">
        <f>MyGrid3[[#This Row],[الإجمالي]]/$AU$187</f>
        <v>1.2476419556672858</v>
      </c>
    </row>
    <row r="65" spans="1:48" s="128" customFormat="1" ht="33" hidden="1" customHeight="1">
      <c r="A65" s="110">
        <f>SUBTOTAL(3,$B$4:B65)</f>
        <v>0</v>
      </c>
      <c r="B65" s="111">
        <v>690178</v>
      </c>
      <c r="C65" s="112" t="s">
        <v>1020</v>
      </c>
      <c r="D65" s="113" t="s">
        <v>969</v>
      </c>
      <c r="E65" s="164" t="s">
        <v>996</v>
      </c>
      <c r="F65" s="115">
        <f>RANK(G65,MyGrid3[الاساسي])</f>
        <v>49</v>
      </c>
      <c r="G65" s="116">
        <v>1000</v>
      </c>
      <c r="H65" s="154" t="s">
        <v>996</v>
      </c>
      <c r="I65" s="115">
        <f>RANK(J65,MyGrid3[يناير])</f>
        <v>20</v>
      </c>
      <c r="J65" s="141">
        <v>1450</v>
      </c>
      <c r="K65" s="118">
        <f>MyGrid3[[#This Row],[يناير]]/$J$187</f>
        <v>1.0265486725663717</v>
      </c>
      <c r="L65" s="155" t="s">
        <v>996</v>
      </c>
      <c r="M65" s="115">
        <f>RANK(N65,MyGrid3[فبراير])</f>
        <v>23</v>
      </c>
      <c r="N65" s="120">
        <v>1450</v>
      </c>
      <c r="O65" s="121">
        <f>MyGrid3[[#This Row],[فبراير]]/$N$187</f>
        <v>1.0265486725663717</v>
      </c>
      <c r="P65" s="156" t="s">
        <v>996</v>
      </c>
      <c r="Q65" s="115">
        <f>RANK(R65,MyGrid3[مارس])</f>
        <v>32</v>
      </c>
      <c r="R65" s="123">
        <v>1450</v>
      </c>
      <c r="S65" s="118">
        <f>MyGrid3[[#This Row],[مارس]]/$R$187</f>
        <v>1.0265486725663717</v>
      </c>
      <c r="T65" s="155" t="s">
        <v>996</v>
      </c>
      <c r="U65" s="397">
        <v>1450</v>
      </c>
      <c r="V65" s="121">
        <f>MyGrid3[[#This Row],[أبريل]]/$U$187</f>
        <v>1.0265486725663717</v>
      </c>
      <c r="W65" s="156" t="s">
        <v>996</v>
      </c>
      <c r="X65" s="138">
        <v>1533.33</v>
      </c>
      <c r="Y65" s="118">
        <f>MyGrid3[[#This Row],[مايو]]/$X$187</f>
        <v>1.0839395160435179</v>
      </c>
      <c r="Z65" s="155" t="s">
        <v>996</v>
      </c>
      <c r="AA65" s="123">
        <v>1533.33</v>
      </c>
      <c r="AB65" s="121">
        <f>MyGrid3[[#This Row],[يونيو]]/$AA$187</f>
        <v>7.0767988184797161</v>
      </c>
      <c r="AC65" s="156" t="s">
        <v>996</v>
      </c>
      <c r="AD65" s="123">
        <v>1450</v>
      </c>
      <c r="AE65" s="118">
        <f>MyGrid3[[#This Row],[يوليو]]/$AD$187</f>
        <v>1.7846153846153847</v>
      </c>
      <c r="AF65" s="119" t="s">
        <v>996</v>
      </c>
      <c r="AG65" s="144">
        <v>1450</v>
      </c>
      <c r="AH65" s="121">
        <f>MyGrid3[[#This Row],[أغسطس]]/$AG$187</f>
        <v>1.7846153846153847</v>
      </c>
      <c r="AI65" s="156" t="s">
        <v>996</v>
      </c>
      <c r="AJ65" s="123">
        <v>1450</v>
      </c>
      <c r="AK65" s="118">
        <f>MyGrid3[[#This Row],[سبتمبر]]/$AJ$187</f>
        <v>1.7846153846153847</v>
      </c>
      <c r="AL65" s="155" t="s">
        <v>996</v>
      </c>
      <c r="AM65" s="123">
        <v>1450</v>
      </c>
      <c r="AN65" s="121">
        <f>MyGrid3[[#This Row],[أكتوبر]]/$AM$187</f>
        <v>1.7846153846153847</v>
      </c>
      <c r="AO65" s="156" t="s">
        <v>996</v>
      </c>
      <c r="AP65" s="123">
        <v>1450</v>
      </c>
      <c r="AQ65" s="125">
        <f>MyGrid3[[#This Row],[نوفمبر]]/$AP$187</f>
        <v>1.7846153846153847</v>
      </c>
      <c r="AR65" s="155" t="s">
        <v>996</v>
      </c>
      <c r="AS65" s="391">
        <v>1450</v>
      </c>
      <c r="AT65" s="121">
        <f>MyGrid3[[#This Row],[ديسمبر]]/$AS$187</f>
        <v>1.7846153846153847</v>
      </c>
      <c r="AU65" s="126">
        <f t="shared" si="0"/>
        <v>17566.66</v>
      </c>
      <c r="AV65" s="127">
        <f>MyGrid3[[#This Row],[الإجمالي]]/$AU$187</f>
        <v>1.445071099170304</v>
      </c>
    </row>
    <row r="66" spans="1:48" s="128" customFormat="1" ht="33" hidden="1" customHeight="1">
      <c r="A66" s="110">
        <f>SUBTOTAL(3,$B$4:B66)</f>
        <v>0</v>
      </c>
      <c r="B66" s="111">
        <v>690179</v>
      </c>
      <c r="C66" s="112" t="s">
        <v>1021</v>
      </c>
      <c r="D66" s="113" t="s">
        <v>969</v>
      </c>
      <c r="E66" s="164" t="s">
        <v>996</v>
      </c>
      <c r="F66" s="115">
        <f>RANK(G66,MyGrid3[الاساسي])</f>
        <v>49</v>
      </c>
      <c r="G66" s="116">
        <v>1000</v>
      </c>
      <c r="H66" s="154" t="s">
        <v>996</v>
      </c>
      <c r="I66" s="115">
        <f>RANK(J66,MyGrid3[يناير])</f>
        <v>20</v>
      </c>
      <c r="J66" s="141">
        <v>1450</v>
      </c>
      <c r="K66" s="118">
        <f>MyGrid3[[#This Row],[يناير]]/$J$187</f>
        <v>1.0265486725663717</v>
      </c>
      <c r="L66" s="155" t="s">
        <v>996</v>
      </c>
      <c r="M66" s="115">
        <f>RANK(N66,MyGrid3[فبراير])</f>
        <v>23</v>
      </c>
      <c r="N66" s="120">
        <v>1450</v>
      </c>
      <c r="O66" s="121">
        <f>MyGrid3[[#This Row],[فبراير]]/$N$187</f>
        <v>1.0265486725663717</v>
      </c>
      <c r="P66" s="156" t="s">
        <v>996</v>
      </c>
      <c r="Q66" s="115">
        <f>RANK(R66,MyGrid3[مارس])</f>
        <v>32</v>
      </c>
      <c r="R66" s="123">
        <v>1450</v>
      </c>
      <c r="S66" s="118">
        <f>MyGrid3[[#This Row],[مارس]]/$R$187</f>
        <v>1.0265486725663717</v>
      </c>
      <c r="T66" s="155" t="s">
        <v>996</v>
      </c>
      <c r="U66" s="397">
        <v>1450</v>
      </c>
      <c r="V66" s="121">
        <f>MyGrid3[[#This Row],[أبريل]]/$U$187</f>
        <v>1.0265486725663717</v>
      </c>
      <c r="W66" s="156" t="s">
        <v>996</v>
      </c>
      <c r="X66" s="138">
        <v>1533.33</v>
      </c>
      <c r="Y66" s="118">
        <f>MyGrid3[[#This Row],[مايو]]/$X$187</f>
        <v>1.0839395160435179</v>
      </c>
      <c r="Z66" s="155" t="s">
        <v>996</v>
      </c>
      <c r="AA66" s="123">
        <v>1533.33</v>
      </c>
      <c r="AB66" s="121">
        <f>MyGrid3[[#This Row],[يونيو]]/$AA$187</f>
        <v>7.0767988184797161</v>
      </c>
      <c r="AC66" s="156" t="s">
        <v>996</v>
      </c>
      <c r="AD66" s="123">
        <v>1450</v>
      </c>
      <c r="AE66" s="118">
        <f>MyGrid3[[#This Row],[يوليو]]/$AD$187</f>
        <v>1.7846153846153847</v>
      </c>
      <c r="AF66" s="119" t="s">
        <v>996</v>
      </c>
      <c r="AG66" s="144">
        <v>1450</v>
      </c>
      <c r="AH66" s="121">
        <f>MyGrid3[[#This Row],[أغسطس]]/$AG$187</f>
        <v>1.7846153846153847</v>
      </c>
      <c r="AI66" s="156" t="s">
        <v>996</v>
      </c>
      <c r="AJ66" s="123">
        <v>1450</v>
      </c>
      <c r="AK66" s="118">
        <f>MyGrid3[[#This Row],[سبتمبر]]/$AJ$187</f>
        <v>1.7846153846153847</v>
      </c>
      <c r="AL66" s="155" t="s">
        <v>996</v>
      </c>
      <c r="AM66" s="123">
        <v>1450</v>
      </c>
      <c r="AN66" s="121">
        <f>MyGrid3[[#This Row],[أكتوبر]]/$AM$187</f>
        <v>1.7846153846153847</v>
      </c>
      <c r="AO66" s="156" t="s">
        <v>996</v>
      </c>
      <c r="AP66" s="123">
        <v>1450</v>
      </c>
      <c r="AQ66" s="125">
        <f>MyGrid3[[#This Row],[نوفمبر]]/$AP$187</f>
        <v>1.7846153846153847</v>
      </c>
      <c r="AR66" s="155" t="s">
        <v>996</v>
      </c>
      <c r="AS66" s="391">
        <v>1450</v>
      </c>
      <c r="AT66" s="121">
        <f>MyGrid3[[#This Row],[ديسمبر]]/$AS$187</f>
        <v>1.7846153846153847</v>
      </c>
      <c r="AU66" s="126">
        <f t="shared" si="0"/>
        <v>17566.66</v>
      </c>
      <c r="AV66" s="127">
        <f>MyGrid3[[#This Row],[الإجمالي]]/$AU$187</f>
        <v>1.445071099170304</v>
      </c>
    </row>
    <row r="67" spans="1:48" s="128" customFormat="1" ht="33" hidden="1" customHeight="1">
      <c r="A67" s="110">
        <f>SUBTOTAL(3,$B$4:B67)</f>
        <v>0</v>
      </c>
      <c r="B67" s="111">
        <v>690180</v>
      </c>
      <c r="C67" s="112" t="s">
        <v>1022</v>
      </c>
      <c r="D67" s="113" t="s">
        <v>969</v>
      </c>
      <c r="E67" s="164" t="s">
        <v>64</v>
      </c>
      <c r="F67" s="115">
        <f>RANK(G67,MyGrid3[الاساسي])</f>
        <v>76</v>
      </c>
      <c r="G67" s="116">
        <v>850</v>
      </c>
      <c r="H67" s="114" t="s">
        <v>64</v>
      </c>
      <c r="I67" s="115">
        <f>RANK(J67,MyGrid3[يناير])</f>
        <v>24</v>
      </c>
      <c r="J67" s="141">
        <v>1325</v>
      </c>
      <c r="K67" s="118">
        <f>MyGrid3[[#This Row],[يناير]]/$J$187</f>
        <v>0.93805309734513276</v>
      </c>
      <c r="L67" s="119" t="s">
        <v>64</v>
      </c>
      <c r="M67" s="115">
        <f>RANK(N67,MyGrid3[فبراير])</f>
        <v>27</v>
      </c>
      <c r="N67" s="120">
        <v>1325</v>
      </c>
      <c r="O67" s="121">
        <f>MyGrid3[[#This Row],[فبراير]]/$N$187</f>
        <v>0.93805309734513276</v>
      </c>
      <c r="P67" s="122" t="s">
        <v>64</v>
      </c>
      <c r="Q67" s="115">
        <f>RANK(R67,MyGrid3[مارس])</f>
        <v>36</v>
      </c>
      <c r="R67" s="123">
        <v>1325</v>
      </c>
      <c r="S67" s="118">
        <f>MyGrid3[[#This Row],[مارس]]/$R$187</f>
        <v>0.93805309734513276</v>
      </c>
      <c r="T67" s="119" t="s">
        <v>64</v>
      </c>
      <c r="U67" s="397">
        <v>1450</v>
      </c>
      <c r="V67" s="121">
        <f>MyGrid3[[#This Row],[أبريل]]/$U$187</f>
        <v>1.0265486725663717</v>
      </c>
      <c r="W67" s="122" t="s">
        <v>64</v>
      </c>
      <c r="X67" s="397">
        <v>1450</v>
      </c>
      <c r="Y67" s="118">
        <f>MyGrid3[[#This Row],[مايو]]/$X$187</f>
        <v>1.0250319880672139</v>
      </c>
      <c r="Z67" s="119" t="s">
        <v>64</v>
      </c>
      <c r="AA67" s="123">
        <v>1450</v>
      </c>
      <c r="AB67" s="121">
        <f>MyGrid3[[#This Row],[يونيو]]/$AA$187</f>
        <v>6.6922047353117646</v>
      </c>
      <c r="AC67" s="122" t="s">
        <v>64</v>
      </c>
      <c r="AD67" s="123">
        <v>1225</v>
      </c>
      <c r="AE67" s="118">
        <f>MyGrid3[[#This Row],[يوليو]]/$AD$187</f>
        <v>1.5076923076923077</v>
      </c>
      <c r="AF67" s="139" t="s">
        <v>64</v>
      </c>
      <c r="AG67" s="144">
        <v>1225</v>
      </c>
      <c r="AH67" s="121">
        <f>MyGrid3[[#This Row],[أغسطس]]/$AG$187</f>
        <v>1.5076923076923077</v>
      </c>
      <c r="AI67" s="122" t="s">
        <v>64</v>
      </c>
      <c r="AJ67" s="123">
        <v>1225</v>
      </c>
      <c r="AK67" s="118">
        <f>MyGrid3[[#This Row],[سبتمبر]]/$AJ$187</f>
        <v>1.5076923076923077</v>
      </c>
      <c r="AL67" s="119" t="s">
        <v>64</v>
      </c>
      <c r="AM67" s="123">
        <v>1225</v>
      </c>
      <c r="AN67" s="121">
        <f>MyGrid3[[#This Row],[أكتوبر]]/$AM$187</f>
        <v>1.5076923076923077</v>
      </c>
      <c r="AO67" s="122" t="s">
        <v>64</v>
      </c>
      <c r="AP67" s="123">
        <v>1225</v>
      </c>
      <c r="AQ67" s="125">
        <f>MyGrid3[[#This Row],[نوفمبر]]/$AP$187</f>
        <v>1.5076923076923077</v>
      </c>
      <c r="AR67" s="119" t="s">
        <v>64</v>
      </c>
      <c r="AS67" s="391">
        <v>1225</v>
      </c>
      <c r="AT67" s="121">
        <f>MyGrid3[[#This Row],[ديسمبر]]/$AS$187</f>
        <v>1.5076923076923077</v>
      </c>
      <c r="AU67" s="126">
        <f t="shared" si="0"/>
        <v>15675</v>
      </c>
      <c r="AV67" s="127">
        <f>MyGrid3[[#This Row],[الإجمالي]]/$AU$187</f>
        <v>1.2894590935040875</v>
      </c>
    </row>
    <row r="68" spans="1:48" s="128" customFormat="1" ht="33" hidden="1" customHeight="1">
      <c r="A68" s="110">
        <f>SUBTOTAL(3,$B$4:B68)</f>
        <v>0</v>
      </c>
      <c r="B68" s="111">
        <v>690181</v>
      </c>
      <c r="C68" s="112" t="s">
        <v>1023</v>
      </c>
      <c r="D68" s="113" t="s">
        <v>969</v>
      </c>
      <c r="E68" s="164" t="s">
        <v>64</v>
      </c>
      <c r="F68" s="115">
        <f>RANK(G68,MyGrid3[الاساسي])</f>
        <v>49</v>
      </c>
      <c r="G68" s="116">
        <v>1000</v>
      </c>
      <c r="H68" s="114" t="s">
        <v>64</v>
      </c>
      <c r="I68" s="115">
        <f>RANK(J68,MyGrid3[يناير])</f>
        <v>16</v>
      </c>
      <c r="J68" s="141">
        <v>1500</v>
      </c>
      <c r="K68" s="118">
        <f>MyGrid3[[#This Row],[يناير]]/$J$187</f>
        <v>1.0619469026548674</v>
      </c>
      <c r="L68" s="119" t="s">
        <v>64</v>
      </c>
      <c r="M68" s="115">
        <f>RANK(N68,MyGrid3[فبراير])</f>
        <v>19</v>
      </c>
      <c r="N68" s="120">
        <v>1500</v>
      </c>
      <c r="O68" s="121">
        <f>MyGrid3[[#This Row],[فبراير]]/$N$187</f>
        <v>1.0619469026548674</v>
      </c>
      <c r="P68" s="122" t="s">
        <v>64</v>
      </c>
      <c r="Q68" s="115">
        <f>RANK(R68,MyGrid3[مارس])</f>
        <v>28</v>
      </c>
      <c r="R68" s="123">
        <v>1500</v>
      </c>
      <c r="S68" s="118">
        <f>MyGrid3[[#This Row],[مارس]]/$R$187</f>
        <v>1.0619469026548674</v>
      </c>
      <c r="T68" s="119" t="s">
        <v>64</v>
      </c>
      <c r="U68" s="397">
        <v>1500</v>
      </c>
      <c r="V68" s="121">
        <f>MyGrid3[[#This Row],[أبريل]]/$U$187</f>
        <v>1.0619469026548674</v>
      </c>
      <c r="W68" s="122" t="s">
        <v>64</v>
      </c>
      <c r="X68" s="397">
        <v>1458.33</v>
      </c>
      <c r="Y68" s="118">
        <f>MyGrid3[[#This Row],[مايو]]/$X$187</f>
        <v>1.0309206201090069</v>
      </c>
      <c r="Z68" s="119" t="s">
        <v>64</v>
      </c>
      <c r="AA68" s="123">
        <v>1500</v>
      </c>
      <c r="AB68" s="121">
        <f>MyGrid3[[#This Row],[يونيو]]/$AA$187</f>
        <v>6.9229704158397567</v>
      </c>
      <c r="AC68" s="122" t="s">
        <v>64</v>
      </c>
      <c r="AD68" s="123">
        <v>1250</v>
      </c>
      <c r="AE68" s="118">
        <f>MyGrid3[[#This Row],[يوليو]]/$AD$187</f>
        <v>1.5384615384615385</v>
      </c>
      <c r="AF68" s="139" t="s">
        <v>64</v>
      </c>
      <c r="AG68" s="144">
        <v>1250</v>
      </c>
      <c r="AH68" s="121">
        <f>MyGrid3[[#This Row],[أغسطس]]/$AG$187</f>
        <v>1.5384615384615385</v>
      </c>
      <c r="AI68" s="122" t="s">
        <v>64</v>
      </c>
      <c r="AJ68" s="123">
        <v>1250</v>
      </c>
      <c r="AK68" s="118">
        <f>MyGrid3[[#This Row],[سبتمبر]]/$AJ$187</f>
        <v>1.5384615384615385</v>
      </c>
      <c r="AL68" s="119" t="s">
        <v>64</v>
      </c>
      <c r="AM68" s="123">
        <v>1250</v>
      </c>
      <c r="AN68" s="121">
        <f>MyGrid3[[#This Row],[أكتوبر]]/$AM$187</f>
        <v>1.5384615384615385</v>
      </c>
      <c r="AO68" s="122" t="s">
        <v>64</v>
      </c>
      <c r="AP68" s="123">
        <v>1250</v>
      </c>
      <c r="AQ68" s="125">
        <f>MyGrid3[[#This Row],[نوفمبر]]/$AP$187</f>
        <v>1.5384615384615385</v>
      </c>
      <c r="AR68" s="119" t="s">
        <v>64</v>
      </c>
      <c r="AS68" s="391">
        <v>1250</v>
      </c>
      <c r="AT68" s="121">
        <f>MyGrid3[[#This Row],[ديسمبر]]/$AS$187</f>
        <v>1.5384615384615385</v>
      </c>
      <c r="AU68" s="126">
        <f t="shared" si="0"/>
        <v>16458.330000000002</v>
      </c>
      <c r="AV68" s="127">
        <f>MyGrid3[[#This Row],[الإجمالي]]/$AU$187</f>
        <v>1.3538974980791791</v>
      </c>
    </row>
    <row r="69" spans="1:48" s="128" customFormat="1" ht="33" hidden="1" customHeight="1">
      <c r="A69" s="110">
        <f>SUBTOTAL(3,$B$4:B69)</f>
        <v>0</v>
      </c>
      <c r="B69" s="111">
        <v>690182</v>
      </c>
      <c r="C69" s="112" t="s">
        <v>1024</v>
      </c>
      <c r="D69" s="113" t="s">
        <v>969</v>
      </c>
      <c r="E69" s="164" t="s">
        <v>994</v>
      </c>
      <c r="F69" s="115">
        <f>RANK(G69,MyGrid3[الاساسي])</f>
        <v>49</v>
      </c>
      <c r="G69" s="116">
        <v>1000</v>
      </c>
      <c r="H69" s="151" t="s">
        <v>994</v>
      </c>
      <c r="I69" s="115">
        <f>RANK(J69,MyGrid3[يناير])</f>
        <v>16</v>
      </c>
      <c r="J69" s="141">
        <v>1500</v>
      </c>
      <c r="K69" s="118">
        <f>MyGrid3[[#This Row],[يناير]]/$J$187</f>
        <v>1.0619469026548674</v>
      </c>
      <c r="L69" s="152" t="s">
        <v>994</v>
      </c>
      <c r="M69" s="115">
        <f>RANK(N69,MyGrid3[فبراير])</f>
        <v>19</v>
      </c>
      <c r="N69" s="120">
        <v>1500</v>
      </c>
      <c r="O69" s="121">
        <f>MyGrid3[[#This Row],[فبراير]]/$N$187</f>
        <v>1.0619469026548674</v>
      </c>
      <c r="P69" s="153" t="s">
        <v>994</v>
      </c>
      <c r="Q69" s="115">
        <f>RANK(R69,MyGrid3[مارس])</f>
        <v>28</v>
      </c>
      <c r="R69" s="123">
        <v>1500</v>
      </c>
      <c r="S69" s="118">
        <f>MyGrid3[[#This Row],[مارس]]/$R$187</f>
        <v>1.0619469026548674</v>
      </c>
      <c r="T69" s="152" t="s">
        <v>994</v>
      </c>
      <c r="U69" s="397">
        <v>1500</v>
      </c>
      <c r="V69" s="121">
        <f>MyGrid3[[#This Row],[أبريل]]/$U$187</f>
        <v>1.0619469026548674</v>
      </c>
      <c r="W69" s="153" t="s">
        <v>994</v>
      </c>
      <c r="X69" s="397">
        <v>1500</v>
      </c>
      <c r="Y69" s="118">
        <f>MyGrid3[[#This Row],[مايو]]/$X$187</f>
        <v>1.0603779186902214</v>
      </c>
      <c r="Z69" s="152" t="s">
        <v>994</v>
      </c>
      <c r="AA69" s="123">
        <v>1500</v>
      </c>
      <c r="AB69" s="121">
        <f>MyGrid3[[#This Row],[يونيو]]/$AA$187</f>
        <v>6.9229704158397567</v>
      </c>
      <c r="AC69" s="153" t="s">
        <v>994</v>
      </c>
      <c r="AD69" s="123">
        <v>1250</v>
      </c>
      <c r="AE69" s="118">
        <f>MyGrid3[[#This Row],[يوليو]]/$AD$187</f>
        <v>1.5384615384615385</v>
      </c>
      <c r="AF69" s="119" t="s">
        <v>994</v>
      </c>
      <c r="AG69" s="144">
        <v>1250</v>
      </c>
      <c r="AH69" s="121">
        <f>MyGrid3[[#This Row],[أغسطس]]/$AG$187</f>
        <v>1.5384615384615385</v>
      </c>
      <c r="AI69" s="153" t="s">
        <v>994</v>
      </c>
      <c r="AJ69" s="123">
        <v>1250</v>
      </c>
      <c r="AK69" s="118">
        <f>MyGrid3[[#This Row],[سبتمبر]]/$AJ$187</f>
        <v>1.5384615384615385</v>
      </c>
      <c r="AL69" s="152" t="s">
        <v>994</v>
      </c>
      <c r="AM69" s="123">
        <v>1250</v>
      </c>
      <c r="AN69" s="121">
        <f>MyGrid3[[#This Row],[أكتوبر]]/$AM$187</f>
        <v>1.5384615384615385</v>
      </c>
      <c r="AO69" s="153" t="s">
        <v>994</v>
      </c>
      <c r="AP69" s="123">
        <v>1250</v>
      </c>
      <c r="AQ69" s="125">
        <f>MyGrid3[[#This Row],[نوفمبر]]/$AP$187</f>
        <v>1.5384615384615385</v>
      </c>
      <c r="AR69" s="152" t="s">
        <v>994</v>
      </c>
      <c r="AS69" s="391">
        <v>1250</v>
      </c>
      <c r="AT69" s="121">
        <f>MyGrid3[[#This Row],[ديسمبر]]/$AS$187</f>
        <v>1.5384615384615385</v>
      </c>
      <c r="AU69" s="126">
        <f t="shared" si="0"/>
        <v>16500</v>
      </c>
      <c r="AV69" s="127">
        <f>MyGrid3[[#This Row],[الإجمالي]]/$AU$187</f>
        <v>1.3573253615832501</v>
      </c>
    </row>
    <row r="70" spans="1:48" s="128" customFormat="1" ht="33" hidden="1" customHeight="1">
      <c r="A70" s="110">
        <f>SUBTOTAL(3,$B$4:B70)</f>
        <v>0</v>
      </c>
      <c r="B70" s="111">
        <v>690183</v>
      </c>
      <c r="C70" s="112" t="s">
        <v>1025</v>
      </c>
      <c r="D70" s="113" t="s">
        <v>969</v>
      </c>
      <c r="E70" s="164" t="s">
        <v>967</v>
      </c>
      <c r="F70" s="115">
        <f>RANK(G70,MyGrid3[الاساسي])</f>
        <v>49</v>
      </c>
      <c r="G70" s="116">
        <v>1000</v>
      </c>
      <c r="H70" s="140" t="s">
        <v>967</v>
      </c>
      <c r="I70" s="115">
        <f>RANK(J70,MyGrid3[يناير])</f>
        <v>29</v>
      </c>
      <c r="J70" s="141">
        <v>1250</v>
      </c>
      <c r="K70" s="118">
        <f>MyGrid3[[#This Row],[يناير]]/$J$187</f>
        <v>0.88495575221238942</v>
      </c>
      <c r="L70" s="142" t="s">
        <v>967</v>
      </c>
      <c r="M70" s="115">
        <f>RANK(N70,MyGrid3[فبراير])</f>
        <v>31</v>
      </c>
      <c r="N70" s="120">
        <v>1250</v>
      </c>
      <c r="O70" s="121">
        <f>MyGrid3[[#This Row],[فبراير]]/$N$187</f>
        <v>0.88495575221238942</v>
      </c>
      <c r="P70" s="143" t="s">
        <v>967</v>
      </c>
      <c r="Q70" s="115">
        <f>RANK(R70,MyGrid3[مارس])</f>
        <v>40</v>
      </c>
      <c r="R70" s="123">
        <v>1250</v>
      </c>
      <c r="S70" s="118">
        <f>MyGrid3[[#This Row],[مارس]]/$R$187</f>
        <v>0.88495575221238942</v>
      </c>
      <c r="T70" s="142" t="s">
        <v>967</v>
      </c>
      <c r="U70" s="397">
        <v>1250</v>
      </c>
      <c r="V70" s="121">
        <f>MyGrid3[[#This Row],[أبريل]]/$U$187</f>
        <v>0.88495575221238942</v>
      </c>
      <c r="W70" s="143" t="s">
        <v>967</v>
      </c>
      <c r="X70" s="138">
        <v>1333.33</v>
      </c>
      <c r="Y70" s="118">
        <f>MyGrid3[[#This Row],[مايو]]/$X$187</f>
        <v>0.94255579355148844</v>
      </c>
      <c r="Z70" s="142" t="s">
        <v>967</v>
      </c>
      <c r="AA70" s="123">
        <v>1333.33</v>
      </c>
      <c r="AB70" s="121">
        <f>MyGrid3[[#This Row],[يونيو]]/$AA$187</f>
        <v>6.1537360963677479</v>
      </c>
      <c r="AC70" s="143" t="s">
        <v>967</v>
      </c>
      <c r="AD70" s="123">
        <v>1250</v>
      </c>
      <c r="AE70" s="118">
        <f>MyGrid3[[#This Row],[يوليو]]/$AD$187</f>
        <v>1.5384615384615385</v>
      </c>
      <c r="AF70" s="119" t="s">
        <v>967</v>
      </c>
      <c r="AG70" s="144">
        <v>1250</v>
      </c>
      <c r="AH70" s="121">
        <f>MyGrid3[[#This Row],[أغسطس]]/$AG$187</f>
        <v>1.5384615384615385</v>
      </c>
      <c r="AI70" s="143" t="s">
        <v>967</v>
      </c>
      <c r="AJ70" s="123">
        <v>1250</v>
      </c>
      <c r="AK70" s="118">
        <f>MyGrid3[[#This Row],[سبتمبر]]/$AJ$187</f>
        <v>1.5384615384615385</v>
      </c>
      <c r="AL70" s="142" t="s">
        <v>967</v>
      </c>
      <c r="AM70" s="123">
        <v>1250</v>
      </c>
      <c r="AN70" s="121">
        <f>MyGrid3[[#This Row],[أكتوبر]]/$AM$187</f>
        <v>1.5384615384615385</v>
      </c>
      <c r="AO70" s="143" t="s">
        <v>967</v>
      </c>
      <c r="AP70" s="123">
        <v>1250</v>
      </c>
      <c r="AQ70" s="125">
        <f>MyGrid3[[#This Row],[نوفمبر]]/$AP$187</f>
        <v>1.5384615384615385</v>
      </c>
      <c r="AR70" s="142" t="s">
        <v>967</v>
      </c>
      <c r="AS70" s="391">
        <v>1250</v>
      </c>
      <c r="AT70" s="121">
        <f>MyGrid3[[#This Row],[ديسمبر]]/$AS$187</f>
        <v>1.5384615384615385</v>
      </c>
      <c r="AU70" s="126">
        <f t="shared" si="0"/>
        <v>15166.66</v>
      </c>
      <c r="AV70" s="127">
        <f>MyGrid3[[#This Row],[الإجمالي]]/$AU$187</f>
        <v>1.2476419556672858</v>
      </c>
    </row>
    <row r="71" spans="1:48" s="128" customFormat="1" ht="33" hidden="1" customHeight="1">
      <c r="A71" s="110">
        <f>SUBTOTAL(3,$B$4:B71)</f>
        <v>0</v>
      </c>
      <c r="B71" s="111">
        <v>690184</v>
      </c>
      <c r="C71" s="112" t="s">
        <v>1026</v>
      </c>
      <c r="D71" s="113" t="s">
        <v>969</v>
      </c>
      <c r="E71" s="164" t="s">
        <v>967</v>
      </c>
      <c r="F71" s="115">
        <f>RANK(G71,MyGrid3[الاساسي])</f>
        <v>49</v>
      </c>
      <c r="G71" s="116">
        <v>1000</v>
      </c>
      <c r="H71" s="140" t="s">
        <v>967</v>
      </c>
      <c r="I71" s="115">
        <f>RANK(J71,MyGrid3[يناير])</f>
        <v>29</v>
      </c>
      <c r="J71" s="141">
        <v>1250</v>
      </c>
      <c r="K71" s="118">
        <f>MyGrid3[[#This Row],[يناير]]/$J$187</f>
        <v>0.88495575221238942</v>
      </c>
      <c r="L71" s="142" t="s">
        <v>967</v>
      </c>
      <c r="M71" s="115">
        <f>RANK(N71,MyGrid3[فبراير])</f>
        <v>31</v>
      </c>
      <c r="N71" s="120">
        <v>1250</v>
      </c>
      <c r="O71" s="121">
        <f>MyGrid3[[#This Row],[فبراير]]/$N$187</f>
        <v>0.88495575221238942</v>
      </c>
      <c r="P71" s="143" t="s">
        <v>967</v>
      </c>
      <c r="Q71" s="115">
        <f>RANK(R71,MyGrid3[مارس])</f>
        <v>40</v>
      </c>
      <c r="R71" s="123">
        <v>1250</v>
      </c>
      <c r="S71" s="118">
        <f>MyGrid3[[#This Row],[مارس]]/$R$187</f>
        <v>0.88495575221238942</v>
      </c>
      <c r="T71" s="142" t="s">
        <v>967</v>
      </c>
      <c r="U71" s="397">
        <v>1250</v>
      </c>
      <c r="V71" s="121">
        <f>MyGrid3[[#This Row],[أبريل]]/$U$187</f>
        <v>0.88495575221238942</v>
      </c>
      <c r="W71" s="143" t="s">
        <v>967</v>
      </c>
      <c r="X71" s="138">
        <v>1333.33</v>
      </c>
      <c r="Y71" s="118">
        <f>MyGrid3[[#This Row],[مايو]]/$X$187</f>
        <v>0.94255579355148844</v>
      </c>
      <c r="Z71" s="142" t="s">
        <v>967</v>
      </c>
      <c r="AA71" s="123">
        <v>1333.33</v>
      </c>
      <c r="AB71" s="121">
        <f>MyGrid3[[#This Row],[يونيو]]/$AA$187</f>
        <v>6.1537360963677479</v>
      </c>
      <c r="AC71" s="143" t="s">
        <v>967</v>
      </c>
      <c r="AD71" s="123">
        <v>1250</v>
      </c>
      <c r="AE71" s="118">
        <f>MyGrid3[[#This Row],[يوليو]]/$AD$187</f>
        <v>1.5384615384615385</v>
      </c>
      <c r="AF71" s="119" t="s">
        <v>967</v>
      </c>
      <c r="AG71" s="144">
        <v>1250</v>
      </c>
      <c r="AH71" s="121">
        <f>MyGrid3[[#This Row],[أغسطس]]/$AG$187</f>
        <v>1.5384615384615385</v>
      </c>
      <c r="AI71" s="143" t="s">
        <v>967</v>
      </c>
      <c r="AJ71" s="123">
        <v>1250</v>
      </c>
      <c r="AK71" s="118">
        <f>MyGrid3[[#This Row],[سبتمبر]]/$AJ$187</f>
        <v>1.5384615384615385</v>
      </c>
      <c r="AL71" s="142" t="s">
        <v>967</v>
      </c>
      <c r="AM71" s="123">
        <v>1250</v>
      </c>
      <c r="AN71" s="121">
        <f>MyGrid3[[#This Row],[أكتوبر]]/$AM$187</f>
        <v>1.5384615384615385</v>
      </c>
      <c r="AO71" s="143" t="s">
        <v>967</v>
      </c>
      <c r="AP71" s="123">
        <v>1250</v>
      </c>
      <c r="AQ71" s="125">
        <f>MyGrid3[[#This Row],[نوفمبر]]/$AP$187</f>
        <v>1.5384615384615385</v>
      </c>
      <c r="AR71" s="142" t="s">
        <v>967</v>
      </c>
      <c r="AS71" s="391">
        <v>1250</v>
      </c>
      <c r="AT71" s="121">
        <f>MyGrid3[[#This Row],[ديسمبر]]/$AS$187</f>
        <v>1.5384615384615385</v>
      </c>
      <c r="AU71" s="126">
        <f t="shared" si="0"/>
        <v>15166.66</v>
      </c>
      <c r="AV71" s="127">
        <f>MyGrid3[[#This Row],[الإجمالي]]/$AU$187</f>
        <v>1.2476419556672858</v>
      </c>
    </row>
    <row r="72" spans="1:48" s="128" customFormat="1" ht="33" hidden="1" customHeight="1">
      <c r="A72" s="110">
        <f>SUBTOTAL(3,$B$4:B72)</f>
        <v>0</v>
      </c>
      <c r="B72" s="111">
        <v>690185</v>
      </c>
      <c r="C72" s="112" t="s">
        <v>1027</v>
      </c>
      <c r="D72" s="113" t="s">
        <v>969</v>
      </c>
      <c r="E72" s="164" t="s">
        <v>1014</v>
      </c>
      <c r="F72" s="115">
        <f>RANK(G72,MyGrid3[الاساسي])</f>
        <v>65</v>
      </c>
      <c r="G72" s="116">
        <v>900</v>
      </c>
      <c r="H72" s="165" t="s">
        <v>1014</v>
      </c>
      <c r="I72" s="115">
        <f>RANK(J72,MyGrid3[يناير])</f>
        <v>24</v>
      </c>
      <c r="J72" s="141">
        <v>1325</v>
      </c>
      <c r="K72" s="118">
        <f>MyGrid3[[#This Row],[يناير]]/$J$187</f>
        <v>0.93805309734513276</v>
      </c>
      <c r="L72" s="166" t="s">
        <v>1014</v>
      </c>
      <c r="M72" s="115">
        <f>RANK(N72,MyGrid3[فبراير])</f>
        <v>27</v>
      </c>
      <c r="N72" s="120">
        <v>1325</v>
      </c>
      <c r="O72" s="121">
        <f>MyGrid3[[#This Row],[فبراير]]/$N$187</f>
        <v>0.93805309734513276</v>
      </c>
      <c r="P72" s="168" t="s">
        <v>1014</v>
      </c>
      <c r="Q72" s="115">
        <f>RANK(R72,MyGrid3[مارس])</f>
        <v>36</v>
      </c>
      <c r="R72" s="123">
        <v>1325</v>
      </c>
      <c r="S72" s="118">
        <f>MyGrid3[[#This Row],[مارس]]/$R$187</f>
        <v>0.93805309734513276</v>
      </c>
      <c r="T72" s="166" t="s">
        <v>1014</v>
      </c>
      <c r="U72" s="397">
        <v>1325</v>
      </c>
      <c r="V72" s="121">
        <f>MyGrid3[[#This Row],[أبريل]]/$U$187</f>
        <v>0.93805309734513276</v>
      </c>
      <c r="W72" s="168" t="s">
        <v>1014</v>
      </c>
      <c r="X72" s="397">
        <v>1400</v>
      </c>
      <c r="Y72" s="118">
        <f>MyGrid3[[#This Row],[مايو]]/$X$187</f>
        <v>0.98968605744420646</v>
      </c>
      <c r="Z72" s="166" t="s">
        <v>1014</v>
      </c>
      <c r="AA72" s="123">
        <v>1400</v>
      </c>
      <c r="AB72" s="121">
        <f>MyGrid3[[#This Row],[يونيو]]/$AA$187</f>
        <v>6.4614390547837726</v>
      </c>
      <c r="AC72" s="168" t="s">
        <v>1014</v>
      </c>
      <c r="AD72" s="123">
        <v>1325</v>
      </c>
      <c r="AE72" s="118">
        <f>MyGrid3[[#This Row],[يوليو]]/$AD$187</f>
        <v>1.6307692307692307</v>
      </c>
      <c r="AF72" s="119" t="s">
        <v>1014</v>
      </c>
      <c r="AG72" s="144">
        <v>1325</v>
      </c>
      <c r="AH72" s="121">
        <f>MyGrid3[[#This Row],[أغسطس]]/$AG$187</f>
        <v>1.6307692307692307</v>
      </c>
      <c r="AI72" s="168" t="s">
        <v>1014</v>
      </c>
      <c r="AJ72" s="123">
        <v>1325</v>
      </c>
      <c r="AK72" s="118">
        <f>MyGrid3[[#This Row],[سبتمبر]]/$AJ$187</f>
        <v>1.6307692307692307</v>
      </c>
      <c r="AL72" s="166" t="s">
        <v>1014</v>
      </c>
      <c r="AM72" s="123">
        <v>1325</v>
      </c>
      <c r="AN72" s="121">
        <f>MyGrid3[[#This Row],[أكتوبر]]/$AM$187</f>
        <v>1.6307692307692307</v>
      </c>
      <c r="AO72" s="168" t="s">
        <v>1014</v>
      </c>
      <c r="AP72" s="123">
        <v>1325</v>
      </c>
      <c r="AQ72" s="125">
        <f>MyGrid3[[#This Row],[نوفمبر]]/$AP$187</f>
        <v>1.6307692307692307</v>
      </c>
      <c r="AR72" s="166" t="s">
        <v>1014</v>
      </c>
      <c r="AS72" s="391">
        <v>1325</v>
      </c>
      <c r="AT72" s="121">
        <f>MyGrid3[[#This Row],[ديسمبر]]/$AS$187</f>
        <v>1.6307692307692307</v>
      </c>
      <c r="AU72" s="126">
        <f t="shared" si="0"/>
        <v>16050</v>
      </c>
      <c r="AV72" s="127">
        <f>MyGrid3[[#This Row],[الإجمالي]]/$AU$187</f>
        <v>1.3203073971764341</v>
      </c>
    </row>
    <row r="73" spans="1:48" s="128" customFormat="1" ht="33" hidden="1" customHeight="1">
      <c r="A73" s="110">
        <f>SUBTOTAL(3,$B$4:B73)</f>
        <v>0</v>
      </c>
      <c r="B73" s="111">
        <v>690186</v>
      </c>
      <c r="C73" s="112" t="s">
        <v>1028</v>
      </c>
      <c r="D73" s="113" t="s">
        <v>969</v>
      </c>
      <c r="E73" s="164" t="s">
        <v>64</v>
      </c>
      <c r="F73" s="115">
        <f>RANK(G73,MyGrid3[الاساسي])</f>
        <v>65</v>
      </c>
      <c r="G73" s="116">
        <v>900</v>
      </c>
      <c r="H73" s="114" t="s">
        <v>64</v>
      </c>
      <c r="I73" s="115">
        <f>RANK(J73,MyGrid3[يناير])</f>
        <v>13</v>
      </c>
      <c r="J73" s="141">
        <v>1550</v>
      </c>
      <c r="K73" s="118">
        <f>MyGrid3[[#This Row],[يناير]]/$J$187</f>
        <v>1.0973451327433628</v>
      </c>
      <c r="L73" s="119" t="s">
        <v>64</v>
      </c>
      <c r="M73" s="115">
        <f>RANK(N73,MyGrid3[فبراير])</f>
        <v>16</v>
      </c>
      <c r="N73" s="120">
        <v>1550</v>
      </c>
      <c r="O73" s="121">
        <f>MyGrid3[[#This Row],[فبراير]]/$N$187</f>
        <v>1.0973451327433628</v>
      </c>
      <c r="P73" s="122" t="s">
        <v>64</v>
      </c>
      <c r="Q73" s="115">
        <f>RANK(R73,MyGrid3[مارس])</f>
        <v>25</v>
      </c>
      <c r="R73" s="123">
        <v>1550</v>
      </c>
      <c r="S73" s="118">
        <f>MyGrid3[[#This Row],[مارس]]/$R$187</f>
        <v>1.0973451327433628</v>
      </c>
      <c r="T73" s="119" t="s">
        <v>64</v>
      </c>
      <c r="U73" s="397">
        <v>1550</v>
      </c>
      <c r="V73" s="121">
        <f>MyGrid3[[#This Row],[أبريل]]/$U$187</f>
        <v>1.0973451327433628</v>
      </c>
      <c r="W73" s="122" t="s">
        <v>64</v>
      </c>
      <c r="X73" s="397">
        <v>1512.5</v>
      </c>
      <c r="Y73" s="118">
        <f>MyGrid3[[#This Row],[مايو]]/$X$187</f>
        <v>1.069214401345973</v>
      </c>
      <c r="Z73" s="119" t="s">
        <v>64</v>
      </c>
      <c r="AA73" s="123">
        <v>1550</v>
      </c>
      <c r="AB73" s="121">
        <f>MyGrid3[[#This Row],[يونيو]]/$AA$187</f>
        <v>7.1537360963677488</v>
      </c>
      <c r="AC73" s="122" t="s">
        <v>64</v>
      </c>
      <c r="AD73" s="123">
        <v>1325</v>
      </c>
      <c r="AE73" s="118">
        <f>MyGrid3[[#This Row],[يوليو]]/$AD$187</f>
        <v>1.6307692307692307</v>
      </c>
      <c r="AF73" s="139" t="s">
        <v>64</v>
      </c>
      <c r="AG73" s="144">
        <v>1325</v>
      </c>
      <c r="AH73" s="121">
        <f>MyGrid3[[#This Row],[أغسطس]]/$AG$187</f>
        <v>1.6307692307692307</v>
      </c>
      <c r="AI73" s="122" t="s">
        <v>64</v>
      </c>
      <c r="AJ73" s="123">
        <v>1325</v>
      </c>
      <c r="AK73" s="118">
        <f>MyGrid3[[#This Row],[سبتمبر]]/$AJ$187</f>
        <v>1.6307692307692307</v>
      </c>
      <c r="AL73" s="119" t="s">
        <v>64</v>
      </c>
      <c r="AM73" s="123">
        <v>1325</v>
      </c>
      <c r="AN73" s="121">
        <f>MyGrid3[[#This Row],[أكتوبر]]/$AM$187</f>
        <v>1.6307692307692307</v>
      </c>
      <c r="AO73" s="122" t="s">
        <v>64</v>
      </c>
      <c r="AP73" s="123">
        <v>1325</v>
      </c>
      <c r="AQ73" s="125">
        <f>MyGrid3[[#This Row],[نوفمبر]]/$AP$187</f>
        <v>1.6307692307692307</v>
      </c>
      <c r="AR73" s="119" t="s">
        <v>64</v>
      </c>
      <c r="AS73" s="391">
        <f>1288.33-30</f>
        <v>1258.33</v>
      </c>
      <c r="AT73" s="121">
        <f>MyGrid3[[#This Row],[ديسمبر]]/$AS$187</f>
        <v>1.5487138461538461</v>
      </c>
      <c r="AU73" s="126">
        <f t="shared" si="0"/>
        <v>17145.830000000002</v>
      </c>
      <c r="AV73" s="127">
        <f>MyGrid3[[#This Row],[الإجمالي]]/$AU$187</f>
        <v>1.4104527214784812</v>
      </c>
    </row>
    <row r="74" spans="1:48" s="128" customFormat="1" ht="33" hidden="1" customHeight="1">
      <c r="A74" s="110">
        <f>SUBTOTAL(3,$B$4:B74)</f>
        <v>0</v>
      </c>
      <c r="B74" s="111">
        <v>690187</v>
      </c>
      <c r="C74" s="112" t="s">
        <v>1029</v>
      </c>
      <c r="D74" s="113" t="s">
        <v>969</v>
      </c>
      <c r="E74" s="164" t="s">
        <v>64</v>
      </c>
      <c r="F74" s="115">
        <f>RANK(G74,MyGrid3[الاساسي])</f>
        <v>65</v>
      </c>
      <c r="G74" s="116">
        <v>900</v>
      </c>
      <c r="H74" s="114" t="s">
        <v>64</v>
      </c>
      <c r="I74" s="115">
        <f>RANK(J74,MyGrid3[يناير])</f>
        <v>13</v>
      </c>
      <c r="J74" s="141">
        <v>1550</v>
      </c>
      <c r="K74" s="118">
        <f>MyGrid3[[#This Row],[يناير]]/$J$187</f>
        <v>1.0973451327433628</v>
      </c>
      <c r="L74" s="119" t="s">
        <v>64</v>
      </c>
      <c r="M74" s="115">
        <f>RANK(N74,MyGrid3[فبراير])</f>
        <v>16</v>
      </c>
      <c r="N74" s="120">
        <v>1550</v>
      </c>
      <c r="O74" s="121">
        <f>MyGrid3[[#This Row],[فبراير]]/$N$187</f>
        <v>1.0973451327433628</v>
      </c>
      <c r="P74" s="122" t="s">
        <v>64</v>
      </c>
      <c r="Q74" s="115">
        <f>RANK(R74,MyGrid3[مارس])</f>
        <v>25</v>
      </c>
      <c r="R74" s="123">
        <v>1550</v>
      </c>
      <c r="S74" s="118">
        <f>MyGrid3[[#This Row],[مارس]]/$R$187</f>
        <v>1.0973451327433628</v>
      </c>
      <c r="T74" s="119" t="s">
        <v>64</v>
      </c>
      <c r="U74" s="397">
        <v>1550</v>
      </c>
      <c r="V74" s="121">
        <f>MyGrid3[[#This Row],[أبريل]]/$U$187</f>
        <v>1.0973451327433628</v>
      </c>
      <c r="W74" s="122" t="s">
        <v>64</v>
      </c>
      <c r="X74" s="397">
        <v>1512.5</v>
      </c>
      <c r="Y74" s="118">
        <f>MyGrid3[[#This Row],[مايو]]/$X$187</f>
        <v>1.069214401345973</v>
      </c>
      <c r="Z74" s="119" t="s">
        <v>64</v>
      </c>
      <c r="AA74" s="123">
        <v>1550</v>
      </c>
      <c r="AB74" s="121">
        <f>MyGrid3[[#This Row],[يونيو]]/$AA$187</f>
        <v>7.1537360963677488</v>
      </c>
      <c r="AC74" s="122" t="s">
        <v>64</v>
      </c>
      <c r="AD74" s="123">
        <v>1325</v>
      </c>
      <c r="AE74" s="118">
        <f>MyGrid3[[#This Row],[يوليو]]/$AD$187</f>
        <v>1.6307692307692307</v>
      </c>
      <c r="AF74" s="139" t="s">
        <v>64</v>
      </c>
      <c r="AG74" s="144">
        <v>1325</v>
      </c>
      <c r="AH74" s="121">
        <f>MyGrid3[[#This Row],[أغسطس]]/$AG$187</f>
        <v>1.6307692307692307</v>
      </c>
      <c r="AI74" s="122" t="s">
        <v>64</v>
      </c>
      <c r="AJ74" s="123">
        <v>1325</v>
      </c>
      <c r="AK74" s="118">
        <f>MyGrid3[[#This Row],[سبتمبر]]/$AJ$187</f>
        <v>1.6307692307692307</v>
      </c>
      <c r="AL74" s="119" t="s">
        <v>64</v>
      </c>
      <c r="AM74" s="123">
        <v>1325</v>
      </c>
      <c r="AN74" s="121">
        <f>MyGrid3[[#This Row],[أكتوبر]]/$AM$187</f>
        <v>1.6307692307692307</v>
      </c>
      <c r="AO74" s="122" t="s">
        <v>64</v>
      </c>
      <c r="AP74" s="123">
        <v>1325</v>
      </c>
      <c r="AQ74" s="125">
        <f>MyGrid3[[#This Row],[نوفمبر]]/$AP$187</f>
        <v>1.6307692307692307</v>
      </c>
      <c r="AR74" s="119" t="s">
        <v>64</v>
      </c>
      <c r="AS74" s="391">
        <v>1325</v>
      </c>
      <c r="AT74" s="121">
        <f>MyGrid3[[#This Row],[ديسمبر]]/$AS$187</f>
        <v>1.6307692307692307</v>
      </c>
      <c r="AU74" s="126">
        <f t="shared" si="0"/>
        <v>17212.5</v>
      </c>
      <c r="AV74" s="127">
        <f>MyGrid3[[#This Row],[الإجمالي]]/$AU$187</f>
        <v>1.4159371385607087</v>
      </c>
    </row>
    <row r="75" spans="1:48" s="128" customFormat="1" ht="33" hidden="1" customHeight="1">
      <c r="A75" s="110">
        <f>SUBTOTAL(3,$B$4:B75)</f>
        <v>0</v>
      </c>
      <c r="B75" s="111">
        <v>690188</v>
      </c>
      <c r="C75" s="112" t="s">
        <v>1030</v>
      </c>
      <c r="D75" s="113" t="s">
        <v>969</v>
      </c>
      <c r="E75" s="164" t="s">
        <v>64</v>
      </c>
      <c r="F75" s="115">
        <f>RANK(G75,MyGrid3[الاساسي])</f>
        <v>65</v>
      </c>
      <c r="G75" s="116">
        <v>900</v>
      </c>
      <c r="H75" s="114" t="s">
        <v>64</v>
      </c>
      <c r="I75" s="115">
        <f>RANK(J75,MyGrid3[يناير])</f>
        <v>13</v>
      </c>
      <c r="J75" s="141">
        <v>1550</v>
      </c>
      <c r="K75" s="118">
        <f>MyGrid3[[#This Row],[يناير]]/$J$187</f>
        <v>1.0973451327433628</v>
      </c>
      <c r="L75" s="119" t="s">
        <v>64</v>
      </c>
      <c r="M75" s="115">
        <f>RANK(N75,MyGrid3[فبراير])</f>
        <v>16</v>
      </c>
      <c r="N75" s="120">
        <v>1550</v>
      </c>
      <c r="O75" s="121">
        <f>MyGrid3[[#This Row],[فبراير]]/$N$187</f>
        <v>1.0973451327433628</v>
      </c>
      <c r="P75" s="122" t="s">
        <v>64</v>
      </c>
      <c r="Q75" s="115">
        <f>RANK(R75,MyGrid3[مارس])</f>
        <v>25</v>
      </c>
      <c r="R75" s="123">
        <v>1550</v>
      </c>
      <c r="S75" s="118">
        <f>MyGrid3[[#This Row],[مارس]]/$R$187</f>
        <v>1.0973451327433628</v>
      </c>
      <c r="T75" s="119" t="s">
        <v>64</v>
      </c>
      <c r="U75" s="397">
        <v>1550</v>
      </c>
      <c r="V75" s="121">
        <f>MyGrid3[[#This Row],[أبريل]]/$U$187</f>
        <v>1.0973451327433628</v>
      </c>
      <c r="W75" s="122" t="s">
        <v>64</v>
      </c>
      <c r="X75" s="397">
        <v>1512.5</v>
      </c>
      <c r="Y75" s="118">
        <f>MyGrid3[[#This Row],[مايو]]/$X$187</f>
        <v>1.069214401345973</v>
      </c>
      <c r="Z75" s="119" t="s">
        <v>64</v>
      </c>
      <c r="AA75" s="123">
        <v>1550</v>
      </c>
      <c r="AB75" s="121">
        <f>MyGrid3[[#This Row],[يونيو]]/$AA$187</f>
        <v>7.1537360963677488</v>
      </c>
      <c r="AC75" s="122" t="s">
        <v>64</v>
      </c>
      <c r="AD75" s="123">
        <v>1325</v>
      </c>
      <c r="AE75" s="118">
        <f>MyGrid3[[#This Row],[يوليو]]/$AD$187</f>
        <v>1.6307692307692307</v>
      </c>
      <c r="AF75" s="139" t="s">
        <v>64</v>
      </c>
      <c r="AG75" s="144">
        <v>1325</v>
      </c>
      <c r="AH75" s="121">
        <f>MyGrid3[[#This Row],[أغسطس]]/$AG$187</f>
        <v>1.6307692307692307</v>
      </c>
      <c r="AI75" s="122" t="s">
        <v>64</v>
      </c>
      <c r="AJ75" s="123">
        <v>1325</v>
      </c>
      <c r="AK75" s="118">
        <f>MyGrid3[[#This Row],[سبتمبر]]/$AJ$187</f>
        <v>1.6307692307692307</v>
      </c>
      <c r="AL75" s="119" t="s">
        <v>64</v>
      </c>
      <c r="AM75" s="123">
        <v>1325</v>
      </c>
      <c r="AN75" s="121">
        <f>MyGrid3[[#This Row],[أكتوبر]]/$AM$187</f>
        <v>1.6307692307692307</v>
      </c>
      <c r="AO75" s="122" t="s">
        <v>64</v>
      </c>
      <c r="AP75" s="123">
        <v>1325</v>
      </c>
      <c r="AQ75" s="125">
        <f>MyGrid3[[#This Row],[نوفمبر]]/$AP$187</f>
        <v>1.6307692307692307</v>
      </c>
      <c r="AR75" s="119" t="s">
        <v>64</v>
      </c>
      <c r="AS75" s="391">
        <v>1325</v>
      </c>
      <c r="AT75" s="121">
        <f>MyGrid3[[#This Row],[ديسمبر]]/$AS$187</f>
        <v>1.6307692307692307</v>
      </c>
      <c r="AU75" s="126">
        <f t="shared" si="0"/>
        <v>17212.5</v>
      </c>
      <c r="AV75" s="127">
        <f>MyGrid3[[#This Row],[الإجمالي]]/$AU$187</f>
        <v>1.4159371385607087</v>
      </c>
    </row>
    <row r="76" spans="1:48" s="128" customFormat="1" ht="33" hidden="1" customHeight="1">
      <c r="A76" s="110">
        <f>SUBTOTAL(3,$B$4:B76)</f>
        <v>0</v>
      </c>
      <c r="B76" s="111">
        <v>690189</v>
      </c>
      <c r="C76" s="112" t="s">
        <v>1031</v>
      </c>
      <c r="D76" s="113" t="s">
        <v>1034</v>
      </c>
      <c r="E76" s="164" t="s">
        <v>64</v>
      </c>
      <c r="F76" s="115">
        <f>RANK(G76,MyGrid3[الاساسي])</f>
        <v>80</v>
      </c>
      <c r="G76" s="116">
        <v>775</v>
      </c>
      <c r="H76" s="114" t="s">
        <v>64</v>
      </c>
      <c r="I76" s="115">
        <f>RANK(J76,MyGrid3[يناير])</f>
        <v>23</v>
      </c>
      <c r="J76" s="141">
        <v>1387.5</v>
      </c>
      <c r="K76" s="118">
        <f>MyGrid3[[#This Row],[يناير]]/$J$187</f>
        <v>0.98230088495575218</v>
      </c>
      <c r="L76" s="119" t="s">
        <v>64</v>
      </c>
      <c r="M76" s="115">
        <f>RANK(N76,MyGrid3[فبراير])</f>
        <v>26</v>
      </c>
      <c r="N76" s="120">
        <v>1387.5</v>
      </c>
      <c r="O76" s="121">
        <f>MyGrid3[[#This Row],[فبراير]]/$N$187</f>
        <v>0.98230088495575218</v>
      </c>
      <c r="P76" s="122" t="s">
        <v>64</v>
      </c>
      <c r="Q76" s="115">
        <f>RANK(R76,MyGrid3[مارس])</f>
        <v>35</v>
      </c>
      <c r="R76" s="123">
        <v>1387.5</v>
      </c>
      <c r="S76" s="118">
        <f>MyGrid3[[#This Row],[مارس]]/$R$187</f>
        <v>0.98230088495575218</v>
      </c>
      <c r="T76" s="119" t="s">
        <v>64</v>
      </c>
      <c r="U76" s="397">
        <v>1400</v>
      </c>
      <c r="V76" s="121">
        <f>MyGrid3[[#This Row],[أبريل]]/$U$187</f>
        <v>0.99115044247787609</v>
      </c>
      <c r="W76" s="122" t="s">
        <v>64</v>
      </c>
      <c r="X76" s="397">
        <v>1366.67</v>
      </c>
      <c r="Y76" s="118">
        <f>MyGrid3[[#This Row],[مايو]]/$X$187</f>
        <v>0.9661244600909098</v>
      </c>
      <c r="Z76" s="119" t="s">
        <v>64</v>
      </c>
      <c r="AA76" s="123">
        <v>366.67</v>
      </c>
      <c r="AB76" s="121">
        <f>MyGrid3[[#This Row],[يونيو]]/$AA$187</f>
        <v>1.6922970415839758</v>
      </c>
      <c r="AC76" s="122" t="s">
        <v>64</v>
      </c>
      <c r="AD76" s="123">
        <v>366.67</v>
      </c>
      <c r="AE76" s="118">
        <f>MyGrid3[[#This Row],[يوليو]]/$AD$187</f>
        <v>0.45128615384615389</v>
      </c>
      <c r="AF76" s="139" t="s">
        <v>64</v>
      </c>
      <c r="AG76" s="144">
        <v>366.67</v>
      </c>
      <c r="AH76" s="121">
        <f>MyGrid3[[#This Row],[أغسطس]]/$AG$187</f>
        <v>0.45128615384615389</v>
      </c>
      <c r="AI76" s="122" t="s">
        <v>64</v>
      </c>
      <c r="AJ76" s="123">
        <v>1050</v>
      </c>
      <c r="AK76" s="118">
        <f>MyGrid3[[#This Row],[سبتمبر]]/$AJ$187</f>
        <v>1.2923076923076924</v>
      </c>
      <c r="AL76" s="119" t="s">
        <v>64</v>
      </c>
      <c r="AM76" s="123">
        <v>1200</v>
      </c>
      <c r="AN76" s="121">
        <f>MyGrid3[[#This Row],[أكتوبر]]/$AM$187</f>
        <v>1.476923076923077</v>
      </c>
      <c r="AO76" s="122" t="s">
        <v>64</v>
      </c>
      <c r="AP76" s="123">
        <v>1200</v>
      </c>
      <c r="AQ76" s="125">
        <f>MyGrid3[[#This Row],[نوفمبر]]/$AP$187</f>
        <v>1.476923076923077</v>
      </c>
      <c r="AR76" s="119" t="s">
        <v>64</v>
      </c>
      <c r="AS76" s="391">
        <v>1200</v>
      </c>
      <c r="AT76" s="121">
        <f>MyGrid3[[#This Row],[ديسمبر]]/$AS$187</f>
        <v>1.476923076923077</v>
      </c>
      <c r="AU76" s="126">
        <f t="shared" si="0"/>
        <v>12679.18</v>
      </c>
      <c r="AV76" s="127">
        <f>MyGrid3[[#This Row],[الإجمالي]]/$AU$187</f>
        <v>1.0430165198835826</v>
      </c>
    </row>
    <row r="77" spans="1:48" s="128" customFormat="1" ht="33" hidden="1" customHeight="1">
      <c r="A77" s="110">
        <f>SUBTOTAL(3,$B$4:B77)</f>
        <v>0</v>
      </c>
      <c r="B77" s="111">
        <v>690190</v>
      </c>
      <c r="C77" s="112" t="s">
        <v>1032</v>
      </c>
      <c r="D77" s="113" t="s">
        <v>1034</v>
      </c>
      <c r="E77" s="164" t="s">
        <v>113</v>
      </c>
      <c r="F77" s="115">
        <f>RANK(G77,MyGrid3[الاساسي])</f>
        <v>48</v>
      </c>
      <c r="G77" s="130">
        <v>1100</v>
      </c>
      <c r="H77" s="169" t="s">
        <v>113</v>
      </c>
      <c r="I77" s="115">
        <f>RANK(J77,MyGrid3[يناير])</f>
        <v>12</v>
      </c>
      <c r="J77" s="141">
        <v>1575</v>
      </c>
      <c r="K77" s="118">
        <f>MyGrid3[[#This Row],[يناير]]/$J$187</f>
        <v>1.1150442477876106</v>
      </c>
      <c r="L77" s="145" t="s">
        <v>113</v>
      </c>
      <c r="M77" s="115">
        <f>RANK(N77,MyGrid3[فبراير])</f>
        <v>15</v>
      </c>
      <c r="N77" s="170">
        <v>1575</v>
      </c>
      <c r="O77" s="171">
        <f>MyGrid3[[#This Row],[فبراير]]/$N$187</f>
        <v>1.1150442477876106</v>
      </c>
      <c r="P77" s="146" t="s">
        <v>113</v>
      </c>
      <c r="Q77" s="115">
        <f>RANK(R77,MyGrid3[مارس])</f>
        <v>24</v>
      </c>
      <c r="R77" s="123">
        <v>1575</v>
      </c>
      <c r="S77" s="118">
        <f>MyGrid3[[#This Row],[مارس]]/$R$187</f>
        <v>1.1150442477876106</v>
      </c>
      <c r="T77" s="145" t="s">
        <v>113</v>
      </c>
      <c r="U77" s="397">
        <v>1575</v>
      </c>
      <c r="V77" s="121">
        <f>MyGrid3[[#This Row],[أبريل]]/$U$187</f>
        <v>1.1150442477876106</v>
      </c>
      <c r="W77" s="146" t="s">
        <v>113</v>
      </c>
      <c r="X77" s="397">
        <v>1575</v>
      </c>
      <c r="Y77" s="118">
        <f>MyGrid3[[#This Row],[مايو]]/$X$187</f>
        <v>1.1133968146247324</v>
      </c>
      <c r="Z77" s="145" t="s">
        <v>113</v>
      </c>
      <c r="AA77" s="123">
        <v>1575</v>
      </c>
      <c r="AB77" s="121">
        <f>MyGrid3[[#This Row],[يونيو]]/$AA$187</f>
        <v>7.2691189366317444</v>
      </c>
      <c r="AC77" s="146" t="s">
        <v>113</v>
      </c>
      <c r="AD77" s="123">
        <v>1575</v>
      </c>
      <c r="AE77" s="118">
        <f>MyGrid3[[#This Row],[يوليو]]/$AD$187</f>
        <v>1.9384615384615385</v>
      </c>
      <c r="AF77" s="119" t="s">
        <v>113</v>
      </c>
      <c r="AG77" s="123"/>
      <c r="AH77" s="121">
        <f>MyGrid3[[#This Row],[أغسطس]]/$AG$187</f>
        <v>0</v>
      </c>
      <c r="AI77" s="146" t="s">
        <v>113</v>
      </c>
      <c r="AJ77" s="123"/>
      <c r="AK77" s="118">
        <f>MyGrid3[[#This Row],[سبتمبر]]/$AJ$187</f>
        <v>0</v>
      </c>
      <c r="AL77" s="145" t="s">
        <v>113</v>
      </c>
      <c r="AM77" s="123">
        <v>803.34</v>
      </c>
      <c r="AN77" s="121">
        <f>MyGrid3[[#This Row],[أكتوبر]]/$AM$187</f>
        <v>0.98872615384615392</v>
      </c>
      <c r="AO77" s="146" t="s">
        <v>113</v>
      </c>
      <c r="AP77" s="123">
        <v>1575</v>
      </c>
      <c r="AQ77" s="125">
        <f>MyGrid3[[#This Row],[نوفمبر]]/$AP$187</f>
        <v>1.9384615384615385</v>
      </c>
      <c r="AR77" s="145" t="s">
        <v>113</v>
      </c>
      <c r="AS77" s="391">
        <v>1575</v>
      </c>
      <c r="AT77" s="121">
        <f>MyGrid3[[#This Row],[ديسمبر]]/$AS$187</f>
        <v>1.9384615384615385</v>
      </c>
      <c r="AU77" s="126">
        <f t="shared" si="0"/>
        <v>14978.34</v>
      </c>
      <c r="AV77" s="127">
        <f>MyGrid3[[#This Row],[الإجمالي]]/$AU$187</f>
        <v>1.2321503488737491</v>
      </c>
    </row>
    <row r="78" spans="1:48" s="128" customFormat="1" ht="33" hidden="1" customHeight="1">
      <c r="A78" s="110">
        <f>SUBTOTAL(3,$B$4:B78)</f>
        <v>0</v>
      </c>
      <c r="B78" s="111">
        <v>690191</v>
      </c>
      <c r="C78" s="112" t="s">
        <v>1033</v>
      </c>
      <c r="D78" s="113" t="s">
        <v>1034</v>
      </c>
      <c r="E78" s="164" t="s">
        <v>1014</v>
      </c>
      <c r="F78" s="115">
        <f>RANK(G78,MyGrid3[الاساسي])</f>
        <v>65</v>
      </c>
      <c r="G78" s="116">
        <v>900</v>
      </c>
      <c r="H78" s="165" t="s">
        <v>1014</v>
      </c>
      <c r="I78" s="115">
        <f>RANK(J78,MyGrid3[يناير])</f>
        <v>81</v>
      </c>
      <c r="J78" s="117">
        <v>0</v>
      </c>
      <c r="K78" s="118">
        <f>MyGrid3[[#This Row],[يناير]]/$J$187</f>
        <v>0</v>
      </c>
      <c r="L78" s="166" t="s">
        <v>1014</v>
      </c>
      <c r="M78" s="115">
        <f>RANK(N78,MyGrid3[فبراير])</f>
        <v>62</v>
      </c>
      <c r="N78" s="120">
        <v>810</v>
      </c>
      <c r="O78" s="121">
        <f>MyGrid3[[#This Row],[فبراير]]/$N$187</f>
        <v>0.57345132743362837</v>
      </c>
      <c r="P78" s="168" t="s">
        <v>1014</v>
      </c>
      <c r="Q78" s="115">
        <f>RANK(R78,MyGrid3[مارس])</f>
        <v>40</v>
      </c>
      <c r="R78" s="123">
        <v>1250</v>
      </c>
      <c r="S78" s="118">
        <f>MyGrid3[[#This Row],[مارس]]/$R$187</f>
        <v>0.88495575221238942</v>
      </c>
      <c r="T78" s="166" t="s">
        <v>1014</v>
      </c>
      <c r="U78" s="397">
        <v>1250</v>
      </c>
      <c r="V78" s="121">
        <f>MyGrid3[[#This Row],[أبريل]]/$U$187</f>
        <v>0.88495575221238942</v>
      </c>
      <c r="W78" s="168" t="s">
        <v>1014</v>
      </c>
      <c r="X78" s="397">
        <v>1400</v>
      </c>
      <c r="Y78" s="118">
        <f>MyGrid3[[#This Row],[مايو]]/$X$187</f>
        <v>0.98968605744420646</v>
      </c>
      <c r="Z78" s="166" t="s">
        <v>1014</v>
      </c>
      <c r="AA78" s="123">
        <v>1400</v>
      </c>
      <c r="AB78" s="121">
        <f>MyGrid3[[#This Row],[يونيو]]/$AA$187</f>
        <v>6.4614390547837726</v>
      </c>
      <c r="AC78" s="168" t="s">
        <v>1014</v>
      </c>
      <c r="AD78" s="123">
        <v>1325</v>
      </c>
      <c r="AE78" s="118">
        <f>MyGrid3[[#This Row],[يوليو]]/$AD$187</f>
        <v>1.6307692307692307</v>
      </c>
      <c r="AF78" s="119" t="s">
        <v>1014</v>
      </c>
      <c r="AG78" s="124">
        <v>1325</v>
      </c>
      <c r="AH78" s="121">
        <f>MyGrid3[[#This Row],[أغسطس]]/$AG$187</f>
        <v>1.6307692307692307</v>
      </c>
      <c r="AI78" s="168" t="s">
        <v>1014</v>
      </c>
      <c r="AJ78" s="123">
        <v>1325</v>
      </c>
      <c r="AK78" s="118">
        <f>MyGrid3[[#This Row],[سبتمبر]]/$AJ$187</f>
        <v>1.6307692307692307</v>
      </c>
      <c r="AL78" s="166" t="s">
        <v>1014</v>
      </c>
      <c r="AM78" s="123">
        <v>1325</v>
      </c>
      <c r="AN78" s="121">
        <f>MyGrid3[[#This Row],[أكتوبر]]/$AM$187</f>
        <v>1.6307692307692307</v>
      </c>
      <c r="AO78" s="168" t="s">
        <v>1014</v>
      </c>
      <c r="AP78" s="123">
        <v>1325</v>
      </c>
      <c r="AQ78" s="125">
        <f>MyGrid3[[#This Row],[نوفمبر]]/$AP$187</f>
        <v>1.6307692307692307</v>
      </c>
      <c r="AR78" s="166" t="s">
        <v>1014</v>
      </c>
      <c r="AS78" s="391">
        <v>1325</v>
      </c>
      <c r="AT78" s="121">
        <f>MyGrid3[[#This Row],[ديسمبر]]/$AS$187</f>
        <v>1.6307692307692307</v>
      </c>
      <c r="AU78" s="126">
        <f t="shared" si="0"/>
        <v>14060</v>
      </c>
      <c r="AV78" s="127">
        <f>MyGrid3[[#This Row],[الإجمالي]]/$AU$187</f>
        <v>1.1566057323551815</v>
      </c>
    </row>
    <row r="79" spans="1:48" s="128" customFormat="1" ht="33" hidden="1" customHeight="1">
      <c r="A79" s="110">
        <f>SUBTOTAL(3,$B$4:B79)</f>
        <v>0</v>
      </c>
      <c r="B79" s="111">
        <v>690192</v>
      </c>
      <c r="C79" s="112" t="s">
        <v>1035</v>
      </c>
      <c r="D79" s="113" t="s">
        <v>1034</v>
      </c>
      <c r="E79" s="164" t="s">
        <v>64</v>
      </c>
      <c r="F79" s="115">
        <f>RANK(G79,MyGrid3[الاساسي])</f>
        <v>42</v>
      </c>
      <c r="G79" s="116">
        <v>1400</v>
      </c>
      <c r="H79" s="114" t="s">
        <v>64</v>
      </c>
      <c r="I79" s="115">
        <f>RANK(J79,MyGrid3[يناير])</f>
        <v>81</v>
      </c>
      <c r="J79" s="117">
        <v>0</v>
      </c>
      <c r="K79" s="118">
        <f>MyGrid3[[#This Row],[يناير]]/$J$187</f>
        <v>0</v>
      </c>
      <c r="L79" s="119" t="s">
        <v>64</v>
      </c>
      <c r="M79" s="115">
        <f>RANK(N79,MyGrid3[فبراير])</f>
        <v>9</v>
      </c>
      <c r="N79" s="170">
        <v>1950</v>
      </c>
      <c r="O79" s="121">
        <f>MyGrid3[[#This Row],[فبراير]]/$N$187</f>
        <v>1.3805309734513274</v>
      </c>
      <c r="P79" s="122" t="s">
        <v>64</v>
      </c>
      <c r="Q79" s="115">
        <f>RANK(R79,MyGrid3[مارس])</f>
        <v>17</v>
      </c>
      <c r="R79" s="123">
        <v>1950</v>
      </c>
      <c r="S79" s="118">
        <f>MyGrid3[[#This Row],[مارس]]/$R$187</f>
        <v>1.3805309734513274</v>
      </c>
      <c r="T79" s="119" t="s">
        <v>64</v>
      </c>
      <c r="U79" s="397">
        <v>1950</v>
      </c>
      <c r="V79" s="121">
        <f>MyGrid3[[#This Row],[أبريل]]/$U$187</f>
        <v>1.3805309734513274</v>
      </c>
      <c r="W79" s="122" t="s">
        <v>64</v>
      </c>
      <c r="X79" s="138">
        <v>2066.67</v>
      </c>
      <c r="Y79" s="118">
        <f>MyGrid3[[#This Row],[مايو]]/$X$187</f>
        <v>1.4609674888130131</v>
      </c>
      <c r="Z79" s="119" t="s">
        <v>64</v>
      </c>
      <c r="AA79" s="123">
        <v>2066.67</v>
      </c>
      <c r="AB79" s="121">
        <f>MyGrid3[[#This Row],[يونيو]]/$AA$187</f>
        <v>9.5383301795357003</v>
      </c>
      <c r="AC79" s="122" t="s">
        <v>64</v>
      </c>
      <c r="AD79" s="123">
        <v>1950</v>
      </c>
      <c r="AE79" s="118">
        <f>MyGrid3[[#This Row],[يوليو]]/$AD$187</f>
        <v>2.4</v>
      </c>
      <c r="AF79" s="139" t="s">
        <v>64</v>
      </c>
      <c r="AG79" s="124">
        <v>1950</v>
      </c>
      <c r="AH79" s="121">
        <f>MyGrid3[[#This Row],[أغسطس]]/$AG$187</f>
        <v>2.4</v>
      </c>
      <c r="AI79" s="122" t="s">
        <v>64</v>
      </c>
      <c r="AJ79" s="123">
        <v>1950</v>
      </c>
      <c r="AK79" s="118">
        <f>MyGrid3[[#This Row],[سبتمبر]]/$AJ$187</f>
        <v>2.4</v>
      </c>
      <c r="AL79" s="119" t="s">
        <v>64</v>
      </c>
      <c r="AM79" s="123">
        <v>1950</v>
      </c>
      <c r="AN79" s="121">
        <f>MyGrid3[[#This Row],[أكتوبر]]/$AM$187</f>
        <v>2.4</v>
      </c>
      <c r="AO79" s="122" t="s">
        <v>64</v>
      </c>
      <c r="AP79" s="123">
        <v>1950</v>
      </c>
      <c r="AQ79" s="125">
        <f>MyGrid3[[#This Row],[نوفمبر]]/$AP$187</f>
        <v>2.4</v>
      </c>
      <c r="AR79" s="119" t="s">
        <v>64</v>
      </c>
      <c r="AS79" s="391">
        <f>1896.66-46.67</f>
        <v>1849.99</v>
      </c>
      <c r="AT79" s="121">
        <f>MyGrid3[[#This Row],[ديسمبر]]/$AS$187</f>
        <v>2.2769107692307693</v>
      </c>
      <c r="AU79" s="126">
        <f t="shared" si="0"/>
        <v>21583.33</v>
      </c>
      <c r="AV79" s="127">
        <f>MyGrid3[[#This Row],[الإجمالي]]/$AU$187</f>
        <v>1.7754909816012492</v>
      </c>
    </row>
    <row r="80" spans="1:48" s="128" customFormat="1" ht="33" hidden="1" customHeight="1">
      <c r="A80" s="110">
        <f>SUBTOTAL(3,$B$4:B80)</f>
        <v>0</v>
      </c>
      <c r="B80" s="111">
        <v>690193</v>
      </c>
      <c r="C80" s="112" t="s">
        <v>1036</v>
      </c>
      <c r="D80" s="113" t="s">
        <v>1034</v>
      </c>
      <c r="E80" s="164" t="s">
        <v>64</v>
      </c>
      <c r="F80" s="115">
        <f>RANK(G80,MyGrid3[الاساسي])</f>
        <v>80</v>
      </c>
      <c r="G80" s="116">
        <v>775</v>
      </c>
      <c r="H80" s="131"/>
      <c r="I80" s="132">
        <f>RANK(J80,MyGrid3[يناير])</f>
        <v>81</v>
      </c>
      <c r="J80" s="117"/>
      <c r="K80" s="118">
        <f>MyGrid3[[#This Row],[يناير]]/$J$187</f>
        <v>0</v>
      </c>
      <c r="L80" s="119" t="s">
        <v>64</v>
      </c>
      <c r="M80" s="132">
        <f>RANK(N80,MyGrid3[فبراير])</f>
        <v>101</v>
      </c>
      <c r="N80" s="134"/>
      <c r="O80" s="121">
        <f>MyGrid3[[#This Row],[فبراير]]/$N$187</f>
        <v>0</v>
      </c>
      <c r="P80" s="122" t="s">
        <v>64</v>
      </c>
      <c r="Q80" s="132">
        <f>RANK(R80,MyGrid3[مارس])</f>
        <v>110</v>
      </c>
      <c r="R80" s="123"/>
      <c r="S80" s="118">
        <f>MyGrid3[[#This Row],[مارس]]/$R$187</f>
        <v>0</v>
      </c>
      <c r="T80" s="119" t="s">
        <v>64</v>
      </c>
      <c r="U80" s="397">
        <v>1093.75</v>
      </c>
      <c r="V80" s="121">
        <f>MyGrid3[[#This Row],[أبريل]]/$U$187</f>
        <v>0.77433628318584069</v>
      </c>
      <c r="W80" s="122" t="s">
        <v>64</v>
      </c>
      <c r="X80" s="138">
        <v>1258.33</v>
      </c>
      <c r="Y80" s="118">
        <f>MyGrid3[[#This Row],[مايو]]/$X$187</f>
        <v>0.88953689761697741</v>
      </c>
      <c r="Z80" s="119" t="s">
        <v>64</v>
      </c>
      <c r="AA80" s="123">
        <v>1258.33</v>
      </c>
      <c r="AB80" s="121">
        <f>MyGrid3[[#This Row],[يونيو]]/$AA$187</f>
        <v>5.8075875755757602</v>
      </c>
      <c r="AC80" s="122" t="s">
        <v>64</v>
      </c>
      <c r="AD80" s="123">
        <v>1193.75</v>
      </c>
      <c r="AE80" s="118">
        <f>MyGrid3[[#This Row],[يوليو]]/$AD$187</f>
        <v>1.4692307692307693</v>
      </c>
      <c r="AF80" s="139" t="s">
        <v>64</v>
      </c>
      <c r="AG80" s="124">
        <v>1193.75</v>
      </c>
      <c r="AH80" s="121">
        <f>MyGrid3[[#This Row],[أغسطس]]/$AG$187</f>
        <v>1.4692307692307693</v>
      </c>
      <c r="AI80" s="122" t="s">
        <v>64</v>
      </c>
      <c r="AJ80" s="123">
        <v>1193.75</v>
      </c>
      <c r="AK80" s="118">
        <f>MyGrid3[[#This Row],[سبتمبر]]/$AJ$187</f>
        <v>1.4692307692307693</v>
      </c>
      <c r="AL80" s="119" t="s">
        <v>64</v>
      </c>
      <c r="AM80" s="123">
        <v>1193.75</v>
      </c>
      <c r="AN80" s="121">
        <f>MyGrid3[[#This Row],[أكتوبر]]/$AM$187</f>
        <v>1.4692307692307693</v>
      </c>
      <c r="AO80" s="122" t="s">
        <v>64</v>
      </c>
      <c r="AP80" s="123">
        <v>1193.75</v>
      </c>
      <c r="AQ80" s="125">
        <f>MyGrid3[[#This Row],[نوفمبر]]/$AP$187</f>
        <v>1.4692307692307693</v>
      </c>
      <c r="AR80" s="119" t="s">
        <v>64</v>
      </c>
      <c r="AS80" s="391">
        <v>1193.75</v>
      </c>
      <c r="AT80" s="121">
        <f>MyGrid3[[#This Row],[ديسمبر]]/$AS$187</f>
        <v>1.4692307692307693</v>
      </c>
      <c r="AU80" s="126">
        <f t="shared" si="0"/>
        <v>10772.91</v>
      </c>
      <c r="AV80" s="127">
        <f>MyGrid3[[#This Row],[الإجمالي]]/$AU$187</f>
        <v>0.88620266430629158</v>
      </c>
    </row>
    <row r="81" spans="1:48" s="128" customFormat="1" ht="33" hidden="1" customHeight="1">
      <c r="A81" s="110">
        <f>SUBTOTAL(3,$B$4:B81)</f>
        <v>0</v>
      </c>
      <c r="B81" s="111">
        <v>690194</v>
      </c>
      <c r="C81" s="112" t="s">
        <v>1037</v>
      </c>
      <c r="D81" s="113" t="s">
        <v>1034</v>
      </c>
      <c r="E81" s="164" t="s">
        <v>994</v>
      </c>
      <c r="F81" s="115">
        <f>RANK(G81,MyGrid3[الاساسي])</f>
        <v>80</v>
      </c>
      <c r="G81" s="116">
        <v>775</v>
      </c>
      <c r="H81" s="151" t="s">
        <v>994</v>
      </c>
      <c r="I81" s="115">
        <f>RANK(J81,MyGrid3[يناير])</f>
        <v>81</v>
      </c>
      <c r="J81" s="117">
        <v>0</v>
      </c>
      <c r="K81" s="118">
        <f>MyGrid3[[#This Row],[يناير]]/$J$187</f>
        <v>0</v>
      </c>
      <c r="L81" s="152" t="s">
        <v>994</v>
      </c>
      <c r="M81" s="115">
        <f>RANK(N81,MyGrid3[فبراير])</f>
        <v>101</v>
      </c>
      <c r="N81" s="134">
        <v>0</v>
      </c>
      <c r="O81" s="121">
        <f>MyGrid3[[#This Row],[فبراير]]/$N$187</f>
        <v>0</v>
      </c>
      <c r="P81" s="153" t="s">
        <v>994</v>
      </c>
      <c r="Q81" s="115">
        <f>RANK(R81,MyGrid3[مارس])</f>
        <v>110</v>
      </c>
      <c r="R81" s="123">
        <v>0</v>
      </c>
      <c r="S81" s="118">
        <f>MyGrid3[[#This Row],[مارس]]/$R$187</f>
        <v>0</v>
      </c>
      <c r="T81" s="152" t="s">
        <v>994</v>
      </c>
      <c r="U81" s="397">
        <v>1093.75</v>
      </c>
      <c r="V81" s="121">
        <f>MyGrid3[[#This Row],[أبريل]]/$U$187</f>
        <v>0.77433628318584069</v>
      </c>
      <c r="W81" s="153" t="s">
        <v>994</v>
      </c>
      <c r="X81" s="138">
        <v>1258.33</v>
      </c>
      <c r="Y81" s="118">
        <f>MyGrid3[[#This Row],[مايو]]/$X$187</f>
        <v>0.88953689761697741</v>
      </c>
      <c r="Z81" s="152" t="s">
        <v>994</v>
      </c>
      <c r="AA81" s="123">
        <v>1258.33</v>
      </c>
      <c r="AB81" s="121">
        <f>MyGrid3[[#This Row],[يونيو]]/$AA$187</f>
        <v>5.8075875755757602</v>
      </c>
      <c r="AC81" s="153" t="s">
        <v>994</v>
      </c>
      <c r="AD81" s="123">
        <v>1193.75</v>
      </c>
      <c r="AE81" s="118">
        <f>MyGrid3[[#This Row],[يوليو]]/$AD$187</f>
        <v>1.4692307692307693</v>
      </c>
      <c r="AF81" s="119" t="s">
        <v>994</v>
      </c>
      <c r="AG81" s="124">
        <v>1193.75</v>
      </c>
      <c r="AH81" s="121">
        <f>MyGrid3[[#This Row],[أغسطس]]/$AG$187</f>
        <v>1.4692307692307693</v>
      </c>
      <c r="AI81" s="153" t="s">
        <v>994</v>
      </c>
      <c r="AJ81" s="123">
        <v>1193.75</v>
      </c>
      <c r="AK81" s="118">
        <f>MyGrid3[[#This Row],[سبتمبر]]/$AJ$187</f>
        <v>1.4692307692307693</v>
      </c>
      <c r="AL81" s="152" t="s">
        <v>994</v>
      </c>
      <c r="AM81" s="123">
        <v>1193.75</v>
      </c>
      <c r="AN81" s="121">
        <f>MyGrid3[[#This Row],[أكتوبر]]/$AM$187</f>
        <v>1.4692307692307693</v>
      </c>
      <c r="AO81" s="153" t="s">
        <v>994</v>
      </c>
      <c r="AP81" s="123">
        <v>1193.75</v>
      </c>
      <c r="AQ81" s="125">
        <f>MyGrid3[[#This Row],[نوفمبر]]/$AP$187</f>
        <v>1.4692307692307693</v>
      </c>
      <c r="AR81" s="152" t="s">
        <v>994</v>
      </c>
      <c r="AS81" s="391">
        <v>1193.75</v>
      </c>
      <c r="AT81" s="121">
        <f>MyGrid3[[#This Row],[ديسمبر]]/$AS$187</f>
        <v>1.4692307692307693</v>
      </c>
      <c r="AU81" s="126">
        <f t="shared" ref="AU81:AU144" si="2">J81+N81+R81+U81+X81+AA81+AD81+AG81+AJ81+AM81+AP81+AS81</f>
        <v>10772.91</v>
      </c>
      <c r="AV81" s="127">
        <f>MyGrid3[[#This Row],[الإجمالي]]/$AU$187</f>
        <v>0.88620266430629158</v>
      </c>
    </row>
    <row r="82" spans="1:48" s="128" customFormat="1" ht="33" hidden="1" customHeight="1">
      <c r="A82" s="110">
        <f>SUBTOTAL(3,$B$4:B82)</f>
        <v>0</v>
      </c>
      <c r="B82" s="111">
        <v>690195</v>
      </c>
      <c r="C82" s="112" t="s">
        <v>1038</v>
      </c>
      <c r="D82" s="113" t="s">
        <v>1034</v>
      </c>
      <c r="E82" s="164" t="s">
        <v>64</v>
      </c>
      <c r="F82" s="115">
        <f>RANK(G82,MyGrid3[الاساسي])</f>
        <v>80</v>
      </c>
      <c r="G82" s="116">
        <v>775</v>
      </c>
      <c r="H82" s="131"/>
      <c r="I82" s="132">
        <f>RANK(J82,MyGrid3[يناير])</f>
        <v>81</v>
      </c>
      <c r="J82" s="117"/>
      <c r="K82" s="118">
        <f>MyGrid3[[#This Row],[يناير]]/$J$187</f>
        <v>0</v>
      </c>
      <c r="L82" s="119" t="s">
        <v>64</v>
      </c>
      <c r="M82" s="132">
        <f>RANK(N82,MyGrid3[فبراير])</f>
        <v>101</v>
      </c>
      <c r="N82" s="134"/>
      <c r="O82" s="121">
        <f>MyGrid3[[#This Row],[فبراير]]/$N$187</f>
        <v>0</v>
      </c>
      <c r="P82" s="122" t="s">
        <v>64</v>
      </c>
      <c r="Q82" s="132">
        <f>RANK(R82,MyGrid3[مارس])</f>
        <v>110</v>
      </c>
      <c r="R82" s="123"/>
      <c r="S82" s="118">
        <f>MyGrid3[[#This Row],[مارس]]/$R$187</f>
        <v>0</v>
      </c>
      <c r="T82" s="119" t="s">
        <v>64</v>
      </c>
      <c r="U82" s="397">
        <v>200</v>
      </c>
      <c r="V82" s="121">
        <f>MyGrid3[[#This Row],[أبريل]]/$U$187</f>
        <v>0.1415929203539823</v>
      </c>
      <c r="W82" s="122" t="s">
        <v>64</v>
      </c>
      <c r="X82" s="138">
        <v>1258.33</v>
      </c>
      <c r="Y82" s="118">
        <f>MyGrid3[[#This Row],[مايو]]/$X$187</f>
        <v>0.88953689761697741</v>
      </c>
      <c r="Z82" s="119" t="s">
        <v>64</v>
      </c>
      <c r="AA82" s="123">
        <v>1258.33</v>
      </c>
      <c r="AB82" s="121">
        <f>MyGrid3[[#This Row],[يونيو]]/$AA$187</f>
        <v>5.8075875755757602</v>
      </c>
      <c r="AC82" s="122" t="s">
        <v>64</v>
      </c>
      <c r="AD82" s="123">
        <v>1193.75</v>
      </c>
      <c r="AE82" s="118">
        <f>MyGrid3[[#This Row],[يوليو]]/$AD$187</f>
        <v>1.4692307692307693</v>
      </c>
      <c r="AF82" s="139" t="s">
        <v>64</v>
      </c>
      <c r="AG82" s="124">
        <v>1193.75</v>
      </c>
      <c r="AH82" s="121">
        <f>MyGrid3[[#This Row],[أغسطس]]/$AG$187</f>
        <v>1.4692307692307693</v>
      </c>
      <c r="AI82" s="122" t="s">
        <v>64</v>
      </c>
      <c r="AJ82" s="123">
        <v>1193.75</v>
      </c>
      <c r="AK82" s="118">
        <f>MyGrid3[[#This Row],[سبتمبر]]/$AJ$187</f>
        <v>1.4692307692307693</v>
      </c>
      <c r="AL82" s="119" t="s">
        <v>64</v>
      </c>
      <c r="AM82" s="123">
        <v>1193.75</v>
      </c>
      <c r="AN82" s="121">
        <f>MyGrid3[[#This Row],[أكتوبر]]/$AM$187</f>
        <v>1.4692307692307693</v>
      </c>
      <c r="AO82" s="122" t="s">
        <v>64</v>
      </c>
      <c r="AP82" s="123">
        <v>1193.75</v>
      </c>
      <c r="AQ82" s="125">
        <f>MyGrid3[[#This Row],[نوفمبر]]/$AP$187</f>
        <v>1.4692307692307693</v>
      </c>
      <c r="AR82" s="119" t="s">
        <v>64</v>
      </c>
      <c r="AS82" s="391">
        <v>1193.75</v>
      </c>
      <c r="AT82" s="121">
        <f>MyGrid3[[#This Row],[ديسمبر]]/$AS$187</f>
        <v>1.4692307692307693</v>
      </c>
      <c r="AU82" s="126">
        <f t="shared" si="2"/>
        <v>9879.16</v>
      </c>
      <c r="AV82" s="127">
        <f>MyGrid3[[#This Row],[الإجمالي]]/$AU$187</f>
        <v>0.81268087388719878</v>
      </c>
    </row>
    <row r="83" spans="1:48" s="128" customFormat="1" ht="33" hidden="1" customHeight="1">
      <c r="A83" s="110">
        <f>SUBTOTAL(3,$B$4:B83)</f>
        <v>0</v>
      </c>
      <c r="B83" s="111">
        <v>690196</v>
      </c>
      <c r="C83" s="112" t="s">
        <v>1039</v>
      </c>
      <c r="D83" s="113" t="s">
        <v>1034</v>
      </c>
      <c r="E83" s="164" t="s">
        <v>64</v>
      </c>
      <c r="F83" s="115">
        <f>RANK(G83,MyGrid3[الاساسي])</f>
        <v>80</v>
      </c>
      <c r="G83" s="116">
        <v>775</v>
      </c>
      <c r="H83" s="131"/>
      <c r="I83" s="132">
        <f>RANK(J83,MyGrid3[يناير])</f>
        <v>81</v>
      </c>
      <c r="J83" s="117"/>
      <c r="K83" s="118">
        <f>MyGrid3[[#This Row],[يناير]]/$J$187</f>
        <v>0</v>
      </c>
      <c r="L83" s="119" t="s">
        <v>64</v>
      </c>
      <c r="M83" s="132">
        <f>RANK(N83,MyGrid3[فبراير])</f>
        <v>101</v>
      </c>
      <c r="N83" s="134"/>
      <c r="O83" s="121">
        <f>MyGrid3[[#This Row],[فبراير]]/$N$187</f>
        <v>0</v>
      </c>
      <c r="P83" s="122" t="s">
        <v>64</v>
      </c>
      <c r="Q83" s="132">
        <f>RANK(R83,MyGrid3[مارس])</f>
        <v>110</v>
      </c>
      <c r="R83" s="123"/>
      <c r="S83" s="118">
        <f>MyGrid3[[#This Row],[مارس]]/$R$187</f>
        <v>0</v>
      </c>
      <c r="T83" s="119" t="s">
        <v>64</v>
      </c>
      <c r="U83" s="397">
        <v>200</v>
      </c>
      <c r="V83" s="121">
        <f>MyGrid3[[#This Row],[أبريل]]/$U$187</f>
        <v>0.1415929203539823</v>
      </c>
      <c r="W83" s="122" t="s">
        <v>64</v>
      </c>
      <c r="X83" s="138">
        <v>1258.33</v>
      </c>
      <c r="Y83" s="118">
        <f>MyGrid3[[#This Row],[مايو]]/$X$187</f>
        <v>0.88953689761697741</v>
      </c>
      <c r="Z83" s="119" t="s">
        <v>64</v>
      </c>
      <c r="AA83" s="123">
        <v>1258.33</v>
      </c>
      <c r="AB83" s="121">
        <f>MyGrid3[[#This Row],[يونيو]]/$AA$187</f>
        <v>5.8075875755757602</v>
      </c>
      <c r="AC83" s="122" t="s">
        <v>64</v>
      </c>
      <c r="AD83" s="123">
        <v>1193.75</v>
      </c>
      <c r="AE83" s="118">
        <f>MyGrid3[[#This Row],[يوليو]]/$AD$187</f>
        <v>1.4692307692307693</v>
      </c>
      <c r="AF83" s="139" t="s">
        <v>64</v>
      </c>
      <c r="AG83" s="124">
        <v>1193.75</v>
      </c>
      <c r="AH83" s="121">
        <f>MyGrid3[[#This Row],[أغسطس]]/$AG$187</f>
        <v>1.4692307692307693</v>
      </c>
      <c r="AI83" s="122" t="s">
        <v>64</v>
      </c>
      <c r="AJ83" s="123">
        <v>1193.75</v>
      </c>
      <c r="AK83" s="118">
        <f>MyGrid3[[#This Row],[سبتمبر]]/$AJ$187</f>
        <v>1.4692307692307693</v>
      </c>
      <c r="AL83" s="119" t="s">
        <v>64</v>
      </c>
      <c r="AM83" s="123">
        <v>1193.75</v>
      </c>
      <c r="AN83" s="121">
        <f>MyGrid3[[#This Row],[أكتوبر]]/$AM$187</f>
        <v>1.4692307692307693</v>
      </c>
      <c r="AO83" s="122" t="s">
        <v>64</v>
      </c>
      <c r="AP83" s="123">
        <v>1193.75</v>
      </c>
      <c r="AQ83" s="125">
        <f>MyGrid3[[#This Row],[نوفمبر]]/$AP$187</f>
        <v>1.4692307692307693</v>
      </c>
      <c r="AR83" s="119" t="s">
        <v>64</v>
      </c>
      <c r="AS83" s="391">
        <v>1193.75</v>
      </c>
      <c r="AT83" s="121">
        <f>MyGrid3[[#This Row],[ديسمبر]]/$AS$187</f>
        <v>1.4692307692307693</v>
      </c>
      <c r="AU83" s="126">
        <f t="shared" si="2"/>
        <v>9879.16</v>
      </c>
      <c r="AV83" s="127">
        <f>MyGrid3[[#This Row],[الإجمالي]]/$AU$187</f>
        <v>0.81268087388719878</v>
      </c>
    </row>
    <row r="84" spans="1:48" s="128" customFormat="1" ht="33" hidden="1" customHeight="1">
      <c r="A84" s="110">
        <f>SUBTOTAL(3,$B$4:B84)</f>
        <v>0</v>
      </c>
      <c r="B84" s="111">
        <v>690197</v>
      </c>
      <c r="C84" s="112" t="s">
        <v>1040</v>
      </c>
      <c r="D84" s="113" t="s">
        <v>1034</v>
      </c>
      <c r="E84" s="164" t="s">
        <v>1007</v>
      </c>
      <c r="F84" s="115">
        <f>RANK(G84,MyGrid3[الاساسي])</f>
        <v>80</v>
      </c>
      <c r="G84" s="116">
        <v>775</v>
      </c>
      <c r="H84" s="157" t="s">
        <v>1007</v>
      </c>
      <c r="I84" s="115">
        <f>RANK(J84,MyGrid3[يناير])</f>
        <v>81</v>
      </c>
      <c r="J84" s="117">
        <v>0</v>
      </c>
      <c r="K84" s="118">
        <f>MyGrid3[[#This Row],[يناير]]/$J$187</f>
        <v>0</v>
      </c>
      <c r="L84" s="158" t="s">
        <v>1007</v>
      </c>
      <c r="M84" s="115">
        <f>RANK(N84,MyGrid3[فبراير])</f>
        <v>101</v>
      </c>
      <c r="N84" s="134">
        <v>0</v>
      </c>
      <c r="O84" s="121">
        <f>MyGrid3[[#This Row],[فبراير]]/$N$187</f>
        <v>0</v>
      </c>
      <c r="P84" s="159" t="s">
        <v>1007</v>
      </c>
      <c r="Q84" s="115">
        <f>RANK(R84,MyGrid3[مارس])</f>
        <v>110</v>
      </c>
      <c r="R84" s="123">
        <v>0</v>
      </c>
      <c r="S84" s="118">
        <f>MyGrid3[[#This Row],[مارس]]/$R$187</f>
        <v>0</v>
      </c>
      <c r="T84" s="158" t="s">
        <v>1007</v>
      </c>
      <c r="U84" s="397">
        <v>200</v>
      </c>
      <c r="V84" s="121">
        <f>MyGrid3[[#This Row],[أبريل]]/$U$187</f>
        <v>0.1415929203539823</v>
      </c>
      <c r="W84" s="159" t="s">
        <v>1007</v>
      </c>
      <c r="X84" s="138">
        <v>1258.33</v>
      </c>
      <c r="Y84" s="118">
        <f>MyGrid3[[#This Row],[مايو]]/$X$187</f>
        <v>0.88953689761697741</v>
      </c>
      <c r="Z84" s="158" t="s">
        <v>1007</v>
      </c>
      <c r="AA84" s="123">
        <v>1258.33</v>
      </c>
      <c r="AB84" s="121">
        <f>MyGrid3[[#This Row],[يونيو]]/$AA$187</f>
        <v>5.8075875755757602</v>
      </c>
      <c r="AC84" s="159" t="s">
        <v>1007</v>
      </c>
      <c r="AD84" s="123">
        <v>1193.75</v>
      </c>
      <c r="AE84" s="118">
        <f>MyGrid3[[#This Row],[يوليو]]/$AD$187</f>
        <v>1.4692307692307693</v>
      </c>
      <c r="AF84" s="119" t="s">
        <v>1007</v>
      </c>
      <c r="AG84" s="124">
        <v>1193.75</v>
      </c>
      <c r="AH84" s="121">
        <f>MyGrid3[[#This Row],[أغسطس]]/$AG$187</f>
        <v>1.4692307692307693</v>
      </c>
      <c r="AI84" s="159" t="s">
        <v>1007</v>
      </c>
      <c r="AJ84" s="123">
        <v>1193.75</v>
      </c>
      <c r="AK84" s="118">
        <f>MyGrid3[[#This Row],[سبتمبر]]/$AJ$187</f>
        <v>1.4692307692307693</v>
      </c>
      <c r="AL84" s="158" t="s">
        <v>1007</v>
      </c>
      <c r="AM84" s="123">
        <v>1193.75</v>
      </c>
      <c r="AN84" s="121">
        <f>MyGrid3[[#This Row],[أكتوبر]]/$AM$187</f>
        <v>1.4692307692307693</v>
      </c>
      <c r="AO84" s="159" t="s">
        <v>1007</v>
      </c>
      <c r="AP84" s="123">
        <v>1193.75</v>
      </c>
      <c r="AQ84" s="125">
        <f>MyGrid3[[#This Row],[نوفمبر]]/$AP$187</f>
        <v>1.4692307692307693</v>
      </c>
      <c r="AR84" s="158" t="s">
        <v>1007</v>
      </c>
      <c r="AS84" s="391">
        <v>1193.75</v>
      </c>
      <c r="AT84" s="121">
        <f>MyGrid3[[#This Row],[ديسمبر]]/$AS$187</f>
        <v>1.4692307692307693</v>
      </c>
      <c r="AU84" s="126">
        <f t="shared" si="2"/>
        <v>9879.16</v>
      </c>
      <c r="AV84" s="127">
        <f>MyGrid3[[#This Row],[الإجمالي]]/$AU$187</f>
        <v>0.81268087388719878</v>
      </c>
    </row>
    <row r="85" spans="1:48" s="128" customFormat="1" ht="33" hidden="1" customHeight="1">
      <c r="A85" s="110">
        <f>SUBTOTAL(3,$B$4:B85)</f>
        <v>0</v>
      </c>
      <c r="B85" s="111">
        <v>690198</v>
      </c>
      <c r="C85" s="112" t="s">
        <v>1041</v>
      </c>
      <c r="D85" s="113" t="s">
        <v>1034</v>
      </c>
      <c r="E85" s="164" t="s">
        <v>64</v>
      </c>
      <c r="F85" s="115">
        <f>RANK(G85,MyGrid3[الاساسي])</f>
        <v>80</v>
      </c>
      <c r="G85" s="116">
        <v>775</v>
      </c>
      <c r="H85" s="131"/>
      <c r="I85" s="132">
        <f>RANK(J85,MyGrid3[يناير])</f>
        <v>81</v>
      </c>
      <c r="J85" s="117"/>
      <c r="K85" s="118">
        <f>MyGrid3[[#This Row],[يناير]]/$J$187</f>
        <v>0</v>
      </c>
      <c r="L85" s="119" t="s">
        <v>64</v>
      </c>
      <c r="M85" s="132">
        <f>RANK(N85,MyGrid3[فبراير])</f>
        <v>101</v>
      </c>
      <c r="N85" s="134"/>
      <c r="O85" s="121">
        <f>MyGrid3[[#This Row],[فبراير]]/$N$187</f>
        <v>0</v>
      </c>
      <c r="P85" s="122" t="s">
        <v>64</v>
      </c>
      <c r="Q85" s="132">
        <f>RANK(R85,MyGrid3[مارس])</f>
        <v>110</v>
      </c>
      <c r="R85" s="123"/>
      <c r="S85" s="118">
        <f>MyGrid3[[#This Row],[مارس]]/$R$187</f>
        <v>0</v>
      </c>
      <c r="T85" s="119" t="s">
        <v>64</v>
      </c>
      <c r="U85" s="397">
        <v>200</v>
      </c>
      <c r="V85" s="121">
        <f>MyGrid3[[#This Row],[أبريل]]/$U$187</f>
        <v>0.1415929203539823</v>
      </c>
      <c r="W85" s="122" t="s">
        <v>64</v>
      </c>
      <c r="X85" s="138">
        <v>1258.33</v>
      </c>
      <c r="Y85" s="118">
        <f>MyGrid3[[#This Row],[مايو]]/$X$187</f>
        <v>0.88953689761697741</v>
      </c>
      <c r="Z85" s="119" t="s">
        <v>64</v>
      </c>
      <c r="AA85" s="123">
        <v>1258.33</v>
      </c>
      <c r="AB85" s="121">
        <f>MyGrid3[[#This Row],[يونيو]]/$AA$187</f>
        <v>5.8075875755757602</v>
      </c>
      <c r="AC85" s="122" t="s">
        <v>64</v>
      </c>
      <c r="AD85" s="123">
        <v>1193.75</v>
      </c>
      <c r="AE85" s="118">
        <f>MyGrid3[[#This Row],[يوليو]]/$AD$187</f>
        <v>1.4692307692307693</v>
      </c>
      <c r="AF85" s="139" t="s">
        <v>64</v>
      </c>
      <c r="AG85" s="124">
        <v>1193.75</v>
      </c>
      <c r="AH85" s="121">
        <f>MyGrid3[[#This Row],[أغسطس]]/$AG$187</f>
        <v>1.4692307692307693</v>
      </c>
      <c r="AI85" s="122" t="s">
        <v>64</v>
      </c>
      <c r="AJ85" s="123">
        <v>1193.75</v>
      </c>
      <c r="AK85" s="118">
        <f>MyGrid3[[#This Row],[سبتمبر]]/$AJ$187</f>
        <v>1.4692307692307693</v>
      </c>
      <c r="AL85" s="119" t="s">
        <v>64</v>
      </c>
      <c r="AM85" s="123">
        <v>1193.75</v>
      </c>
      <c r="AN85" s="121">
        <f>MyGrid3[[#This Row],[أكتوبر]]/$AM$187</f>
        <v>1.4692307692307693</v>
      </c>
      <c r="AO85" s="122" t="s">
        <v>64</v>
      </c>
      <c r="AP85" s="123">
        <v>1193.75</v>
      </c>
      <c r="AQ85" s="125">
        <f>MyGrid3[[#This Row],[نوفمبر]]/$AP$187</f>
        <v>1.4692307692307693</v>
      </c>
      <c r="AR85" s="119" t="s">
        <v>64</v>
      </c>
      <c r="AS85" s="391">
        <v>1193.75</v>
      </c>
      <c r="AT85" s="121">
        <f>MyGrid3[[#This Row],[ديسمبر]]/$AS$187</f>
        <v>1.4692307692307693</v>
      </c>
      <c r="AU85" s="126">
        <f t="shared" si="2"/>
        <v>9879.16</v>
      </c>
      <c r="AV85" s="127">
        <f>MyGrid3[[#This Row],[الإجمالي]]/$AU$187</f>
        <v>0.81268087388719878</v>
      </c>
    </row>
    <row r="86" spans="1:48" s="128" customFormat="1" ht="33" hidden="1" customHeight="1">
      <c r="A86" s="110">
        <f>SUBTOTAL(3,$B$4:B86)</f>
        <v>0</v>
      </c>
      <c r="B86" s="111">
        <v>690199</v>
      </c>
      <c r="C86" s="112" t="s">
        <v>1042</v>
      </c>
      <c r="D86" s="113" t="s">
        <v>1034</v>
      </c>
      <c r="E86" s="164" t="s">
        <v>64</v>
      </c>
      <c r="F86" s="115">
        <f>RANK(G86,MyGrid3[الاساسي])</f>
        <v>80</v>
      </c>
      <c r="G86" s="116">
        <v>775</v>
      </c>
      <c r="H86" s="131"/>
      <c r="I86" s="132">
        <f>RANK(J86,MyGrid3[يناير])</f>
        <v>81</v>
      </c>
      <c r="J86" s="117"/>
      <c r="K86" s="118">
        <f>MyGrid3[[#This Row],[يناير]]/$J$187</f>
        <v>0</v>
      </c>
      <c r="L86" s="119" t="s">
        <v>64</v>
      </c>
      <c r="M86" s="132">
        <f>RANK(N86,MyGrid3[فبراير])</f>
        <v>101</v>
      </c>
      <c r="N86" s="134"/>
      <c r="O86" s="121">
        <f>MyGrid3[[#This Row],[فبراير]]/$N$187</f>
        <v>0</v>
      </c>
      <c r="P86" s="122" t="s">
        <v>64</v>
      </c>
      <c r="Q86" s="132">
        <f>RANK(R86,MyGrid3[مارس])</f>
        <v>110</v>
      </c>
      <c r="R86" s="123"/>
      <c r="S86" s="118">
        <f>MyGrid3[[#This Row],[مارس]]/$R$187</f>
        <v>0</v>
      </c>
      <c r="T86" s="119" t="s">
        <v>64</v>
      </c>
      <c r="U86" s="397">
        <v>200</v>
      </c>
      <c r="V86" s="121">
        <f>MyGrid3[[#This Row],[أبريل]]/$U$187</f>
        <v>0.1415929203539823</v>
      </c>
      <c r="W86" s="122" t="s">
        <v>64</v>
      </c>
      <c r="X86" s="138">
        <v>1258.33</v>
      </c>
      <c r="Y86" s="118">
        <f>MyGrid3[[#This Row],[مايو]]/$X$187</f>
        <v>0.88953689761697741</v>
      </c>
      <c r="Z86" s="119" t="s">
        <v>64</v>
      </c>
      <c r="AA86" s="123">
        <v>1258.33</v>
      </c>
      <c r="AB86" s="121">
        <f>MyGrid3[[#This Row],[يونيو]]/$AA$187</f>
        <v>5.8075875755757602</v>
      </c>
      <c r="AC86" s="122" t="s">
        <v>64</v>
      </c>
      <c r="AD86" s="123">
        <v>1193.75</v>
      </c>
      <c r="AE86" s="118">
        <f>MyGrid3[[#This Row],[يوليو]]/$AD$187</f>
        <v>1.4692307692307693</v>
      </c>
      <c r="AF86" s="139" t="s">
        <v>64</v>
      </c>
      <c r="AG86" s="124">
        <v>1193.75</v>
      </c>
      <c r="AH86" s="121">
        <f>MyGrid3[[#This Row],[أغسطس]]/$AG$187</f>
        <v>1.4692307692307693</v>
      </c>
      <c r="AI86" s="122" t="s">
        <v>64</v>
      </c>
      <c r="AJ86" s="123">
        <v>1193.75</v>
      </c>
      <c r="AK86" s="118">
        <f>MyGrid3[[#This Row],[سبتمبر]]/$AJ$187</f>
        <v>1.4692307692307693</v>
      </c>
      <c r="AL86" s="119" t="s">
        <v>64</v>
      </c>
      <c r="AM86" s="123">
        <v>1193.75</v>
      </c>
      <c r="AN86" s="121">
        <f>MyGrid3[[#This Row],[أكتوبر]]/$AM$187</f>
        <v>1.4692307692307693</v>
      </c>
      <c r="AO86" s="122" t="s">
        <v>64</v>
      </c>
      <c r="AP86" s="123">
        <v>1193.75</v>
      </c>
      <c r="AQ86" s="125">
        <f>MyGrid3[[#This Row],[نوفمبر]]/$AP$187</f>
        <v>1.4692307692307693</v>
      </c>
      <c r="AR86" s="119" t="s">
        <v>64</v>
      </c>
      <c r="AS86" s="391">
        <v>1193.75</v>
      </c>
      <c r="AT86" s="121">
        <f>MyGrid3[[#This Row],[ديسمبر]]/$AS$187</f>
        <v>1.4692307692307693</v>
      </c>
      <c r="AU86" s="126">
        <f t="shared" si="2"/>
        <v>9879.16</v>
      </c>
      <c r="AV86" s="127">
        <f>MyGrid3[[#This Row],[الإجمالي]]/$AU$187</f>
        <v>0.81268087388719878</v>
      </c>
    </row>
    <row r="87" spans="1:48" s="128" customFormat="1" ht="33" hidden="1" customHeight="1">
      <c r="A87" s="110">
        <f>SUBTOTAL(3,$B$4:B87)</f>
        <v>0</v>
      </c>
      <c r="B87" s="111">
        <v>690200</v>
      </c>
      <c r="C87" s="112"/>
      <c r="D87" s="113" t="s">
        <v>1034</v>
      </c>
      <c r="E87" s="164" t="s">
        <v>64</v>
      </c>
      <c r="F87" s="115">
        <f>RANK(G87,MyGrid3[الاساسي])</f>
        <v>80</v>
      </c>
      <c r="G87" s="116">
        <v>775</v>
      </c>
      <c r="H87" s="131"/>
      <c r="I87" s="132">
        <f>RANK(J87,MyGrid3[يناير])</f>
        <v>81</v>
      </c>
      <c r="J87" s="117"/>
      <c r="K87" s="118">
        <f>MyGrid3[[#This Row],[يناير]]/$J$187</f>
        <v>0</v>
      </c>
      <c r="L87" s="119" t="s">
        <v>64</v>
      </c>
      <c r="M87" s="132">
        <f>RANK(N87,MyGrid3[فبراير])</f>
        <v>101</v>
      </c>
      <c r="N87" s="134"/>
      <c r="O87" s="121">
        <f>MyGrid3[[#This Row],[فبراير]]/$N$187</f>
        <v>0</v>
      </c>
      <c r="P87" s="122" t="s">
        <v>64</v>
      </c>
      <c r="Q87" s="132">
        <f>RANK(R87,MyGrid3[مارس])</f>
        <v>110</v>
      </c>
      <c r="R87" s="123"/>
      <c r="S87" s="118">
        <f>MyGrid3[[#This Row],[مارس]]/$R$187</f>
        <v>0</v>
      </c>
      <c r="T87" s="119" t="s">
        <v>64</v>
      </c>
      <c r="U87" s="397"/>
      <c r="V87" s="121">
        <f>MyGrid3[[#This Row],[أبريل]]/$U$187</f>
        <v>0</v>
      </c>
      <c r="W87" s="122" t="s">
        <v>64</v>
      </c>
      <c r="X87" s="397"/>
      <c r="Y87" s="118">
        <f>MyGrid3[[#This Row],[مايو]]/$X$187</f>
        <v>0</v>
      </c>
      <c r="Z87" s="119" t="s">
        <v>64</v>
      </c>
      <c r="AA87" s="123"/>
      <c r="AB87" s="121">
        <f>MyGrid3[[#This Row],[يونيو]]/$AA$187</f>
        <v>0</v>
      </c>
      <c r="AC87" s="122" t="s">
        <v>64</v>
      </c>
      <c r="AD87" s="123"/>
      <c r="AE87" s="118">
        <f>MyGrid3[[#This Row],[يوليو]]/$AD$187</f>
        <v>0</v>
      </c>
      <c r="AF87" s="139" t="s">
        <v>64</v>
      </c>
      <c r="AG87" s="124">
        <v>1145.31</v>
      </c>
      <c r="AH87" s="121">
        <f>MyGrid3[[#This Row],[أغسطس]]/$AG$187</f>
        <v>1.4096123076923077</v>
      </c>
      <c r="AI87" s="122" t="s">
        <v>64</v>
      </c>
      <c r="AJ87" s="123">
        <v>1193.75</v>
      </c>
      <c r="AK87" s="118">
        <f>MyGrid3[[#This Row],[سبتمبر]]/$AJ$187</f>
        <v>1.4692307692307693</v>
      </c>
      <c r="AL87" s="119" t="s">
        <v>64</v>
      </c>
      <c r="AM87" s="123">
        <v>1193.75</v>
      </c>
      <c r="AN87" s="121">
        <f>MyGrid3[[#This Row],[أكتوبر]]/$AM$187</f>
        <v>1.4692307692307693</v>
      </c>
      <c r="AO87" s="122" t="s">
        <v>64</v>
      </c>
      <c r="AP87" s="123">
        <v>1193.75</v>
      </c>
      <c r="AQ87" s="125">
        <f>MyGrid3[[#This Row],[نوفمبر]]/$AP$187</f>
        <v>1.4692307692307693</v>
      </c>
      <c r="AR87" s="119" t="s">
        <v>64</v>
      </c>
      <c r="AS87" s="391">
        <v>1193.75</v>
      </c>
      <c r="AT87" s="121">
        <f>MyGrid3[[#This Row],[ديسمبر]]/$AS$187</f>
        <v>1.4692307692307693</v>
      </c>
      <c r="AU87" s="126">
        <f t="shared" si="2"/>
        <v>5920.3099999999995</v>
      </c>
      <c r="AV87" s="127">
        <f>MyGrid3[[#This Row],[الإجمالي]]/$AU$187</f>
        <v>0.48701738857181398</v>
      </c>
    </row>
    <row r="88" spans="1:48" s="128" customFormat="1" ht="33" hidden="1" customHeight="1">
      <c r="A88" s="110">
        <f>SUBTOTAL(3,$B$4:B88)</f>
        <v>0</v>
      </c>
      <c r="B88" s="111">
        <v>690201</v>
      </c>
      <c r="C88" s="112"/>
      <c r="D88" s="113" t="s">
        <v>1034</v>
      </c>
      <c r="E88" s="164" t="s">
        <v>64</v>
      </c>
      <c r="F88" s="115">
        <f>RANK(G88,MyGrid3[الاساسي])</f>
        <v>80</v>
      </c>
      <c r="G88" s="116">
        <v>775</v>
      </c>
      <c r="H88" s="131"/>
      <c r="I88" s="132">
        <f>RANK(J88,MyGrid3[يناير])</f>
        <v>81</v>
      </c>
      <c r="J88" s="117"/>
      <c r="K88" s="118">
        <f>MyGrid3[[#This Row],[يناير]]/$J$187</f>
        <v>0</v>
      </c>
      <c r="L88" s="119" t="s">
        <v>64</v>
      </c>
      <c r="M88" s="132">
        <f>RANK(N88,MyGrid3[فبراير])</f>
        <v>101</v>
      </c>
      <c r="N88" s="134"/>
      <c r="O88" s="121">
        <f>MyGrid3[[#This Row],[فبراير]]/$N$187</f>
        <v>0</v>
      </c>
      <c r="P88" s="122" t="s">
        <v>64</v>
      </c>
      <c r="Q88" s="132">
        <f>RANK(R88,MyGrid3[مارس])</f>
        <v>110</v>
      </c>
      <c r="R88" s="123"/>
      <c r="S88" s="118">
        <f>MyGrid3[[#This Row],[مارس]]/$R$187</f>
        <v>0</v>
      </c>
      <c r="T88" s="119" t="s">
        <v>64</v>
      </c>
      <c r="U88" s="397"/>
      <c r="V88" s="121">
        <f>MyGrid3[[#This Row],[أبريل]]/$U$187</f>
        <v>0</v>
      </c>
      <c r="W88" s="122" t="s">
        <v>64</v>
      </c>
      <c r="X88" s="397"/>
      <c r="Y88" s="118">
        <f>MyGrid3[[#This Row],[مايو]]/$X$187</f>
        <v>0</v>
      </c>
      <c r="Z88" s="119" t="s">
        <v>64</v>
      </c>
      <c r="AA88" s="123"/>
      <c r="AB88" s="121">
        <f>MyGrid3[[#This Row],[يونيو]]/$AA$187</f>
        <v>0</v>
      </c>
      <c r="AC88" s="122" t="s">
        <v>64</v>
      </c>
      <c r="AD88" s="123"/>
      <c r="AE88" s="118">
        <f>MyGrid3[[#This Row],[يوليو]]/$AD$187</f>
        <v>0</v>
      </c>
      <c r="AF88" s="139" t="s">
        <v>64</v>
      </c>
      <c r="AG88" s="124">
        <v>1135.6300000000001</v>
      </c>
      <c r="AH88" s="121">
        <f>MyGrid3[[#This Row],[أغسطس]]/$AG$187</f>
        <v>1.3976984615384618</v>
      </c>
      <c r="AI88" s="122" t="s">
        <v>64</v>
      </c>
      <c r="AJ88" s="123">
        <v>1193.75</v>
      </c>
      <c r="AK88" s="118">
        <f>MyGrid3[[#This Row],[سبتمبر]]/$AJ$187</f>
        <v>1.4692307692307693</v>
      </c>
      <c r="AL88" s="119" t="s">
        <v>64</v>
      </c>
      <c r="AM88" s="123">
        <v>1193.75</v>
      </c>
      <c r="AN88" s="121">
        <f>MyGrid3[[#This Row],[أكتوبر]]/$AM$187</f>
        <v>1.4692307692307693</v>
      </c>
      <c r="AO88" s="122" t="s">
        <v>64</v>
      </c>
      <c r="AP88" s="123">
        <v>1193.75</v>
      </c>
      <c r="AQ88" s="125">
        <f>MyGrid3[[#This Row],[نوفمبر]]/$AP$187</f>
        <v>1.4692307692307693</v>
      </c>
      <c r="AR88" s="119" t="s">
        <v>64</v>
      </c>
      <c r="AS88" s="391">
        <v>1193.75</v>
      </c>
      <c r="AT88" s="121">
        <f>MyGrid3[[#This Row],[ديسمبر]]/$AS$187</f>
        <v>1.4692307692307693</v>
      </c>
      <c r="AU88" s="126">
        <f t="shared" si="2"/>
        <v>5910.63</v>
      </c>
      <c r="AV88" s="127">
        <f>MyGrid3[[#This Row],[الإجمالي]]/$AU$187</f>
        <v>0.48622109102635186</v>
      </c>
    </row>
    <row r="89" spans="1:48" s="128" customFormat="1" ht="33" hidden="1" customHeight="1">
      <c r="A89" s="110">
        <f>SUBTOTAL(3,$B$4:B89)</f>
        <v>0</v>
      </c>
      <c r="B89" s="111">
        <v>690202</v>
      </c>
      <c r="C89" s="112"/>
      <c r="D89" s="113" t="s">
        <v>1034</v>
      </c>
      <c r="E89" s="164" t="s">
        <v>64</v>
      </c>
      <c r="F89" s="115">
        <f>RANK(G89,MyGrid3[الاساسي])</f>
        <v>80</v>
      </c>
      <c r="G89" s="116">
        <v>775</v>
      </c>
      <c r="H89" s="131"/>
      <c r="I89" s="132">
        <f>RANK(J89,MyGrid3[يناير])</f>
        <v>81</v>
      </c>
      <c r="J89" s="117"/>
      <c r="K89" s="118">
        <f>MyGrid3[[#This Row],[يناير]]/$J$187</f>
        <v>0</v>
      </c>
      <c r="L89" s="119" t="s">
        <v>64</v>
      </c>
      <c r="M89" s="132">
        <f>RANK(N89,MyGrid3[فبراير])</f>
        <v>101</v>
      </c>
      <c r="N89" s="134"/>
      <c r="O89" s="121">
        <f>MyGrid3[[#This Row],[فبراير]]/$N$187</f>
        <v>0</v>
      </c>
      <c r="P89" s="122" t="s">
        <v>64</v>
      </c>
      <c r="Q89" s="132">
        <f>RANK(R89,MyGrid3[مارس])</f>
        <v>110</v>
      </c>
      <c r="R89" s="123"/>
      <c r="S89" s="118">
        <f>MyGrid3[[#This Row],[مارس]]/$R$187</f>
        <v>0</v>
      </c>
      <c r="T89" s="119" t="s">
        <v>64</v>
      </c>
      <c r="U89" s="397"/>
      <c r="V89" s="121">
        <f>MyGrid3[[#This Row],[أبريل]]/$U$187</f>
        <v>0</v>
      </c>
      <c r="W89" s="122" t="s">
        <v>64</v>
      </c>
      <c r="X89" s="397"/>
      <c r="Y89" s="118">
        <f>MyGrid3[[#This Row],[مايو]]/$X$187</f>
        <v>0</v>
      </c>
      <c r="Z89" s="119" t="s">
        <v>64</v>
      </c>
      <c r="AA89" s="123"/>
      <c r="AB89" s="121">
        <f>MyGrid3[[#This Row],[يونيو]]/$AA$187</f>
        <v>0</v>
      </c>
      <c r="AC89" s="122" t="s">
        <v>64</v>
      </c>
      <c r="AD89" s="123"/>
      <c r="AE89" s="118">
        <f>MyGrid3[[#This Row],[يوليو]]/$AD$187</f>
        <v>0</v>
      </c>
      <c r="AF89" s="139" t="s">
        <v>64</v>
      </c>
      <c r="AG89" s="124">
        <v>1035.6300000000001</v>
      </c>
      <c r="AH89" s="121">
        <f>MyGrid3[[#This Row],[أغسطس]]/$AG$187</f>
        <v>1.2746215384615387</v>
      </c>
      <c r="AI89" s="122" t="s">
        <v>64</v>
      </c>
      <c r="AJ89" s="123">
        <v>1193.75</v>
      </c>
      <c r="AK89" s="118">
        <f>MyGrid3[[#This Row],[سبتمبر]]/$AJ$187</f>
        <v>1.4692307692307693</v>
      </c>
      <c r="AL89" s="119" t="s">
        <v>64</v>
      </c>
      <c r="AM89" s="123">
        <v>1193.75</v>
      </c>
      <c r="AN89" s="121">
        <f>MyGrid3[[#This Row],[أكتوبر]]/$AM$187</f>
        <v>1.4692307692307693</v>
      </c>
      <c r="AO89" s="122" t="s">
        <v>64</v>
      </c>
      <c r="AP89" s="123">
        <v>1193.75</v>
      </c>
      <c r="AQ89" s="125">
        <f>MyGrid3[[#This Row],[نوفمبر]]/$AP$187</f>
        <v>1.4692307692307693</v>
      </c>
      <c r="AR89" s="119" t="s">
        <v>64</v>
      </c>
      <c r="AS89" s="391">
        <v>1193.75</v>
      </c>
      <c r="AT89" s="121">
        <f>MyGrid3[[#This Row],[ديسمبر]]/$AS$187</f>
        <v>1.4692307692307693</v>
      </c>
      <c r="AU89" s="126">
        <f t="shared" si="2"/>
        <v>5810.63</v>
      </c>
      <c r="AV89" s="127">
        <f>MyGrid3[[#This Row],[الإجمالي]]/$AU$187</f>
        <v>0.47799487671372609</v>
      </c>
    </row>
    <row r="90" spans="1:48" s="128" customFormat="1" ht="33" hidden="1" customHeight="1">
      <c r="A90" s="110">
        <f>SUBTOTAL(3,$B$4:B90)</f>
        <v>0</v>
      </c>
      <c r="B90" s="111">
        <v>690203</v>
      </c>
      <c r="C90" s="112"/>
      <c r="D90" s="113" t="s">
        <v>975</v>
      </c>
      <c r="E90" s="164" t="s">
        <v>64</v>
      </c>
      <c r="F90" s="115">
        <f>RANK(G90,MyGrid3[الاساسي])</f>
        <v>80</v>
      </c>
      <c r="G90" s="116">
        <v>775</v>
      </c>
      <c r="H90" s="131"/>
      <c r="I90" s="132">
        <f>RANK(J90,MyGrid3[يناير])</f>
        <v>81</v>
      </c>
      <c r="J90" s="117"/>
      <c r="K90" s="118">
        <f>MyGrid3[[#This Row],[يناير]]/$J$187</f>
        <v>0</v>
      </c>
      <c r="L90" s="119" t="s">
        <v>64</v>
      </c>
      <c r="M90" s="132">
        <f>RANK(N90,MyGrid3[فبراير])</f>
        <v>101</v>
      </c>
      <c r="N90" s="134"/>
      <c r="O90" s="121">
        <f>MyGrid3[[#This Row],[فبراير]]/$N$187</f>
        <v>0</v>
      </c>
      <c r="P90" s="122" t="s">
        <v>64</v>
      </c>
      <c r="Q90" s="132">
        <f>RANK(R90,MyGrid3[مارس])</f>
        <v>110</v>
      </c>
      <c r="R90" s="123"/>
      <c r="S90" s="118">
        <f>MyGrid3[[#This Row],[مارس]]/$R$187</f>
        <v>0</v>
      </c>
      <c r="T90" s="119" t="s">
        <v>64</v>
      </c>
      <c r="U90" s="397"/>
      <c r="V90" s="121">
        <f>MyGrid3[[#This Row],[أبريل]]/$U$187</f>
        <v>0</v>
      </c>
      <c r="W90" s="122" t="s">
        <v>64</v>
      </c>
      <c r="X90" s="397"/>
      <c r="Y90" s="118">
        <f>MyGrid3[[#This Row],[مايو]]/$X$187</f>
        <v>0</v>
      </c>
      <c r="Z90" s="119" t="s">
        <v>64</v>
      </c>
      <c r="AA90" s="123"/>
      <c r="AB90" s="121">
        <f>MyGrid3[[#This Row],[يونيو]]/$AA$187</f>
        <v>0</v>
      </c>
      <c r="AC90" s="122" t="s">
        <v>64</v>
      </c>
      <c r="AD90" s="123"/>
      <c r="AE90" s="118">
        <f>MyGrid3[[#This Row],[يوليو]]/$AD$187</f>
        <v>0</v>
      </c>
      <c r="AF90" s="139" t="s">
        <v>64</v>
      </c>
      <c r="AG90" s="124">
        <v>172.08</v>
      </c>
      <c r="AH90" s="121">
        <f>MyGrid3[[#This Row],[أغسطس]]/$AG$187</f>
        <v>0.21179076923076925</v>
      </c>
      <c r="AI90" s="122" t="s">
        <v>64</v>
      </c>
      <c r="AJ90" s="123">
        <v>1193.75</v>
      </c>
      <c r="AK90" s="118">
        <f>MyGrid3[[#This Row],[سبتمبر]]/$AJ$187</f>
        <v>1.4692307692307693</v>
      </c>
      <c r="AL90" s="119" t="s">
        <v>64</v>
      </c>
      <c r="AM90" s="123">
        <v>1193.75</v>
      </c>
      <c r="AN90" s="121">
        <f>MyGrid3[[#This Row],[أكتوبر]]/$AM$187</f>
        <v>1.4692307692307693</v>
      </c>
      <c r="AO90" s="122" t="s">
        <v>64</v>
      </c>
      <c r="AP90" s="123">
        <v>1193.75</v>
      </c>
      <c r="AQ90" s="125">
        <f>MyGrid3[[#This Row],[نوفمبر]]/$AP$187</f>
        <v>1.4692307692307693</v>
      </c>
      <c r="AR90" s="119" t="s">
        <v>64</v>
      </c>
      <c r="AS90" s="391">
        <v>1193.75</v>
      </c>
      <c r="AT90" s="121">
        <f>MyGrid3[[#This Row],[ديسمبر]]/$AS$187</f>
        <v>1.4692307692307693</v>
      </c>
      <c r="AU90" s="126">
        <f t="shared" si="2"/>
        <v>4947.08</v>
      </c>
      <c r="AV90" s="127">
        <f>MyGrid3[[#This Row],[الإجمالي]]/$AU$187</f>
        <v>0.40695740301704636</v>
      </c>
    </row>
    <row r="91" spans="1:48" s="128" customFormat="1" ht="33" hidden="1" customHeight="1">
      <c r="A91" s="110">
        <f>SUBTOTAL(3,$B$4:B91)</f>
        <v>0</v>
      </c>
      <c r="B91" s="111">
        <v>690204</v>
      </c>
      <c r="C91" s="112"/>
      <c r="D91" s="113" t="s">
        <v>975</v>
      </c>
      <c r="E91" s="164" t="s">
        <v>64</v>
      </c>
      <c r="F91" s="115">
        <f>RANK(G91,MyGrid3[الاساسي])</f>
        <v>80</v>
      </c>
      <c r="G91" s="116">
        <v>775</v>
      </c>
      <c r="H91" s="131"/>
      <c r="I91" s="132">
        <f>RANK(J91,MyGrid3[يناير])</f>
        <v>81</v>
      </c>
      <c r="J91" s="117"/>
      <c r="K91" s="118">
        <f>MyGrid3[[#This Row],[يناير]]/$J$187</f>
        <v>0</v>
      </c>
      <c r="L91" s="119" t="s">
        <v>64</v>
      </c>
      <c r="M91" s="132">
        <f>RANK(N91,MyGrid3[فبراير])</f>
        <v>101</v>
      </c>
      <c r="N91" s="134"/>
      <c r="O91" s="121">
        <f>MyGrid3[[#This Row],[فبراير]]/$N$187</f>
        <v>0</v>
      </c>
      <c r="P91" s="122" t="s">
        <v>64</v>
      </c>
      <c r="Q91" s="132">
        <f>RANK(R91,MyGrid3[مارس])</f>
        <v>110</v>
      </c>
      <c r="R91" s="123"/>
      <c r="S91" s="118">
        <f>MyGrid3[[#This Row],[مارس]]/$R$187</f>
        <v>0</v>
      </c>
      <c r="T91" s="119" t="s">
        <v>64</v>
      </c>
      <c r="U91" s="397"/>
      <c r="V91" s="121">
        <f>MyGrid3[[#This Row],[أبريل]]/$U$187</f>
        <v>0</v>
      </c>
      <c r="W91" s="122" t="s">
        <v>64</v>
      </c>
      <c r="X91" s="397"/>
      <c r="Y91" s="118">
        <f>MyGrid3[[#This Row],[مايو]]/$X$187</f>
        <v>0</v>
      </c>
      <c r="Z91" s="119" t="s">
        <v>64</v>
      </c>
      <c r="AA91" s="123"/>
      <c r="AB91" s="121">
        <f>MyGrid3[[#This Row],[يونيو]]/$AA$187</f>
        <v>0</v>
      </c>
      <c r="AC91" s="122" t="s">
        <v>64</v>
      </c>
      <c r="AD91" s="123"/>
      <c r="AE91" s="118">
        <f>MyGrid3[[#This Row],[يوليو]]/$AD$187</f>
        <v>0</v>
      </c>
      <c r="AF91" s="139" t="s">
        <v>64</v>
      </c>
      <c r="AG91" s="124">
        <v>172.08</v>
      </c>
      <c r="AH91" s="121">
        <f>MyGrid3[[#This Row],[أغسطس]]/$AG$187</f>
        <v>0.21179076923076925</v>
      </c>
      <c r="AI91" s="122" t="s">
        <v>64</v>
      </c>
      <c r="AJ91" s="123">
        <v>1193.75</v>
      </c>
      <c r="AK91" s="118">
        <f>MyGrid3[[#This Row],[سبتمبر]]/$AJ$187</f>
        <v>1.4692307692307693</v>
      </c>
      <c r="AL91" s="119" t="s">
        <v>64</v>
      </c>
      <c r="AM91" s="123">
        <v>1193.75</v>
      </c>
      <c r="AN91" s="121">
        <f>MyGrid3[[#This Row],[أكتوبر]]/$AM$187</f>
        <v>1.4692307692307693</v>
      </c>
      <c r="AO91" s="122" t="s">
        <v>64</v>
      </c>
      <c r="AP91" s="123">
        <v>1193.75</v>
      </c>
      <c r="AQ91" s="125">
        <f>MyGrid3[[#This Row],[نوفمبر]]/$AP$187</f>
        <v>1.4692307692307693</v>
      </c>
      <c r="AR91" s="119" t="s">
        <v>64</v>
      </c>
      <c r="AS91" s="391">
        <v>1193.75</v>
      </c>
      <c r="AT91" s="121">
        <f>MyGrid3[[#This Row],[ديسمبر]]/$AS$187</f>
        <v>1.4692307692307693</v>
      </c>
      <c r="AU91" s="126">
        <f t="shared" si="2"/>
        <v>4947.08</v>
      </c>
      <c r="AV91" s="127">
        <f>MyGrid3[[#This Row],[الإجمالي]]/$AU$187</f>
        <v>0.40695740301704636</v>
      </c>
    </row>
    <row r="92" spans="1:48" s="128" customFormat="1" ht="33" hidden="1" customHeight="1">
      <c r="A92" s="110">
        <f>SUBTOTAL(3,$B$4:B92)</f>
        <v>0</v>
      </c>
      <c r="B92" s="111">
        <v>690205</v>
      </c>
      <c r="C92" s="112"/>
      <c r="D92" s="113" t="s">
        <v>975</v>
      </c>
      <c r="E92" s="164" t="s">
        <v>64</v>
      </c>
      <c r="F92" s="115">
        <f>RANK(G92,MyGrid3[الاساسي])</f>
        <v>80</v>
      </c>
      <c r="G92" s="116">
        <v>775</v>
      </c>
      <c r="H92" s="131"/>
      <c r="I92" s="132">
        <f>RANK(J92,MyGrid3[يناير])</f>
        <v>81</v>
      </c>
      <c r="J92" s="117"/>
      <c r="K92" s="118">
        <f>MyGrid3[[#This Row],[يناير]]/$J$187</f>
        <v>0</v>
      </c>
      <c r="L92" s="119" t="s">
        <v>64</v>
      </c>
      <c r="M92" s="132">
        <f>RANK(N92,MyGrid3[فبراير])</f>
        <v>101</v>
      </c>
      <c r="N92" s="134"/>
      <c r="O92" s="121">
        <f>MyGrid3[[#This Row],[فبراير]]/$N$187</f>
        <v>0</v>
      </c>
      <c r="P92" s="122" t="s">
        <v>64</v>
      </c>
      <c r="Q92" s="132">
        <f>RANK(R92,MyGrid3[مارس])</f>
        <v>110</v>
      </c>
      <c r="R92" s="123"/>
      <c r="S92" s="118">
        <f>MyGrid3[[#This Row],[مارس]]/$R$187</f>
        <v>0</v>
      </c>
      <c r="T92" s="119" t="s">
        <v>64</v>
      </c>
      <c r="U92" s="397"/>
      <c r="V92" s="121">
        <f>MyGrid3[[#This Row],[أبريل]]/$U$187</f>
        <v>0</v>
      </c>
      <c r="W92" s="122" t="s">
        <v>64</v>
      </c>
      <c r="X92" s="397"/>
      <c r="Y92" s="118">
        <f>MyGrid3[[#This Row],[مايو]]/$X$187</f>
        <v>0</v>
      </c>
      <c r="Z92" s="119" t="s">
        <v>64</v>
      </c>
      <c r="AA92" s="123"/>
      <c r="AB92" s="121">
        <f>MyGrid3[[#This Row],[يونيو]]/$AA$187</f>
        <v>0</v>
      </c>
      <c r="AC92" s="122" t="s">
        <v>64</v>
      </c>
      <c r="AD92" s="123"/>
      <c r="AE92" s="118">
        <f>MyGrid3[[#This Row],[يوليو]]/$AD$187</f>
        <v>0</v>
      </c>
      <c r="AF92" s="139" t="s">
        <v>64</v>
      </c>
      <c r="AG92" s="124">
        <v>172.08</v>
      </c>
      <c r="AH92" s="121">
        <f>MyGrid3[[#This Row],[أغسطس]]/$AG$187</f>
        <v>0.21179076923076925</v>
      </c>
      <c r="AI92" s="122" t="s">
        <v>64</v>
      </c>
      <c r="AJ92" s="123">
        <v>1193.75</v>
      </c>
      <c r="AK92" s="118">
        <f>MyGrid3[[#This Row],[سبتمبر]]/$AJ$187</f>
        <v>1.4692307692307693</v>
      </c>
      <c r="AL92" s="119" t="s">
        <v>64</v>
      </c>
      <c r="AM92" s="123">
        <v>1193.75</v>
      </c>
      <c r="AN92" s="121">
        <f>MyGrid3[[#This Row],[أكتوبر]]/$AM$187</f>
        <v>1.4692307692307693</v>
      </c>
      <c r="AO92" s="122" t="s">
        <v>64</v>
      </c>
      <c r="AP92" s="123">
        <v>1193.75</v>
      </c>
      <c r="AQ92" s="125">
        <f>MyGrid3[[#This Row],[نوفمبر]]/$AP$187</f>
        <v>1.4692307692307693</v>
      </c>
      <c r="AR92" s="119" t="s">
        <v>64</v>
      </c>
      <c r="AS92" s="391">
        <v>1193.75</v>
      </c>
      <c r="AT92" s="121">
        <f>MyGrid3[[#This Row],[ديسمبر]]/$AS$187</f>
        <v>1.4692307692307693</v>
      </c>
      <c r="AU92" s="126">
        <f t="shared" si="2"/>
        <v>4947.08</v>
      </c>
      <c r="AV92" s="127">
        <f>MyGrid3[[#This Row],[الإجمالي]]/$AU$187</f>
        <v>0.40695740301704636</v>
      </c>
    </row>
    <row r="93" spans="1:48" s="128" customFormat="1" ht="33" hidden="1" customHeight="1">
      <c r="A93" s="110">
        <f>SUBTOTAL(3,$B$4:B93)</f>
        <v>0</v>
      </c>
      <c r="B93" s="111">
        <v>690206</v>
      </c>
      <c r="C93" s="112"/>
      <c r="D93" s="113" t="s">
        <v>975</v>
      </c>
      <c r="E93" s="164" t="s">
        <v>64</v>
      </c>
      <c r="F93" s="115">
        <f>RANK(G93,MyGrid3[الاساسي])</f>
        <v>80</v>
      </c>
      <c r="G93" s="116">
        <v>775</v>
      </c>
      <c r="H93" s="131"/>
      <c r="I93" s="132">
        <f>RANK(J93,MyGrid3[يناير])</f>
        <v>81</v>
      </c>
      <c r="J93" s="117"/>
      <c r="K93" s="118">
        <f>MyGrid3[[#This Row],[يناير]]/$J$187</f>
        <v>0</v>
      </c>
      <c r="L93" s="119" t="s">
        <v>64</v>
      </c>
      <c r="M93" s="132">
        <f>RANK(N93,MyGrid3[فبراير])</f>
        <v>101</v>
      </c>
      <c r="N93" s="134"/>
      <c r="O93" s="121">
        <f>MyGrid3[[#This Row],[فبراير]]/$N$187</f>
        <v>0</v>
      </c>
      <c r="P93" s="122" t="s">
        <v>64</v>
      </c>
      <c r="Q93" s="132">
        <f>RANK(R93,MyGrid3[مارس])</f>
        <v>110</v>
      </c>
      <c r="R93" s="123"/>
      <c r="S93" s="118">
        <f>MyGrid3[[#This Row],[مارس]]/$R$187</f>
        <v>0</v>
      </c>
      <c r="T93" s="119" t="s">
        <v>64</v>
      </c>
      <c r="U93" s="397"/>
      <c r="V93" s="121">
        <f>MyGrid3[[#This Row],[أبريل]]/$U$187</f>
        <v>0</v>
      </c>
      <c r="W93" s="122" t="s">
        <v>64</v>
      </c>
      <c r="X93" s="397"/>
      <c r="Y93" s="118">
        <f>MyGrid3[[#This Row],[مايو]]/$X$187</f>
        <v>0</v>
      </c>
      <c r="Z93" s="119" t="s">
        <v>64</v>
      </c>
      <c r="AA93" s="123"/>
      <c r="AB93" s="121">
        <f>MyGrid3[[#This Row],[يونيو]]/$AA$187</f>
        <v>0</v>
      </c>
      <c r="AC93" s="122" t="s">
        <v>64</v>
      </c>
      <c r="AD93" s="123"/>
      <c r="AE93" s="118">
        <f>MyGrid3[[#This Row],[يوليو]]/$AD$187</f>
        <v>0</v>
      </c>
      <c r="AF93" s="139" t="s">
        <v>64</v>
      </c>
      <c r="AG93" s="124">
        <v>172.08</v>
      </c>
      <c r="AH93" s="121">
        <f>MyGrid3[[#This Row],[أغسطس]]/$AG$187</f>
        <v>0.21179076923076925</v>
      </c>
      <c r="AI93" s="122" t="s">
        <v>64</v>
      </c>
      <c r="AJ93" s="123">
        <v>1193.75</v>
      </c>
      <c r="AK93" s="118">
        <f>MyGrid3[[#This Row],[سبتمبر]]/$AJ$187</f>
        <v>1.4692307692307693</v>
      </c>
      <c r="AL93" s="119" t="s">
        <v>64</v>
      </c>
      <c r="AM93" s="123">
        <v>1193.75</v>
      </c>
      <c r="AN93" s="121">
        <f>MyGrid3[[#This Row],[أكتوبر]]/$AM$187</f>
        <v>1.4692307692307693</v>
      </c>
      <c r="AO93" s="122" t="s">
        <v>64</v>
      </c>
      <c r="AP93" s="123">
        <v>1193.75</v>
      </c>
      <c r="AQ93" s="125">
        <f>MyGrid3[[#This Row],[نوفمبر]]/$AP$187</f>
        <v>1.4692307692307693</v>
      </c>
      <c r="AR93" s="119" t="s">
        <v>64</v>
      </c>
      <c r="AS93" s="391">
        <v>1193.75</v>
      </c>
      <c r="AT93" s="121">
        <f>MyGrid3[[#This Row],[ديسمبر]]/$AS$187</f>
        <v>1.4692307692307693</v>
      </c>
      <c r="AU93" s="126">
        <f t="shared" si="2"/>
        <v>4947.08</v>
      </c>
      <c r="AV93" s="127">
        <f>MyGrid3[[#This Row],[الإجمالي]]/$AU$187</f>
        <v>0.40695740301704636</v>
      </c>
    </row>
    <row r="94" spans="1:48" s="128" customFormat="1" ht="33" hidden="1" customHeight="1">
      <c r="A94" s="110">
        <f>SUBTOTAL(3,$B$4:B94)</f>
        <v>0</v>
      </c>
      <c r="B94" s="111">
        <v>690207</v>
      </c>
      <c r="C94" s="112"/>
      <c r="D94" s="113" t="s">
        <v>975</v>
      </c>
      <c r="E94" s="164" t="s">
        <v>64</v>
      </c>
      <c r="F94" s="115">
        <f>RANK(G94,MyGrid3[الاساسي])</f>
        <v>80</v>
      </c>
      <c r="G94" s="116">
        <v>775</v>
      </c>
      <c r="H94" s="131"/>
      <c r="I94" s="132">
        <f>RANK(J94,MyGrid3[يناير])</f>
        <v>81</v>
      </c>
      <c r="J94" s="117"/>
      <c r="K94" s="118">
        <f>MyGrid3[[#This Row],[يناير]]/$J$187</f>
        <v>0</v>
      </c>
      <c r="L94" s="119" t="s">
        <v>64</v>
      </c>
      <c r="M94" s="132">
        <f>RANK(N94,MyGrid3[فبراير])</f>
        <v>101</v>
      </c>
      <c r="N94" s="134"/>
      <c r="O94" s="121">
        <f>MyGrid3[[#This Row],[فبراير]]/$N$187</f>
        <v>0</v>
      </c>
      <c r="P94" s="122" t="s">
        <v>64</v>
      </c>
      <c r="Q94" s="132">
        <f>RANK(R94,MyGrid3[مارس])</f>
        <v>110</v>
      </c>
      <c r="R94" s="123"/>
      <c r="S94" s="118">
        <f>MyGrid3[[#This Row],[مارس]]/$R$187</f>
        <v>0</v>
      </c>
      <c r="T94" s="119" t="s">
        <v>64</v>
      </c>
      <c r="U94" s="397"/>
      <c r="V94" s="121">
        <f>MyGrid3[[#This Row],[أبريل]]/$U$187</f>
        <v>0</v>
      </c>
      <c r="W94" s="122" t="s">
        <v>64</v>
      </c>
      <c r="X94" s="397"/>
      <c r="Y94" s="118">
        <f>MyGrid3[[#This Row],[مايو]]/$X$187</f>
        <v>0</v>
      </c>
      <c r="Z94" s="119" t="s">
        <v>64</v>
      </c>
      <c r="AA94" s="123"/>
      <c r="AB94" s="121">
        <f>MyGrid3[[#This Row],[يونيو]]/$AA$187</f>
        <v>0</v>
      </c>
      <c r="AC94" s="122" t="s">
        <v>64</v>
      </c>
      <c r="AD94" s="123"/>
      <c r="AE94" s="118">
        <f>MyGrid3[[#This Row],[يوليو]]/$AD$187</f>
        <v>0</v>
      </c>
      <c r="AF94" s="139" t="s">
        <v>64</v>
      </c>
      <c r="AG94" s="124">
        <v>172.08</v>
      </c>
      <c r="AH94" s="121">
        <f>MyGrid3[[#This Row],[أغسطس]]/$AG$187</f>
        <v>0.21179076923076925</v>
      </c>
      <c r="AI94" s="136" t="s">
        <v>64</v>
      </c>
      <c r="AJ94" s="123">
        <v>1193.75</v>
      </c>
      <c r="AK94" s="118">
        <f>MyGrid3[[#This Row],[سبتمبر]]/$AJ$187</f>
        <v>1.4692307692307693</v>
      </c>
      <c r="AL94" s="137" t="s">
        <v>64</v>
      </c>
      <c r="AM94" s="123">
        <v>1193.75</v>
      </c>
      <c r="AN94" s="121">
        <f>MyGrid3[[#This Row],[أكتوبر]]/$AM$187</f>
        <v>1.4692307692307693</v>
      </c>
      <c r="AO94" s="136" t="s">
        <v>64</v>
      </c>
      <c r="AP94" s="123">
        <v>1193.75</v>
      </c>
      <c r="AQ94" s="125">
        <f>MyGrid3[[#This Row],[نوفمبر]]/$AP$187</f>
        <v>1.4692307692307693</v>
      </c>
      <c r="AR94" s="137" t="s">
        <v>64</v>
      </c>
      <c r="AS94" s="391">
        <v>1193.75</v>
      </c>
      <c r="AT94" s="121">
        <f>MyGrid3[[#This Row],[ديسمبر]]/$AS$187</f>
        <v>1.4692307692307693</v>
      </c>
      <c r="AU94" s="126">
        <f t="shared" si="2"/>
        <v>4947.08</v>
      </c>
      <c r="AV94" s="127">
        <f>MyGrid3[[#This Row],[الإجمالي]]/$AU$187</f>
        <v>0.40695740301704636</v>
      </c>
    </row>
    <row r="95" spans="1:48" s="128" customFormat="1" ht="33" hidden="1" customHeight="1">
      <c r="A95" s="110">
        <f>SUBTOTAL(3,$B$4:B95)</f>
        <v>0</v>
      </c>
      <c r="B95" s="111">
        <v>690208</v>
      </c>
      <c r="C95" s="112" t="s">
        <v>1043</v>
      </c>
      <c r="D95" s="113" t="s">
        <v>975</v>
      </c>
      <c r="E95" s="164" t="s">
        <v>994</v>
      </c>
      <c r="F95" s="115">
        <f>RANK(G95,MyGrid3[الاساسي])</f>
        <v>80</v>
      </c>
      <c r="G95" s="116">
        <v>775</v>
      </c>
      <c r="H95" s="151" t="s">
        <v>994</v>
      </c>
      <c r="I95" s="115">
        <f>RANK(J95,MyGrid3[يناير])</f>
        <v>81</v>
      </c>
      <c r="J95" s="117">
        <v>0</v>
      </c>
      <c r="K95" s="118">
        <f>MyGrid3[[#This Row],[يناير]]/$J$187</f>
        <v>0</v>
      </c>
      <c r="L95" s="152" t="s">
        <v>994</v>
      </c>
      <c r="M95" s="115">
        <f>RANK(N95,MyGrid3[فبراير])</f>
        <v>101</v>
      </c>
      <c r="N95" s="134">
        <v>0</v>
      </c>
      <c r="O95" s="121">
        <f>MyGrid3[[#This Row],[فبراير]]/$N$187</f>
        <v>0</v>
      </c>
      <c r="P95" s="153" t="s">
        <v>994</v>
      </c>
      <c r="Q95" s="115">
        <f>RANK(R95,MyGrid3[مارس])</f>
        <v>110</v>
      </c>
      <c r="R95" s="123">
        <v>0</v>
      </c>
      <c r="S95" s="118">
        <f>MyGrid3[[#This Row],[مارس]]/$R$187</f>
        <v>0</v>
      </c>
      <c r="T95" s="152" t="s">
        <v>994</v>
      </c>
      <c r="U95" s="397"/>
      <c r="V95" s="121">
        <f>MyGrid3[[#This Row],[أبريل]]/$U$187</f>
        <v>0</v>
      </c>
      <c r="W95" s="153" t="s">
        <v>994</v>
      </c>
      <c r="X95" s="397"/>
      <c r="Y95" s="118">
        <f>MyGrid3[[#This Row],[مايو]]/$X$187</f>
        <v>0</v>
      </c>
      <c r="Z95" s="152" t="s">
        <v>994</v>
      </c>
      <c r="AA95" s="123"/>
      <c r="AB95" s="121">
        <f>MyGrid3[[#This Row],[يونيو]]/$AA$187</f>
        <v>0</v>
      </c>
      <c r="AC95" s="153" t="s">
        <v>994</v>
      </c>
      <c r="AD95" s="123"/>
      <c r="AE95" s="118">
        <f>MyGrid3[[#This Row],[يوليو]]/$AD$187</f>
        <v>0</v>
      </c>
      <c r="AF95" s="119" t="s">
        <v>994</v>
      </c>
      <c r="AG95" s="124">
        <v>172.08</v>
      </c>
      <c r="AH95" s="121">
        <f>MyGrid3[[#This Row],[أغسطس]]/$AG$187</f>
        <v>0.21179076923076925</v>
      </c>
      <c r="AI95" s="153" t="s">
        <v>994</v>
      </c>
      <c r="AJ95" s="123">
        <v>1193.75</v>
      </c>
      <c r="AK95" s="118">
        <f>MyGrid3[[#This Row],[سبتمبر]]/$AJ$187</f>
        <v>1.4692307692307693</v>
      </c>
      <c r="AL95" s="152" t="s">
        <v>994</v>
      </c>
      <c r="AM95" s="123">
        <v>1193.75</v>
      </c>
      <c r="AN95" s="121">
        <f>MyGrid3[[#This Row],[أكتوبر]]/$AM$187</f>
        <v>1.4692307692307693</v>
      </c>
      <c r="AO95" s="153" t="s">
        <v>994</v>
      </c>
      <c r="AP95" s="123">
        <v>1193.75</v>
      </c>
      <c r="AQ95" s="125">
        <f>MyGrid3[[#This Row],[نوفمبر]]/$AP$187</f>
        <v>1.4692307692307693</v>
      </c>
      <c r="AR95" s="152" t="s">
        <v>994</v>
      </c>
      <c r="AS95" s="391">
        <v>1193.75</v>
      </c>
      <c r="AT95" s="121">
        <f>MyGrid3[[#This Row],[ديسمبر]]/$AS$187</f>
        <v>1.4692307692307693</v>
      </c>
      <c r="AU95" s="126">
        <f t="shared" si="2"/>
        <v>4947.08</v>
      </c>
      <c r="AV95" s="127">
        <f>MyGrid3[[#This Row],[الإجمالي]]/$AU$187</f>
        <v>0.40695740301704636</v>
      </c>
    </row>
    <row r="96" spans="1:48" s="128" customFormat="1" ht="33" hidden="1" customHeight="1">
      <c r="A96" s="110">
        <f>SUBTOTAL(3,$B$4:B96)</f>
        <v>0</v>
      </c>
      <c r="B96" s="111">
        <v>690209</v>
      </c>
      <c r="C96" s="112" t="s">
        <v>1044</v>
      </c>
      <c r="D96" s="113" t="s">
        <v>975</v>
      </c>
      <c r="E96" s="164" t="s">
        <v>996</v>
      </c>
      <c r="F96" s="115">
        <f>RANK(G96,MyGrid3[الاساسي])</f>
        <v>80</v>
      </c>
      <c r="G96" s="116">
        <v>775</v>
      </c>
      <c r="H96" s="154" t="s">
        <v>996</v>
      </c>
      <c r="I96" s="115">
        <f>RANK(J96,MyGrid3[يناير])</f>
        <v>81</v>
      </c>
      <c r="J96" s="117">
        <v>0</v>
      </c>
      <c r="K96" s="118">
        <f>MyGrid3[[#This Row],[يناير]]/$J$187</f>
        <v>0</v>
      </c>
      <c r="L96" s="155" t="s">
        <v>996</v>
      </c>
      <c r="M96" s="115">
        <f>RANK(N96,MyGrid3[فبراير])</f>
        <v>101</v>
      </c>
      <c r="N96" s="134">
        <v>0</v>
      </c>
      <c r="O96" s="121">
        <f>MyGrid3[[#This Row],[فبراير]]/$N$187</f>
        <v>0</v>
      </c>
      <c r="P96" s="156" t="s">
        <v>996</v>
      </c>
      <c r="Q96" s="115">
        <f>RANK(R96,MyGrid3[مارس])</f>
        <v>110</v>
      </c>
      <c r="R96" s="123">
        <v>0</v>
      </c>
      <c r="S96" s="118">
        <f>MyGrid3[[#This Row],[مارس]]/$R$187</f>
        <v>0</v>
      </c>
      <c r="T96" s="155" t="s">
        <v>996</v>
      </c>
      <c r="U96" s="397"/>
      <c r="V96" s="121">
        <f>MyGrid3[[#This Row],[أبريل]]/$U$187</f>
        <v>0</v>
      </c>
      <c r="W96" s="156" t="s">
        <v>996</v>
      </c>
      <c r="X96" s="397"/>
      <c r="Y96" s="118">
        <f>MyGrid3[[#This Row],[مايو]]/$X$187</f>
        <v>0</v>
      </c>
      <c r="Z96" s="155" t="s">
        <v>996</v>
      </c>
      <c r="AA96" s="123"/>
      <c r="AB96" s="121">
        <f>MyGrid3[[#This Row],[يونيو]]/$AA$187</f>
        <v>0</v>
      </c>
      <c r="AC96" s="156" t="s">
        <v>996</v>
      </c>
      <c r="AD96" s="123"/>
      <c r="AE96" s="118">
        <f>MyGrid3[[#This Row],[يوليو]]/$AD$187</f>
        <v>0</v>
      </c>
      <c r="AF96" s="119" t="s">
        <v>996</v>
      </c>
      <c r="AG96" s="124">
        <v>172.08</v>
      </c>
      <c r="AH96" s="121">
        <f>MyGrid3[[#This Row],[أغسطس]]/$AG$187</f>
        <v>0.21179076923076925</v>
      </c>
      <c r="AI96" s="156" t="s">
        <v>996</v>
      </c>
      <c r="AJ96" s="123">
        <v>1193.75</v>
      </c>
      <c r="AK96" s="118">
        <f>MyGrid3[[#This Row],[سبتمبر]]/$AJ$187</f>
        <v>1.4692307692307693</v>
      </c>
      <c r="AL96" s="155" t="s">
        <v>996</v>
      </c>
      <c r="AM96" s="123">
        <v>1193.75</v>
      </c>
      <c r="AN96" s="121">
        <f>MyGrid3[[#This Row],[أكتوبر]]/$AM$187</f>
        <v>1.4692307692307693</v>
      </c>
      <c r="AO96" s="156" t="s">
        <v>996</v>
      </c>
      <c r="AP96" s="123">
        <v>1193.75</v>
      </c>
      <c r="AQ96" s="125">
        <f>MyGrid3[[#This Row],[نوفمبر]]/$AP$187</f>
        <v>1.4692307692307693</v>
      </c>
      <c r="AR96" s="155" t="s">
        <v>996</v>
      </c>
      <c r="AS96" s="391">
        <v>1193.75</v>
      </c>
      <c r="AT96" s="121">
        <f>MyGrid3[[#This Row],[ديسمبر]]/$AS$187</f>
        <v>1.4692307692307693</v>
      </c>
      <c r="AU96" s="126">
        <f t="shared" si="2"/>
        <v>4947.08</v>
      </c>
      <c r="AV96" s="127">
        <f>MyGrid3[[#This Row],[الإجمالي]]/$AU$187</f>
        <v>0.40695740301704636</v>
      </c>
    </row>
    <row r="97" spans="1:48" s="128" customFormat="1" ht="33" hidden="1" customHeight="1">
      <c r="A97" s="110">
        <f>SUBTOTAL(3,$B$4:B97)</f>
        <v>0</v>
      </c>
      <c r="B97" s="111">
        <v>690210</v>
      </c>
      <c r="C97" s="112" t="s">
        <v>1045</v>
      </c>
      <c r="D97" s="113" t="s">
        <v>975</v>
      </c>
      <c r="E97" s="164" t="s">
        <v>64</v>
      </c>
      <c r="F97" s="115">
        <f>RANK(G97,MyGrid3[الاساسي])</f>
        <v>105</v>
      </c>
      <c r="G97" s="116">
        <v>600</v>
      </c>
      <c r="H97" s="131"/>
      <c r="I97" s="132">
        <f>RANK(J97,MyGrid3[يناير])</f>
        <v>81</v>
      </c>
      <c r="J97" s="117"/>
      <c r="K97" s="118">
        <f>MyGrid3[[#This Row],[يناير]]/$J$187</f>
        <v>0</v>
      </c>
      <c r="L97" s="133" t="s">
        <v>64</v>
      </c>
      <c r="M97" s="132">
        <f>RANK(N97,MyGrid3[فبراير])</f>
        <v>101</v>
      </c>
      <c r="N97" s="134"/>
      <c r="O97" s="121">
        <f>MyGrid3[[#This Row],[فبراير]]/$N$187</f>
        <v>0</v>
      </c>
      <c r="P97" s="135" t="s">
        <v>64</v>
      </c>
      <c r="Q97" s="132">
        <f>RANK(R97,MyGrid3[مارس])</f>
        <v>110</v>
      </c>
      <c r="R97" s="123"/>
      <c r="S97" s="118">
        <f>MyGrid3[[#This Row],[مارس]]/$R$187</f>
        <v>0</v>
      </c>
      <c r="T97" s="133" t="s">
        <v>64</v>
      </c>
      <c r="U97" s="397">
        <v>741.67</v>
      </c>
      <c r="V97" s="121">
        <f>MyGrid3[[#This Row],[أبريل]]/$U$187</f>
        <v>0.52507610619469025</v>
      </c>
      <c r="W97" s="135" t="s">
        <v>64</v>
      </c>
      <c r="X97" s="397">
        <v>850</v>
      </c>
      <c r="Y97" s="118">
        <f>MyGrid3[[#This Row],[مايو]]/$X$187</f>
        <v>0.60088082059112535</v>
      </c>
      <c r="Z97" s="133" t="s">
        <v>64</v>
      </c>
      <c r="AA97" s="123">
        <v>850</v>
      </c>
      <c r="AB97" s="121">
        <f>MyGrid3[[#This Row],[يونيو]]/$AA$187</f>
        <v>3.923016568975862</v>
      </c>
      <c r="AC97" s="135" t="s">
        <v>64</v>
      </c>
      <c r="AD97" s="123">
        <v>800</v>
      </c>
      <c r="AE97" s="118">
        <f>MyGrid3[[#This Row],[يوليو]]/$AD$187</f>
        <v>0.98461538461538467</v>
      </c>
      <c r="AF97" s="139" t="s">
        <v>64</v>
      </c>
      <c r="AG97" s="124">
        <v>800</v>
      </c>
      <c r="AH97" s="121">
        <f>MyGrid3[[#This Row],[أغسطس]]/$AG$187</f>
        <v>0.98461538461538467</v>
      </c>
      <c r="AI97" s="135" t="s">
        <v>64</v>
      </c>
      <c r="AJ97" s="123">
        <v>800</v>
      </c>
      <c r="AK97" s="118">
        <f>MyGrid3[[#This Row],[سبتمبر]]/$AJ$187</f>
        <v>0.98461538461538467</v>
      </c>
      <c r="AL97" s="133" t="s">
        <v>64</v>
      </c>
      <c r="AM97" s="123">
        <v>800</v>
      </c>
      <c r="AN97" s="121">
        <f>MyGrid3[[#This Row],[أكتوبر]]/$AM$187</f>
        <v>0.98461538461538467</v>
      </c>
      <c r="AO97" s="135" t="s">
        <v>64</v>
      </c>
      <c r="AP97" s="123">
        <v>800</v>
      </c>
      <c r="AQ97" s="125">
        <f>MyGrid3[[#This Row],[نوفمبر]]/$AP$187</f>
        <v>0.98461538461538467</v>
      </c>
      <c r="AR97" s="133" t="s">
        <v>64</v>
      </c>
      <c r="AS97" s="391">
        <v>800</v>
      </c>
      <c r="AT97" s="121">
        <f>MyGrid3[[#This Row],[ديسمبر]]/$AS$187</f>
        <v>0.98461538461538467</v>
      </c>
      <c r="AU97" s="126">
        <f t="shared" si="2"/>
        <v>7241.67</v>
      </c>
      <c r="AV97" s="127">
        <f>MyGrid3[[#This Row],[الإجمالي]]/$AU$187</f>
        <v>0.59571529401312573</v>
      </c>
    </row>
    <row r="98" spans="1:48" s="128" customFormat="1" ht="33" hidden="1" customHeight="1">
      <c r="A98" s="110">
        <f>SUBTOTAL(3,$B$4:B98)</f>
        <v>0</v>
      </c>
      <c r="B98" s="111">
        <v>690211</v>
      </c>
      <c r="C98" s="112" t="s">
        <v>1046</v>
      </c>
      <c r="D98" s="113" t="s">
        <v>975</v>
      </c>
      <c r="E98" s="164" t="s">
        <v>64</v>
      </c>
      <c r="F98" s="115">
        <f>RANK(G98,MyGrid3[الاساسي])</f>
        <v>161</v>
      </c>
      <c r="G98" s="116">
        <v>250</v>
      </c>
      <c r="H98" s="131"/>
      <c r="I98" s="132">
        <f>RANK(J98,MyGrid3[يناير])</f>
        <v>81</v>
      </c>
      <c r="J98" s="117"/>
      <c r="K98" s="118">
        <f>MyGrid3[[#This Row],[يناير]]/$J$187</f>
        <v>0</v>
      </c>
      <c r="L98" s="133" t="s">
        <v>64</v>
      </c>
      <c r="M98" s="132">
        <f>RANK(N98,MyGrid3[فبراير])</f>
        <v>101</v>
      </c>
      <c r="N98" s="134"/>
      <c r="O98" s="121">
        <f>MyGrid3[[#This Row],[فبراير]]/$N$187</f>
        <v>0</v>
      </c>
      <c r="P98" s="135" t="s">
        <v>64</v>
      </c>
      <c r="Q98" s="132">
        <f>RANK(R98,MyGrid3[مارس])</f>
        <v>110</v>
      </c>
      <c r="R98" s="123"/>
      <c r="S98" s="118">
        <f>MyGrid3[[#This Row],[مارس]]/$R$187</f>
        <v>0</v>
      </c>
      <c r="T98" s="133" t="s">
        <v>64</v>
      </c>
      <c r="U98" s="397"/>
      <c r="V98" s="121">
        <f>MyGrid3[[#This Row],[أبريل]]/$U$187</f>
        <v>0</v>
      </c>
      <c r="W98" s="135" t="s">
        <v>64</v>
      </c>
      <c r="X98" s="397">
        <v>612.5</v>
      </c>
      <c r="Y98" s="118">
        <f>MyGrid3[[#This Row],[مايو]]/$X$187</f>
        <v>0.43298765013184037</v>
      </c>
      <c r="Z98" s="133" t="s">
        <v>64</v>
      </c>
      <c r="AA98" s="123">
        <v>612.5</v>
      </c>
      <c r="AB98" s="121">
        <f>MyGrid3[[#This Row],[يونيو]]/$AA$187</f>
        <v>2.8268795864679008</v>
      </c>
      <c r="AC98" s="135" t="s">
        <v>64</v>
      </c>
      <c r="AD98" s="123">
        <v>612.5</v>
      </c>
      <c r="AE98" s="118">
        <f>MyGrid3[[#This Row],[يوليو]]/$AD$187</f>
        <v>0.75384615384615383</v>
      </c>
      <c r="AF98" s="139" t="s">
        <v>64</v>
      </c>
      <c r="AG98" s="124">
        <v>612.5</v>
      </c>
      <c r="AH98" s="121">
        <f>MyGrid3[[#This Row],[أغسطس]]/$AG$187</f>
        <v>0.75384615384615383</v>
      </c>
      <c r="AI98" s="135" t="s">
        <v>64</v>
      </c>
      <c r="AJ98" s="123">
        <v>612.5</v>
      </c>
      <c r="AK98" s="118">
        <f>MyGrid3[[#This Row],[سبتمبر]]/$AJ$187</f>
        <v>0.75384615384615383</v>
      </c>
      <c r="AL98" s="133" t="s">
        <v>64</v>
      </c>
      <c r="AM98" s="123">
        <v>612.5</v>
      </c>
      <c r="AN98" s="121">
        <f>MyGrid3[[#This Row],[أكتوبر]]/$AM$187</f>
        <v>0.75384615384615383</v>
      </c>
      <c r="AO98" s="135" t="s">
        <v>64</v>
      </c>
      <c r="AP98" s="123">
        <v>437.3</v>
      </c>
      <c r="AQ98" s="125">
        <f>MyGrid3[[#This Row],[نوفمبر]]/$AP$187</f>
        <v>0.53821538461538465</v>
      </c>
      <c r="AR98" s="133" t="s">
        <v>64</v>
      </c>
      <c r="AS98" s="391">
        <v>612.5</v>
      </c>
      <c r="AT98" s="121">
        <f>MyGrid3[[#This Row],[ديسمبر]]/$AS$187</f>
        <v>0.75384615384615383</v>
      </c>
      <c r="AU98" s="126">
        <f t="shared" si="2"/>
        <v>4724.8</v>
      </c>
      <c r="AV98" s="127">
        <f>MyGrid3[[#This Row],[الإجمالي]]/$AU$187</f>
        <v>0.38867217384294184</v>
      </c>
    </row>
    <row r="99" spans="1:48" s="128" customFormat="1" ht="33" hidden="1" customHeight="1">
      <c r="A99" s="110">
        <f>SUBTOTAL(3,$B$4:B99)</f>
        <v>0</v>
      </c>
      <c r="B99" s="111">
        <v>690214</v>
      </c>
      <c r="C99" s="112" t="s">
        <v>1047</v>
      </c>
      <c r="D99" s="113" t="s">
        <v>975</v>
      </c>
      <c r="E99" s="164" t="s">
        <v>64</v>
      </c>
      <c r="F99" s="115">
        <f>RANK(G99,MyGrid3[الاساسي])</f>
        <v>155</v>
      </c>
      <c r="G99" s="116">
        <v>300</v>
      </c>
      <c r="H99" s="131"/>
      <c r="I99" s="132">
        <f>RANK(J99,MyGrid3[يناير])</f>
        <v>81</v>
      </c>
      <c r="J99" s="117"/>
      <c r="K99" s="118">
        <f>MyGrid3[[#This Row],[يناير]]/$J$187</f>
        <v>0</v>
      </c>
      <c r="L99" s="133" t="s">
        <v>64</v>
      </c>
      <c r="M99" s="132">
        <f>RANK(N99,MyGrid3[فبراير])</f>
        <v>101</v>
      </c>
      <c r="N99" s="134"/>
      <c r="O99" s="121">
        <f>MyGrid3[[#This Row],[فبراير]]/$N$187</f>
        <v>0</v>
      </c>
      <c r="P99" s="135" t="s">
        <v>64</v>
      </c>
      <c r="Q99" s="132">
        <f>RANK(R99,MyGrid3[مارس])</f>
        <v>110</v>
      </c>
      <c r="R99" s="123"/>
      <c r="S99" s="118">
        <f>MyGrid3[[#This Row],[مارس]]/$R$187</f>
        <v>0</v>
      </c>
      <c r="T99" s="133" t="s">
        <v>64</v>
      </c>
      <c r="U99" s="397"/>
      <c r="V99" s="121">
        <f>MyGrid3[[#This Row],[أبريل]]/$U$187</f>
        <v>0</v>
      </c>
      <c r="W99" s="135" t="s">
        <v>64</v>
      </c>
      <c r="X99" s="397"/>
      <c r="Y99" s="118">
        <f>MyGrid3[[#This Row],[مايو]]/$X$187</f>
        <v>0</v>
      </c>
      <c r="Z99" s="133" t="s">
        <v>64</v>
      </c>
      <c r="AA99" s="123"/>
      <c r="AB99" s="121">
        <f>MyGrid3[[#This Row],[يونيو]]/$AA$187</f>
        <v>0</v>
      </c>
      <c r="AC99" s="135" t="s">
        <v>64</v>
      </c>
      <c r="AD99" s="123">
        <v>294.17</v>
      </c>
      <c r="AE99" s="118">
        <f>MyGrid3[[#This Row],[يوليو]]/$AD$187</f>
        <v>0.36205538461538461</v>
      </c>
      <c r="AF99" s="139" t="s">
        <v>64</v>
      </c>
      <c r="AG99" s="124">
        <v>625</v>
      </c>
      <c r="AH99" s="121">
        <f>MyGrid3[[#This Row],[أغسطس]]/$AG$187</f>
        <v>0.76923076923076927</v>
      </c>
      <c r="AI99" s="135" t="s">
        <v>64</v>
      </c>
      <c r="AJ99" s="123">
        <v>625</v>
      </c>
      <c r="AK99" s="118">
        <f>MyGrid3[[#This Row],[سبتمبر]]/$AJ$187</f>
        <v>0.76923076923076927</v>
      </c>
      <c r="AL99" s="133" t="s">
        <v>64</v>
      </c>
      <c r="AM99" s="123">
        <v>625</v>
      </c>
      <c r="AN99" s="121">
        <f>MyGrid3[[#This Row],[أكتوبر]]/$AM$187</f>
        <v>0.76923076923076927</v>
      </c>
      <c r="AO99" s="135" t="s">
        <v>64</v>
      </c>
      <c r="AP99" s="123">
        <v>625</v>
      </c>
      <c r="AQ99" s="125">
        <f>MyGrid3[[#This Row],[نوفمبر]]/$AP$187</f>
        <v>0.76923076923076927</v>
      </c>
      <c r="AR99" s="133" t="s">
        <v>64</v>
      </c>
      <c r="AS99" s="391">
        <v>625</v>
      </c>
      <c r="AT99" s="121">
        <f>MyGrid3[[#This Row],[ديسمبر]]/$AS$187</f>
        <v>0.76923076923076927</v>
      </c>
      <c r="AU99" s="126">
        <f t="shared" si="2"/>
        <v>3419.17</v>
      </c>
      <c r="AV99" s="127">
        <f>MyGrid3[[#This Row],[الإجمالي]]/$AU$187</f>
        <v>0.28126825191300614</v>
      </c>
    </row>
    <row r="100" spans="1:48" s="128" customFormat="1" ht="33" hidden="1" customHeight="1">
      <c r="A100" s="110">
        <f>SUBTOTAL(3,$B$4:B100)</f>
        <v>0</v>
      </c>
      <c r="B100" s="111">
        <v>690212</v>
      </c>
      <c r="C100" s="112" t="s">
        <v>1048</v>
      </c>
      <c r="D100" s="113" t="s">
        <v>975</v>
      </c>
      <c r="E100" s="164" t="s">
        <v>1007</v>
      </c>
      <c r="F100" s="115">
        <f>RANK(G100,MyGrid3[الاساسي])</f>
        <v>161</v>
      </c>
      <c r="G100" s="116">
        <v>250</v>
      </c>
      <c r="H100" s="157" t="s">
        <v>1007</v>
      </c>
      <c r="I100" s="115">
        <f>RANK(J100,MyGrid3[يناير])</f>
        <v>81</v>
      </c>
      <c r="J100" s="117">
        <v>0</v>
      </c>
      <c r="K100" s="118">
        <f>MyGrid3[[#This Row],[يناير]]/$J$187</f>
        <v>0</v>
      </c>
      <c r="L100" s="158" t="s">
        <v>1007</v>
      </c>
      <c r="M100" s="115">
        <f>RANK(N100,MyGrid3[فبراير])</f>
        <v>101</v>
      </c>
      <c r="N100" s="134">
        <v>0</v>
      </c>
      <c r="O100" s="121">
        <f>MyGrid3[[#This Row],[فبراير]]/$N$187</f>
        <v>0</v>
      </c>
      <c r="P100" s="159" t="s">
        <v>1007</v>
      </c>
      <c r="Q100" s="115">
        <f>RANK(R100,MyGrid3[مارس])</f>
        <v>110</v>
      </c>
      <c r="R100" s="123">
        <v>0</v>
      </c>
      <c r="S100" s="118">
        <f>MyGrid3[[#This Row],[مارس]]/$R$187</f>
        <v>0</v>
      </c>
      <c r="T100" s="158" t="s">
        <v>1007</v>
      </c>
      <c r="U100" s="397"/>
      <c r="V100" s="121">
        <f>MyGrid3[[#This Row],[أبريل]]/$U$187</f>
        <v>0</v>
      </c>
      <c r="W100" s="159" t="s">
        <v>1007</v>
      </c>
      <c r="X100" s="397"/>
      <c r="Y100" s="118">
        <f>MyGrid3[[#This Row],[مايو]]/$X$187</f>
        <v>0</v>
      </c>
      <c r="Z100" s="158" t="s">
        <v>1007</v>
      </c>
      <c r="AA100" s="123"/>
      <c r="AB100" s="121">
        <f>MyGrid3[[#This Row],[يونيو]]/$AA$187</f>
        <v>0</v>
      </c>
      <c r="AC100" s="159" t="s">
        <v>1007</v>
      </c>
      <c r="AD100" s="123">
        <v>612.5</v>
      </c>
      <c r="AE100" s="118">
        <f>MyGrid3[[#This Row],[يوليو]]/$AD$187</f>
        <v>0.75384615384615383</v>
      </c>
      <c r="AF100" s="119" t="s">
        <v>1007</v>
      </c>
      <c r="AG100" s="124">
        <v>612.5</v>
      </c>
      <c r="AH100" s="121">
        <f>MyGrid3[[#This Row],[أغسطس]]/$AG$187</f>
        <v>0.75384615384615383</v>
      </c>
      <c r="AI100" s="159" t="s">
        <v>1007</v>
      </c>
      <c r="AJ100" s="123">
        <v>612.5</v>
      </c>
      <c r="AK100" s="118">
        <f>MyGrid3[[#This Row],[سبتمبر]]/$AJ$187</f>
        <v>0.75384615384615383</v>
      </c>
      <c r="AL100" s="158" t="s">
        <v>1007</v>
      </c>
      <c r="AM100" s="123">
        <v>612.5</v>
      </c>
      <c r="AN100" s="121">
        <f>MyGrid3[[#This Row],[أكتوبر]]/$AM$187</f>
        <v>0.75384615384615383</v>
      </c>
      <c r="AO100" s="159" t="s">
        <v>1007</v>
      </c>
      <c r="AP100" s="123">
        <v>612.5</v>
      </c>
      <c r="AQ100" s="125">
        <f>MyGrid3[[#This Row],[نوفمبر]]/$AP$187</f>
        <v>0.75384615384615383</v>
      </c>
      <c r="AR100" s="158" t="s">
        <v>1007</v>
      </c>
      <c r="AS100" s="391">
        <v>612.5</v>
      </c>
      <c r="AT100" s="121">
        <f>MyGrid3[[#This Row],[ديسمبر]]/$AS$187</f>
        <v>0.75384615384615383</v>
      </c>
      <c r="AU100" s="126">
        <f t="shared" si="2"/>
        <v>3675</v>
      </c>
      <c r="AV100" s="127">
        <f>MyGrid3[[#This Row],[الإجمالي]]/$AU$187</f>
        <v>0.3023133759889966</v>
      </c>
    </row>
    <row r="101" spans="1:48" s="128" customFormat="1" ht="33" hidden="1" customHeight="1">
      <c r="A101" s="110">
        <f>SUBTOTAL(3,$B$4:B101)</f>
        <v>0</v>
      </c>
      <c r="B101" s="111">
        <v>690213</v>
      </c>
      <c r="C101" s="112" t="s">
        <v>1049</v>
      </c>
      <c r="D101" s="113" t="s">
        <v>975</v>
      </c>
      <c r="E101" s="164" t="s">
        <v>994</v>
      </c>
      <c r="F101" s="115">
        <f>RANK(G101,MyGrid3[الاساسي])</f>
        <v>170</v>
      </c>
      <c r="G101" s="116">
        <v>220</v>
      </c>
      <c r="H101" s="151" t="s">
        <v>994</v>
      </c>
      <c r="I101" s="115">
        <f>RANK(J101,MyGrid3[يناير])</f>
        <v>74</v>
      </c>
      <c r="J101" s="141">
        <v>400</v>
      </c>
      <c r="K101" s="118">
        <f>MyGrid3[[#This Row],[يناير]]/$J$187</f>
        <v>0.2831858407079646</v>
      </c>
      <c r="L101" s="152" t="s">
        <v>994</v>
      </c>
      <c r="M101" s="115">
        <f>RANK(N101,MyGrid3[فبراير])</f>
        <v>92</v>
      </c>
      <c r="N101" s="120">
        <v>400</v>
      </c>
      <c r="O101" s="121">
        <f>MyGrid3[[#This Row],[فبراير]]/$N$187</f>
        <v>0.2831858407079646</v>
      </c>
      <c r="P101" s="153" t="s">
        <v>994</v>
      </c>
      <c r="Q101" s="115">
        <f>RANK(R101,MyGrid3[مارس])</f>
        <v>104</v>
      </c>
      <c r="R101" s="123">
        <v>400</v>
      </c>
      <c r="S101" s="118">
        <f>MyGrid3[[#This Row],[مارس]]/$R$187</f>
        <v>0.2831858407079646</v>
      </c>
      <c r="T101" s="152" t="s">
        <v>994</v>
      </c>
      <c r="U101" s="397">
        <v>775</v>
      </c>
      <c r="V101" s="121">
        <f>MyGrid3[[#This Row],[أبريل]]/$U$187</f>
        <v>0.54867256637168138</v>
      </c>
      <c r="W101" s="153" t="s">
        <v>994</v>
      </c>
      <c r="X101" s="397">
        <v>760.42</v>
      </c>
      <c r="Y101" s="118">
        <f>MyGrid3[[#This Row],[مايو]]/$X$187</f>
        <v>0.53755505128694536</v>
      </c>
      <c r="Z101" s="152" t="s">
        <v>994</v>
      </c>
      <c r="AA101" s="123">
        <v>760.42</v>
      </c>
      <c r="AB101" s="121">
        <f>MyGrid3[[#This Row],[يونيو]]/$AA$187</f>
        <v>3.5095767757419116</v>
      </c>
      <c r="AC101" s="153" t="s">
        <v>994</v>
      </c>
      <c r="AD101" s="123">
        <v>687.5</v>
      </c>
      <c r="AE101" s="118">
        <f>MyGrid3[[#This Row],[يوليو]]/$AD$187</f>
        <v>0.84615384615384615</v>
      </c>
      <c r="AF101" s="119" t="s">
        <v>994</v>
      </c>
      <c r="AG101" s="144">
        <v>687.5</v>
      </c>
      <c r="AH101" s="121">
        <f>MyGrid3[[#This Row],[أغسطس]]/$AG$187</f>
        <v>0.84615384615384615</v>
      </c>
      <c r="AI101" s="153" t="s">
        <v>994</v>
      </c>
      <c r="AJ101" s="123">
        <v>687.5</v>
      </c>
      <c r="AK101" s="118">
        <f>MyGrid3[[#This Row],[سبتمبر]]/$AJ$187</f>
        <v>0.84615384615384615</v>
      </c>
      <c r="AL101" s="152" t="s">
        <v>994</v>
      </c>
      <c r="AM101" s="123">
        <v>687.5</v>
      </c>
      <c r="AN101" s="121">
        <f>MyGrid3[[#This Row],[أكتوبر]]/$AM$187</f>
        <v>0.84615384615384615</v>
      </c>
      <c r="AO101" s="153" t="s">
        <v>994</v>
      </c>
      <c r="AP101" s="123">
        <v>687.5</v>
      </c>
      <c r="AQ101" s="125">
        <f>MyGrid3[[#This Row],[نوفمبر]]/$AP$187</f>
        <v>0.84615384615384615</v>
      </c>
      <c r="AR101" s="152" t="s">
        <v>994</v>
      </c>
      <c r="AS101" s="391">
        <v>687.5</v>
      </c>
      <c r="AT101" s="121">
        <f>MyGrid3[[#This Row],[ديسمبر]]/$AS$187</f>
        <v>0.84615384615384615</v>
      </c>
      <c r="AU101" s="126">
        <f t="shared" si="2"/>
        <v>7620.84</v>
      </c>
      <c r="AV101" s="127">
        <f>MyGrid3[[#This Row],[الإجمالي]]/$AU$187</f>
        <v>0.6269066308223088</v>
      </c>
    </row>
    <row r="102" spans="1:48" s="128" customFormat="1" ht="33" hidden="1" customHeight="1">
      <c r="A102" s="110">
        <f>SUBTOTAL(3,$B$4:B102)</f>
        <v>0</v>
      </c>
      <c r="B102" s="111">
        <v>690215</v>
      </c>
      <c r="C102" s="112" t="s">
        <v>1050</v>
      </c>
      <c r="D102" s="113" t="s">
        <v>975</v>
      </c>
      <c r="E102" s="164" t="s">
        <v>64</v>
      </c>
      <c r="F102" s="115">
        <f>RANK(G102,MyGrid3[الاساسي])</f>
        <v>77</v>
      </c>
      <c r="G102" s="116">
        <v>800</v>
      </c>
      <c r="H102" s="114" t="s">
        <v>64</v>
      </c>
      <c r="I102" s="115">
        <f>RANK(J102,MyGrid3[يناير])</f>
        <v>22</v>
      </c>
      <c r="J102" s="141">
        <v>1400</v>
      </c>
      <c r="K102" s="118">
        <f>MyGrid3[[#This Row],[يناير]]/$J$187</f>
        <v>0.99115044247787609</v>
      </c>
      <c r="L102" s="119" t="s">
        <v>64</v>
      </c>
      <c r="M102" s="115">
        <f>RANK(N102,MyGrid3[فبراير])</f>
        <v>25</v>
      </c>
      <c r="N102" s="120">
        <v>1400</v>
      </c>
      <c r="O102" s="121">
        <f>MyGrid3[[#This Row],[فبراير]]/$N$187</f>
        <v>0.99115044247787609</v>
      </c>
      <c r="P102" s="122" t="s">
        <v>64</v>
      </c>
      <c r="Q102" s="115">
        <f>RANK(R102,MyGrid3[مارس])</f>
        <v>34</v>
      </c>
      <c r="R102" s="123">
        <v>1400</v>
      </c>
      <c r="S102" s="118">
        <f>MyGrid3[[#This Row],[مارس]]/$R$187</f>
        <v>0.99115044247787609</v>
      </c>
      <c r="T102" s="119" t="s">
        <v>64</v>
      </c>
      <c r="U102" s="397">
        <v>1500</v>
      </c>
      <c r="V102" s="121">
        <f>MyGrid3[[#This Row],[أبريل]]/$U$187</f>
        <v>1.0619469026548674</v>
      </c>
      <c r="W102" s="122" t="s">
        <v>64</v>
      </c>
      <c r="X102" s="397">
        <v>1458.33</v>
      </c>
      <c r="Y102" s="118">
        <f>MyGrid3[[#This Row],[مايو]]/$X$187</f>
        <v>1.0309206201090069</v>
      </c>
      <c r="Z102" s="119" t="s">
        <v>64</v>
      </c>
      <c r="AA102" s="123">
        <v>1458.33</v>
      </c>
      <c r="AB102" s="121">
        <f>MyGrid3[[#This Row],[يونيو]]/$AA$187</f>
        <v>6.7306502976877276</v>
      </c>
      <c r="AC102" s="122" t="s">
        <v>64</v>
      </c>
      <c r="AD102" s="123">
        <v>1250</v>
      </c>
      <c r="AE102" s="118">
        <f>MyGrid3[[#This Row],[يوليو]]/$AD$187</f>
        <v>1.5384615384615385</v>
      </c>
      <c r="AF102" s="139" t="s">
        <v>64</v>
      </c>
      <c r="AG102" s="144">
        <v>1250</v>
      </c>
      <c r="AH102" s="121">
        <f>MyGrid3[[#This Row],[أغسطس]]/$AG$187</f>
        <v>1.5384615384615385</v>
      </c>
      <c r="AI102" s="122" t="s">
        <v>64</v>
      </c>
      <c r="AJ102" s="123">
        <v>1250</v>
      </c>
      <c r="AK102" s="118">
        <f>MyGrid3[[#This Row],[سبتمبر]]/$AJ$187</f>
        <v>1.5384615384615385</v>
      </c>
      <c r="AL102" s="119" t="s">
        <v>64</v>
      </c>
      <c r="AM102" s="123">
        <v>1250</v>
      </c>
      <c r="AN102" s="121">
        <f>MyGrid3[[#This Row],[أكتوبر]]/$AM$187</f>
        <v>1.5384615384615385</v>
      </c>
      <c r="AO102" s="122" t="s">
        <v>64</v>
      </c>
      <c r="AP102" s="123">
        <v>1250</v>
      </c>
      <c r="AQ102" s="125">
        <f>MyGrid3[[#This Row],[نوفمبر]]/$AP$187</f>
        <v>1.5384615384615385</v>
      </c>
      <c r="AR102" s="119" t="s">
        <v>64</v>
      </c>
      <c r="AS102" s="391"/>
      <c r="AT102" s="121">
        <f>MyGrid3[[#This Row],[ديسمبر]]/$AS$187</f>
        <v>0</v>
      </c>
      <c r="AU102" s="126">
        <f t="shared" si="2"/>
        <v>14866.66</v>
      </c>
      <c r="AV102" s="127">
        <f>MyGrid3[[#This Row],[الإجمالي]]/$AU$187</f>
        <v>1.2229633127294086</v>
      </c>
    </row>
    <row r="103" spans="1:48" s="128" customFormat="1" ht="33" hidden="1" customHeight="1">
      <c r="A103" s="110">
        <f>SUBTOTAL(3,$B$4:B103)</f>
        <v>0</v>
      </c>
      <c r="B103" s="111">
        <v>690216</v>
      </c>
      <c r="C103" s="112" t="s">
        <v>1051</v>
      </c>
      <c r="D103" s="113" t="s">
        <v>975</v>
      </c>
      <c r="E103" s="164" t="s">
        <v>64</v>
      </c>
      <c r="F103" s="115">
        <f>RANK(G103,MyGrid3[الاساسي])</f>
        <v>159</v>
      </c>
      <c r="G103" s="116">
        <v>253</v>
      </c>
      <c r="H103" s="114" t="s">
        <v>64</v>
      </c>
      <c r="I103" s="115">
        <f>RANK(J103,MyGrid3[يناير])</f>
        <v>67</v>
      </c>
      <c r="J103" s="141">
        <v>518.96</v>
      </c>
      <c r="K103" s="118">
        <f>MyGrid3[[#This Row],[يناير]]/$J$187</f>
        <v>0.3674053097345133</v>
      </c>
      <c r="L103" s="119" t="s">
        <v>64</v>
      </c>
      <c r="M103" s="115">
        <f>RANK(N103,MyGrid3[فبراير])</f>
        <v>86</v>
      </c>
      <c r="N103" s="120">
        <v>529.5</v>
      </c>
      <c r="O103" s="121">
        <f>MyGrid3[[#This Row],[فبراير]]/$N$187</f>
        <v>0.37486725663716813</v>
      </c>
      <c r="P103" s="122" t="s">
        <v>64</v>
      </c>
      <c r="Q103" s="115">
        <f>RANK(R103,MyGrid3[مارس])</f>
        <v>99</v>
      </c>
      <c r="R103" s="123">
        <v>529.5</v>
      </c>
      <c r="S103" s="118">
        <f>MyGrid3[[#This Row],[مارس]]/$R$187</f>
        <v>0.37486725663716813</v>
      </c>
      <c r="T103" s="119" t="s">
        <v>64</v>
      </c>
      <c r="U103" s="397">
        <v>775</v>
      </c>
      <c r="V103" s="121">
        <f>MyGrid3[[#This Row],[أبريل]]/$U$187</f>
        <v>0.54867256637168138</v>
      </c>
      <c r="W103" s="122" t="s">
        <v>64</v>
      </c>
      <c r="X103" s="397">
        <v>760.42</v>
      </c>
      <c r="Y103" s="118">
        <f>MyGrid3[[#This Row],[مايو]]/$X$187</f>
        <v>0.53755505128694536</v>
      </c>
      <c r="Z103" s="119" t="s">
        <v>64</v>
      </c>
      <c r="AA103" s="123">
        <v>760.42</v>
      </c>
      <c r="AB103" s="121">
        <f>MyGrid3[[#This Row],[يونيو]]/$AA$187</f>
        <v>3.5095767757419116</v>
      </c>
      <c r="AC103" s="122" t="s">
        <v>64</v>
      </c>
      <c r="AD103" s="123">
        <v>687.5</v>
      </c>
      <c r="AE103" s="118">
        <f>MyGrid3[[#This Row],[يوليو]]/$AD$187</f>
        <v>0.84615384615384615</v>
      </c>
      <c r="AF103" s="139" t="s">
        <v>64</v>
      </c>
      <c r="AG103" s="144">
        <v>687.5</v>
      </c>
      <c r="AH103" s="121">
        <f>MyGrid3[[#This Row],[أغسطس]]/$AG$187</f>
        <v>0.84615384615384615</v>
      </c>
      <c r="AI103" s="122" t="s">
        <v>64</v>
      </c>
      <c r="AJ103" s="123">
        <v>687.5</v>
      </c>
      <c r="AK103" s="118">
        <f>MyGrid3[[#This Row],[سبتمبر]]/$AJ$187</f>
        <v>0.84615384615384615</v>
      </c>
      <c r="AL103" s="119" t="s">
        <v>64</v>
      </c>
      <c r="AM103" s="123">
        <v>687.5</v>
      </c>
      <c r="AN103" s="121">
        <f>MyGrid3[[#This Row],[أكتوبر]]/$AM$187</f>
        <v>0.84615384615384615</v>
      </c>
      <c r="AO103" s="122" t="s">
        <v>64</v>
      </c>
      <c r="AP103" s="123">
        <v>687.5</v>
      </c>
      <c r="AQ103" s="125">
        <f>MyGrid3[[#This Row],[نوفمبر]]/$AP$187</f>
        <v>0.84615384615384615</v>
      </c>
      <c r="AR103" s="119" t="s">
        <v>64</v>
      </c>
      <c r="AS103" s="391">
        <v>687.5</v>
      </c>
      <c r="AT103" s="121">
        <f>MyGrid3[[#This Row],[ديسمبر]]/$AS$187</f>
        <v>0.84615384615384615</v>
      </c>
      <c r="AU103" s="126">
        <f t="shared" si="2"/>
        <v>7998.8</v>
      </c>
      <c r="AV103" s="127">
        <f>MyGrid3[[#This Row],[الإجمالي]]/$AU$187</f>
        <v>0.65799843043830919</v>
      </c>
    </row>
    <row r="104" spans="1:48" s="128" customFormat="1" ht="33" hidden="1" customHeight="1">
      <c r="A104" s="110">
        <f>SUBTOTAL(3,$B$4:B104)</f>
        <v>0</v>
      </c>
      <c r="B104" s="111">
        <v>690217</v>
      </c>
      <c r="C104" s="112" t="s">
        <v>1052</v>
      </c>
      <c r="D104" s="113" t="s">
        <v>975</v>
      </c>
      <c r="E104" s="164" t="s">
        <v>64</v>
      </c>
      <c r="F104" s="115">
        <f>RANK(G104,MyGrid3[الاساسي])</f>
        <v>155</v>
      </c>
      <c r="G104" s="116">
        <v>300</v>
      </c>
      <c r="H104" s="131"/>
      <c r="I104" s="115">
        <f>RANK(J104,MyGrid3[يناير])</f>
        <v>81</v>
      </c>
      <c r="J104" s="117">
        <v>0</v>
      </c>
      <c r="K104" s="118">
        <f>MyGrid3[[#This Row],[يناير]]/$J$187</f>
        <v>0</v>
      </c>
      <c r="L104" s="133" t="s">
        <v>64</v>
      </c>
      <c r="M104" s="132">
        <f>RANK(N104,MyGrid3[فبراير])</f>
        <v>101</v>
      </c>
      <c r="N104" s="134">
        <v>0</v>
      </c>
      <c r="O104" s="121">
        <f>MyGrid3[[#This Row],[فبراير]]/$N$187</f>
        <v>0</v>
      </c>
      <c r="P104" s="122" t="s">
        <v>64</v>
      </c>
      <c r="Q104" s="132">
        <f>RANK(R104,MyGrid3[مارس])</f>
        <v>97</v>
      </c>
      <c r="R104" s="123">
        <v>550</v>
      </c>
      <c r="S104" s="118">
        <f>MyGrid3[[#This Row],[مارس]]/$R$187</f>
        <v>0.38938053097345132</v>
      </c>
      <c r="T104" s="119" t="s">
        <v>64</v>
      </c>
      <c r="U104" s="397">
        <v>650</v>
      </c>
      <c r="V104" s="121">
        <f>MyGrid3[[#This Row],[أبريل]]/$U$187</f>
        <v>0.46017699115044247</v>
      </c>
      <c r="W104" s="122" t="s">
        <v>64</v>
      </c>
      <c r="X104" s="397">
        <v>650</v>
      </c>
      <c r="Y104" s="118">
        <f>MyGrid3[[#This Row],[مايو]]/$X$187</f>
        <v>0.45949709809909589</v>
      </c>
      <c r="Z104" s="119" t="s">
        <v>64</v>
      </c>
      <c r="AA104" s="123">
        <v>650</v>
      </c>
      <c r="AB104" s="121">
        <f>MyGrid3[[#This Row],[يونيو]]/$AA$187</f>
        <v>2.9999538468638947</v>
      </c>
      <c r="AC104" s="122" t="s">
        <v>64</v>
      </c>
      <c r="AD104" s="123">
        <v>625</v>
      </c>
      <c r="AE104" s="118">
        <f>MyGrid3[[#This Row],[يوليو]]/$AD$187</f>
        <v>0.76923076923076927</v>
      </c>
      <c r="AF104" s="139" t="s">
        <v>64</v>
      </c>
      <c r="AG104" s="124">
        <v>625</v>
      </c>
      <c r="AH104" s="121">
        <f>MyGrid3[[#This Row],[أغسطس]]/$AG$187</f>
        <v>0.76923076923076927</v>
      </c>
      <c r="AI104" s="122" t="s">
        <v>64</v>
      </c>
      <c r="AJ104" s="123">
        <v>625</v>
      </c>
      <c r="AK104" s="118">
        <f>MyGrid3[[#This Row],[سبتمبر]]/$AJ$187</f>
        <v>0.76923076923076927</v>
      </c>
      <c r="AL104" s="119" t="s">
        <v>64</v>
      </c>
      <c r="AM104" s="123">
        <v>625</v>
      </c>
      <c r="AN104" s="121">
        <f>MyGrid3[[#This Row],[أكتوبر]]/$AM$187</f>
        <v>0.76923076923076927</v>
      </c>
      <c r="AO104" s="122" t="s">
        <v>64</v>
      </c>
      <c r="AP104" s="123">
        <v>625</v>
      </c>
      <c r="AQ104" s="125">
        <f>MyGrid3[[#This Row],[نوفمبر]]/$AP$187</f>
        <v>0.76923076923076927</v>
      </c>
      <c r="AR104" s="119" t="s">
        <v>64</v>
      </c>
      <c r="AS104" s="391"/>
      <c r="AT104" s="121">
        <f>MyGrid3[[#This Row],[ديسمبر]]/$AS$187</f>
        <v>0</v>
      </c>
      <c r="AU104" s="126">
        <f t="shared" si="2"/>
        <v>5625</v>
      </c>
      <c r="AV104" s="127">
        <f>MyGrid3[[#This Row],[الإجمالي]]/$AU$187</f>
        <v>0.46272455508519889</v>
      </c>
    </row>
    <row r="105" spans="1:48" s="128" customFormat="1" ht="33" hidden="1" customHeight="1">
      <c r="A105" s="110">
        <f>SUBTOTAL(3,$B$4:B105)</f>
        <v>0</v>
      </c>
      <c r="B105" s="111">
        <v>690218</v>
      </c>
      <c r="C105" s="112" t="s">
        <v>1053</v>
      </c>
      <c r="D105" s="113" t="s">
        <v>975</v>
      </c>
      <c r="E105" s="164" t="s">
        <v>64</v>
      </c>
      <c r="F105" s="115">
        <f>RANK(G105,MyGrid3[الاساسي])</f>
        <v>49</v>
      </c>
      <c r="G105" s="116">
        <v>1000</v>
      </c>
      <c r="H105" s="131"/>
      <c r="I105" s="115">
        <f>RANK(J105,MyGrid3[يناير])</f>
        <v>81</v>
      </c>
      <c r="J105" s="117">
        <v>0</v>
      </c>
      <c r="K105" s="118">
        <f>MyGrid3[[#This Row],[يناير]]/$J$187</f>
        <v>0</v>
      </c>
      <c r="L105" s="133" t="s">
        <v>64</v>
      </c>
      <c r="M105" s="132">
        <f>RANK(N105,MyGrid3[فبراير])</f>
        <v>101</v>
      </c>
      <c r="N105" s="134">
        <v>0</v>
      </c>
      <c r="O105" s="121">
        <f>MyGrid3[[#This Row],[فبراير]]/$N$187</f>
        <v>0</v>
      </c>
      <c r="P105" s="122" t="s">
        <v>64</v>
      </c>
      <c r="Q105" s="132">
        <f>RANK(R105,MyGrid3[مارس])</f>
        <v>108</v>
      </c>
      <c r="R105" s="123">
        <v>166.67</v>
      </c>
      <c r="S105" s="118">
        <f>MyGrid3[[#This Row],[مارس]]/$R$187</f>
        <v>0.11799646017699114</v>
      </c>
      <c r="T105" s="119" t="s">
        <v>64</v>
      </c>
      <c r="U105" s="397">
        <v>1333.33</v>
      </c>
      <c r="V105" s="121">
        <f>MyGrid3[[#This Row],[أبريل]]/$U$187</f>
        <v>0.94395044247787607</v>
      </c>
      <c r="W105" s="122" t="s">
        <v>64</v>
      </c>
      <c r="X105" s="138">
        <v>1333.33</v>
      </c>
      <c r="Y105" s="118">
        <f>MyGrid3[[#This Row],[مايو]]/$X$187</f>
        <v>0.94255579355148844</v>
      </c>
      <c r="Z105" s="119" t="s">
        <v>64</v>
      </c>
      <c r="AA105" s="123">
        <v>1333.33</v>
      </c>
      <c r="AB105" s="121">
        <f>MyGrid3[[#This Row],[يونيو]]/$AA$187</f>
        <v>6.1537360963677479</v>
      </c>
      <c r="AC105" s="122" t="s">
        <v>64</v>
      </c>
      <c r="AD105" s="123">
        <v>1250</v>
      </c>
      <c r="AE105" s="118">
        <f>MyGrid3[[#This Row],[يوليو]]/$AD$187</f>
        <v>1.5384615384615385</v>
      </c>
      <c r="AF105" s="139" t="s">
        <v>64</v>
      </c>
      <c r="AG105" s="124">
        <v>1250</v>
      </c>
      <c r="AH105" s="121">
        <f>MyGrid3[[#This Row],[أغسطس]]/$AG$187</f>
        <v>1.5384615384615385</v>
      </c>
      <c r="AI105" s="122" t="s">
        <v>64</v>
      </c>
      <c r="AJ105" s="123">
        <v>1250</v>
      </c>
      <c r="AK105" s="118">
        <f>MyGrid3[[#This Row],[سبتمبر]]/$AJ$187</f>
        <v>1.5384615384615385</v>
      </c>
      <c r="AL105" s="119" t="s">
        <v>64</v>
      </c>
      <c r="AM105" s="123">
        <v>1250</v>
      </c>
      <c r="AN105" s="121">
        <f>MyGrid3[[#This Row],[أكتوبر]]/$AM$187</f>
        <v>1.5384615384615385</v>
      </c>
      <c r="AO105" s="122" t="s">
        <v>64</v>
      </c>
      <c r="AP105" s="123">
        <v>1250</v>
      </c>
      <c r="AQ105" s="125">
        <f>MyGrid3[[#This Row],[نوفمبر]]/$AP$187</f>
        <v>1.5384615384615385</v>
      </c>
      <c r="AR105" s="119" t="s">
        <v>64</v>
      </c>
      <c r="AS105" s="391">
        <f>1216.67-33.33</f>
        <v>1183.3400000000001</v>
      </c>
      <c r="AT105" s="121">
        <f>MyGrid3[[#This Row],[ديسمبر]]/$AS$187</f>
        <v>1.4564184615384617</v>
      </c>
      <c r="AU105" s="126">
        <f t="shared" si="2"/>
        <v>11600</v>
      </c>
      <c r="AV105" s="127">
        <f>MyGrid3[[#This Row],[الإجمالي]]/$AU$187</f>
        <v>0.95424086026458799</v>
      </c>
    </row>
    <row r="106" spans="1:48" s="128" customFormat="1" ht="33" hidden="1" customHeight="1">
      <c r="A106" s="110">
        <f>SUBTOTAL(3,$B$4:B106)</f>
        <v>0</v>
      </c>
      <c r="B106" s="111">
        <v>690219</v>
      </c>
      <c r="C106" s="112" t="s">
        <v>1054</v>
      </c>
      <c r="D106" s="113" t="s">
        <v>979</v>
      </c>
      <c r="E106" s="164" t="s">
        <v>64</v>
      </c>
      <c r="F106" s="115">
        <f>RANK(G106,MyGrid3[الاساسي])</f>
        <v>161</v>
      </c>
      <c r="G106" s="116">
        <v>250</v>
      </c>
      <c r="H106" s="114" t="s">
        <v>64</v>
      </c>
      <c r="I106" s="115">
        <f>RANK(J106,MyGrid3[يناير])</f>
        <v>75</v>
      </c>
      <c r="J106" s="141">
        <v>375</v>
      </c>
      <c r="K106" s="118">
        <f>MyGrid3[[#This Row],[يناير]]/$J$187</f>
        <v>0.26548672566371684</v>
      </c>
      <c r="L106" s="133" t="s">
        <v>64</v>
      </c>
      <c r="M106" s="115">
        <f>RANK(N106,MyGrid3[فبراير])</f>
        <v>93</v>
      </c>
      <c r="N106" s="120">
        <v>375</v>
      </c>
      <c r="O106" s="121">
        <f>MyGrid3[[#This Row],[فبراير]]/$N$187</f>
        <v>0.26548672566371684</v>
      </c>
      <c r="P106" s="122" t="s">
        <v>64</v>
      </c>
      <c r="Q106" s="115">
        <f>RANK(R106,MyGrid3[مارس])</f>
        <v>105</v>
      </c>
      <c r="R106" s="123">
        <v>375</v>
      </c>
      <c r="S106" s="118">
        <f>MyGrid3[[#This Row],[مارس]]/$R$187</f>
        <v>0.26548672566371684</v>
      </c>
      <c r="T106" s="119" t="s">
        <v>64</v>
      </c>
      <c r="U106" s="397">
        <v>775</v>
      </c>
      <c r="V106" s="121">
        <f>MyGrid3[[#This Row],[أبريل]]/$U$187</f>
        <v>0.54867256637168138</v>
      </c>
      <c r="W106" s="122" t="s">
        <v>64</v>
      </c>
      <c r="X106" s="397">
        <v>760.42</v>
      </c>
      <c r="Y106" s="118">
        <f>MyGrid3[[#This Row],[مايو]]/$X$187</f>
        <v>0.53755505128694536</v>
      </c>
      <c r="Z106" s="119" t="s">
        <v>64</v>
      </c>
      <c r="AA106" s="123">
        <v>760.42</v>
      </c>
      <c r="AB106" s="121">
        <f>MyGrid3[[#This Row],[يونيو]]/$AA$187</f>
        <v>3.5095767757419116</v>
      </c>
      <c r="AC106" s="122" t="s">
        <v>64</v>
      </c>
      <c r="AD106" s="123">
        <v>687.5</v>
      </c>
      <c r="AE106" s="118">
        <f>MyGrid3[[#This Row],[يوليو]]/$AD$187</f>
        <v>0.84615384615384615</v>
      </c>
      <c r="AF106" s="139" t="s">
        <v>64</v>
      </c>
      <c r="AG106" s="144">
        <v>687.5</v>
      </c>
      <c r="AH106" s="121">
        <f>MyGrid3[[#This Row],[أغسطس]]/$AG$187</f>
        <v>0.84615384615384615</v>
      </c>
      <c r="AI106" s="122" t="s">
        <v>64</v>
      </c>
      <c r="AJ106" s="123">
        <v>687.5</v>
      </c>
      <c r="AK106" s="118">
        <f>MyGrid3[[#This Row],[سبتمبر]]/$AJ$187</f>
        <v>0.84615384615384615</v>
      </c>
      <c r="AL106" s="119" t="s">
        <v>64</v>
      </c>
      <c r="AM106" s="123">
        <v>687.5</v>
      </c>
      <c r="AN106" s="121">
        <f>MyGrid3[[#This Row],[أكتوبر]]/$AM$187</f>
        <v>0.84615384615384615</v>
      </c>
      <c r="AO106" s="122" t="s">
        <v>64</v>
      </c>
      <c r="AP106" s="123">
        <v>687.5</v>
      </c>
      <c r="AQ106" s="125">
        <f>MyGrid3[[#This Row],[نوفمبر]]/$AP$187</f>
        <v>0.84615384615384615</v>
      </c>
      <c r="AR106" s="119" t="s">
        <v>64</v>
      </c>
      <c r="AS106" s="391">
        <v>687.5</v>
      </c>
      <c r="AT106" s="121">
        <f>MyGrid3[[#This Row],[ديسمبر]]/$AS$187</f>
        <v>0.84615384615384615</v>
      </c>
      <c r="AU106" s="126">
        <f t="shared" si="2"/>
        <v>7545.84</v>
      </c>
      <c r="AV106" s="127">
        <f>MyGrid3[[#This Row],[الإجمالي]]/$AU$187</f>
        <v>0.62073697008783957</v>
      </c>
    </row>
    <row r="107" spans="1:48" s="128" customFormat="1" ht="33" hidden="1" customHeight="1">
      <c r="A107" s="110">
        <f>SUBTOTAL(3,$B$4:B107)</f>
        <v>0</v>
      </c>
      <c r="B107" s="111">
        <v>690220</v>
      </c>
      <c r="C107" s="112" t="s">
        <v>1055</v>
      </c>
      <c r="D107" s="113" t="s">
        <v>979</v>
      </c>
      <c r="E107" s="164" t="s">
        <v>1014</v>
      </c>
      <c r="F107" s="115">
        <f>RANK(G107,MyGrid3[الاساسي])</f>
        <v>49</v>
      </c>
      <c r="G107" s="116">
        <v>1000</v>
      </c>
      <c r="H107" s="165" t="s">
        <v>1014</v>
      </c>
      <c r="I107" s="115">
        <f>RANK(J107,MyGrid3[يناير])</f>
        <v>29</v>
      </c>
      <c r="J107" s="141">
        <v>1250</v>
      </c>
      <c r="K107" s="118">
        <f>MyGrid3[[#This Row],[يناير]]/$J$187</f>
        <v>0.88495575221238942</v>
      </c>
      <c r="L107" s="166" t="s">
        <v>1014</v>
      </c>
      <c r="M107" s="115">
        <f>RANK(N107,MyGrid3[فبراير])</f>
        <v>101</v>
      </c>
      <c r="N107" s="134">
        <v>0</v>
      </c>
      <c r="O107" s="121">
        <f>MyGrid3[[#This Row],[فبراير]]/$N$187</f>
        <v>0</v>
      </c>
      <c r="P107" s="168" t="s">
        <v>1014</v>
      </c>
      <c r="Q107" s="115">
        <f>RANK(R107,MyGrid3[مارس])</f>
        <v>110</v>
      </c>
      <c r="R107" s="123">
        <v>0</v>
      </c>
      <c r="S107" s="118">
        <f>MyGrid3[[#This Row],[مارس]]/$R$187</f>
        <v>0</v>
      </c>
      <c r="T107" s="166" t="s">
        <v>1014</v>
      </c>
      <c r="U107" s="397"/>
      <c r="V107" s="121">
        <f>MyGrid3[[#This Row],[أبريل]]/$U$187</f>
        <v>0</v>
      </c>
      <c r="W107" s="168" t="s">
        <v>1014</v>
      </c>
      <c r="X107" s="397"/>
      <c r="Y107" s="118">
        <f>MyGrid3[[#This Row],[مايو]]/$X$187</f>
        <v>0</v>
      </c>
      <c r="Z107" s="166" t="s">
        <v>1014</v>
      </c>
      <c r="AA107" s="123"/>
      <c r="AB107" s="121">
        <f>MyGrid3[[#This Row],[يونيو]]/$AA$187</f>
        <v>0</v>
      </c>
      <c r="AC107" s="168" t="s">
        <v>1014</v>
      </c>
      <c r="AD107" s="123">
        <v>295.83</v>
      </c>
      <c r="AE107" s="118">
        <f>MyGrid3[[#This Row],[يوليو]]/$AD$187</f>
        <v>0.36409846153846154</v>
      </c>
      <c r="AF107" s="119" t="s">
        <v>1014</v>
      </c>
      <c r="AG107" s="144">
        <v>1250</v>
      </c>
      <c r="AH107" s="121">
        <f>MyGrid3[[#This Row],[أغسطس]]/$AG$187</f>
        <v>1.5384615384615385</v>
      </c>
      <c r="AI107" s="168" t="s">
        <v>1014</v>
      </c>
      <c r="AJ107" s="123">
        <v>1250</v>
      </c>
      <c r="AK107" s="118">
        <f>MyGrid3[[#This Row],[سبتمبر]]/$AJ$187</f>
        <v>1.5384615384615385</v>
      </c>
      <c r="AL107" s="166" t="s">
        <v>1014</v>
      </c>
      <c r="AM107" s="123">
        <v>1250</v>
      </c>
      <c r="AN107" s="121">
        <f>MyGrid3[[#This Row],[أكتوبر]]/$AM$187</f>
        <v>1.5384615384615385</v>
      </c>
      <c r="AO107" s="168" t="s">
        <v>1014</v>
      </c>
      <c r="AP107" s="123">
        <v>1250</v>
      </c>
      <c r="AQ107" s="125">
        <f>MyGrid3[[#This Row],[نوفمبر]]/$AP$187</f>
        <v>1.5384615384615385</v>
      </c>
      <c r="AR107" s="166" t="s">
        <v>1014</v>
      </c>
      <c r="AS107" s="391">
        <v>1250</v>
      </c>
      <c r="AT107" s="121">
        <f>MyGrid3[[#This Row],[ديسمبر]]/$AS$187</f>
        <v>1.5384615384615385</v>
      </c>
      <c r="AU107" s="126">
        <f t="shared" si="2"/>
        <v>7795.83</v>
      </c>
      <c r="AV107" s="127">
        <f>MyGrid3[[#This Row],[الإجمالي]]/$AU$187</f>
        <v>0.64130168324797265</v>
      </c>
    </row>
    <row r="108" spans="1:48" s="128" customFormat="1" ht="33" hidden="1" customHeight="1">
      <c r="A108" s="110">
        <f>SUBTOTAL(3,$B$4:B108)</f>
        <v>0</v>
      </c>
      <c r="B108" s="111">
        <v>690221</v>
      </c>
      <c r="C108" s="172" t="s">
        <v>1056</v>
      </c>
      <c r="D108" s="113" t="s">
        <v>979</v>
      </c>
      <c r="E108" s="164" t="s">
        <v>1014</v>
      </c>
      <c r="F108" s="115">
        <f>RANK(G108,MyGrid3[الاساسي])</f>
        <v>155</v>
      </c>
      <c r="G108" s="130">
        <v>300</v>
      </c>
      <c r="H108" s="165" t="s">
        <v>1014</v>
      </c>
      <c r="I108" s="115">
        <f>RANK(J108,MyGrid3[يناير])</f>
        <v>81</v>
      </c>
      <c r="J108" s="117">
        <v>0</v>
      </c>
      <c r="K108" s="118">
        <f>MyGrid3[[#This Row],[يناير]]/$J$187</f>
        <v>0</v>
      </c>
      <c r="L108" s="166" t="s">
        <v>1014</v>
      </c>
      <c r="M108" s="115">
        <f>RANK(N108,MyGrid3[فبراير])</f>
        <v>101</v>
      </c>
      <c r="N108" s="134">
        <v>0</v>
      </c>
      <c r="O108" s="121">
        <f>MyGrid3[[#This Row],[فبراير]]/$N$187</f>
        <v>0</v>
      </c>
      <c r="P108" s="168" t="s">
        <v>1014</v>
      </c>
      <c r="Q108" s="115">
        <f>RANK(R108,MyGrid3[مارس])</f>
        <v>110</v>
      </c>
      <c r="R108" s="123">
        <v>0</v>
      </c>
      <c r="S108" s="118">
        <f>MyGrid3[[#This Row],[مارس]]/$R$187</f>
        <v>0</v>
      </c>
      <c r="T108" s="166" t="s">
        <v>1014</v>
      </c>
      <c r="U108" s="397"/>
      <c r="V108" s="121">
        <f>MyGrid3[[#This Row],[أبريل]]/$U$187</f>
        <v>0</v>
      </c>
      <c r="W108" s="168" t="s">
        <v>1014</v>
      </c>
      <c r="X108" s="397"/>
      <c r="Y108" s="118">
        <f>MyGrid3[[#This Row],[مايو]]/$X$187</f>
        <v>0</v>
      </c>
      <c r="Z108" s="166" t="s">
        <v>1014</v>
      </c>
      <c r="AA108" s="123"/>
      <c r="AB108" s="121">
        <f>MyGrid3[[#This Row],[يونيو]]/$AA$187</f>
        <v>0</v>
      </c>
      <c r="AC108" s="168" t="s">
        <v>1014</v>
      </c>
      <c r="AD108" s="123"/>
      <c r="AE108" s="118">
        <f>MyGrid3[[#This Row],[يوليو]]/$AD$187</f>
        <v>0</v>
      </c>
      <c r="AF108" s="119" t="s">
        <v>1014</v>
      </c>
      <c r="AG108" s="138"/>
      <c r="AH108" s="121">
        <f>MyGrid3[[#This Row],[أغسطس]]/$AG$187</f>
        <v>0</v>
      </c>
      <c r="AI108" s="168" t="s">
        <v>1014</v>
      </c>
      <c r="AJ108" s="123">
        <v>625</v>
      </c>
      <c r="AK108" s="118">
        <f>MyGrid3[[#This Row],[سبتمبر]]/$AJ$187</f>
        <v>0.76923076923076927</v>
      </c>
      <c r="AL108" s="166" t="s">
        <v>1014</v>
      </c>
      <c r="AM108" s="123">
        <v>625</v>
      </c>
      <c r="AN108" s="121">
        <f>MyGrid3[[#This Row],[أكتوبر]]/$AM$187</f>
        <v>0.76923076923076927</v>
      </c>
      <c r="AO108" s="168" t="s">
        <v>1014</v>
      </c>
      <c r="AP108" s="123">
        <v>625</v>
      </c>
      <c r="AQ108" s="125">
        <f>MyGrid3[[#This Row],[نوفمبر]]/$AP$187</f>
        <v>0.76923076923076927</v>
      </c>
      <c r="AR108" s="166" t="s">
        <v>1014</v>
      </c>
      <c r="AS108" s="391">
        <v>625</v>
      </c>
      <c r="AT108" s="121">
        <f>MyGrid3[[#This Row],[ديسمبر]]/$AS$187</f>
        <v>0.76923076923076927</v>
      </c>
      <c r="AU108" s="126">
        <f t="shared" si="2"/>
        <v>2500</v>
      </c>
      <c r="AV108" s="127">
        <f>MyGrid3[[#This Row],[الإجمالي]]/$AU$187</f>
        <v>0.20565535781564395</v>
      </c>
    </row>
    <row r="109" spans="1:48" s="128" customFormat="1" ht="33" hidden="1" customHeight="1">
      <c r="A109" s="110">
        <f>SUBTOTAL(3,$B$4:B109)</f>
        <v>0</v>
      </c>
      <c r="B109" s="111">
        <v>690222</v>
      </c>
      <c r="C109" s="112" t="s">
        <v>1057</v>
      </c>
      <c r="D109" s="113" t="s">
        <v>979</v>
      </c>
      <c r="E109" s="164" t="s">
        <v>1014</v>
      </c>
      <c r="F109" s="115">
        <f>RANK(G109,MyGrid3[الاساسي])</f>
        <v>155</v>
      </c>
      <c r="G109" s="116">
        <v>300</v>
      </c>
      <c r="H109" s="165" t="s">
        <v>1014</v>
      </c>
      <c r="I109" s="115">
        <f>RANK(J109,MyGrid3[يناير])</f>
        <v>61</v>
      </c>
      <c r="J109" s="141">
        <v>675</v>
      </c>
      <c r="K109" s="118">
        <f>MyGrid3[[#This Row],[يناير]]/$J$187</f>
        <v>0.47787610619469029</v>
      </c>
      <c r="L109" s="166" t="s">
        <v>1014</v>
      </c>
      <c r="M109" s="115">
        <f>RANK(N109,MyGrid3[فبراير])</f>
        <v>78</v>
      </c>
      <c r="N109" s="120">
        <v>675</v>
      </c>
      <c r="O109" s="121">
        <f>MyGrid3[[#This Row],[فبراير]]/$N$187</f>
        <v>0.47787610619469029</v>
      </c>
      <c r="P109" s="168" t="s">
        <v>1014</v>
      </c>
      <c r="Q109" s="115">
        <f>RANK(R109,MyGrid3[مارس])</f>
        <v>91</v>
      </c>
      <c r="R109" s="123">
        <v>675</v>
      </c>
      <c r="S109" s="118">
        <f>MyGrid3[[#This Row],[مارس]]/$R$187</f>
        <v>0.47787610619469029</v>
      </c>
      <c r="T109" s="166" t="s">
        <v>1014</v>
      </c>
      <c r="U109" s="397">
        <v>675</v>
      </c>
      <c r="V109" s="121">
        <f>MyGrid3[[#This Row],[أبريل]]/$U$187</f>
        <v>0.47787610619469029</v>
      </c>
      <c r="W109" s="168" t="s">
        <v>1014</v>
      </c>
      <c r="X109" s="397">
        <v>662.5</v>
      </c>
      <c r="Y109" s="118">
        <f>MyGrid3[[#This Row],[مايو]]/$X$187</f>
        <v>0.46833358075484771</v>
      </c>
      <c r="Z109" s="166" t="s">
        <v>1014</v>
      </c>
      <c r="AA109" s="123">
        <v>650</v>
      </c>
      <c r="AB109" s="121">
        <f>MyGrid3[[#This Row],[يونيو]]/$AA$187</f>
        <v>2.9999538468638947</v>
      </c>
      <c r="AC109" s="168" t="s">
        <v>1014</v>
      </c>
      <c r="AD109" s="123">
        <v>625</v>
      </c>
      <c r="AE109" s="118">
        <f>MyGrid3[[#This Row],[يوليو]]/$AD$187</f>
        <v>0.76923076923076927</v>
      </c>
      <c r="AF109" s="119" t="s">
        <v>1014</v>
      </c>
      <c r="AG109" s="144">
        <v>625</v>
      </c>
      <c r="AH109" s="121">
        <f>MyGrid3[[#This Row],[أغسطس]]/$AG$187</f>
        <v>0.76923076923076927</v>
      </c>
      <c r="AI109" s="168" t="s">
        <v>1014</v>
      </c>
      <c r="AJ109" s="123">
        <v>625</v>
      </c>
      <c r="AK109" s="118">
        <f>MyGrid3[[#This Row],[سبتمبر]]/$AJ$187</f>
        <v>0.76923076923076927</v>
      </c>
      <c r="AL109" s="166" t="s">
        <v>1014</v>
      </c>
      <c r="AM109" s="123">
        <v>625</v>
      </c>
      <c r="AN109" s="121">
        <f>MyGrid3[[#This Row],[أكتوبر]]/$AM$187</f>
        <v>0.76923076923076927</v>
      </c>
      <c r="AO109" s="168" t="s">
        <v>1014</v>
      </c>
      <c r="AP109" s="123">
        <v>625</v>
      </c>
      <c r="AQ109" s="125">
        <f>MyGrid3[[#This Row],[نوفمبر]]/$AP$187</f>
        <v>0.76923076923076927</v>
      </c>
      <c r="AR109" s="166" t="s">
        <v>1014</v>
      </c>
      <c r="AS109" s="391">
        <v>625</v>
      </c>
      <c r="AT109" s="121">
        <f>MyGrid3[[#This Row],[ديسمبر]]/$AS$187</f>
        <v>0.76923076923076927</v>
      </c>
      <c r="AU109" s="126">
        <f t="shared" si="2"/>
        <v>7762.5</v>
      </c>
      <c r="AV109" s="127">
        <f>MyGrid3[[#This Row],[الإجمالي]]/$AU$187</f>
        <v>0.63855988601757452</v>
      </c>
    </row>
    <row r="110" spans="1:48" s="128" customFormat="1" ht="33" hidden="1" customHeight="1">
      <c r="A110" s="110">
        <f>SUBTOTAL(3,$B$4:B110)</f>
        <v>0</v>
      </c>
      <c r="B110" s="111">
        <v>690223</v>
      </c>
      <c r="C110" s="112" t="s">
        <v>1058</v>
      </c>
      <c r="D110" s="113" t="s">
        <v>979</v>
      </c>
      <c r="E110" s="164" t="s">
        <v>967</v>
      </c>
      <c r="F110" s="115">
        <f>RANK(G110,MyGrid3[الاساسي])</f>
        <v>107</v>
      </c>
      <c r="G110" s="130">
        <v>500</v>
      </c>
      <c r="H110" s="140" t="s">
        <v>967</v>
      </c>
      <c r="I110" s="115">
        <f>RANK(J110,MyGrid3[يناير])</f>
        <v>48</v>
      </c>
      <c r="J110" s="141">
        <v>800</v>
      </c>
      <c r="K110" s="118">
        <f>MyGrid3[[#This Row],[يناير]]/$J$187</f>
        <v>0.5663716814159292</v>
      </c>
      <c r="L110" s="142" t="s">
        <v>967</v>
      </c>
      <c r="M110" s="115">
        <f>RANK(N110,MyGrid3[فبراير])</f>
        <v>63</v>
      </c>
      <c r="N110" s="120">
        <v>800</v>
      </c>
      <c r="O110" s="121">
        <f>MyGrid3[[#This Row],[فبراير]]/$N$187</f>
        <v>0.5663716814159292</v>
      </c>
      <c r="P110" s="143" t="s">
        <v>967</v>
      </c>
      <c r="Q110" s="115">
        <f>RANK(R110,MyGrid3[مارس])</f>
        <v>110</v>
      </c>
      <c r="R110" s="123">
        <v>0</v>
      </c>
      <c r="S110" s="118">
        <f>MyGrid3[[#This Row],[مارس]]/$R$187</f>
        <v>0</v>
      </c>
      <c r="T110" s="142" t="s">
        <v>967</v>
      </c>
      <c r="U110" s="397"/>
      <c r="V110" s="121">
        <f>MyGrid3[[#This Row],[أبريل]]/$U$187</f>
        <v>0</v>
      </c>
      <c r="W110" s="143" t="s">
        <v>967</v>
      </c>
      <c r="X110" s="397"/>
      <c r="Y110" s="118">
        <f>MyGrid3[[#This Row],[مايو]]/$X$187</f>
        <v>0</v>
      </c>
      <c r="Z110" s="142" t="s">
        <v>967</v>
      </c>
      <c r="AA110" s="123"/>
      <c r="AB110" s="121">
        <f>MyGrid3[[#This Row],[يونيو]]/$AA$187</f>
        <v>0</v>
      </c>
      <c r="AC110" s="143" t="s">
        <v>967</v>
      </c>
      <c r="AD110" s="123"/>
      <c r="AE110" s="118">
        <f>MyGrid3[[#This Row],[يوليو]]/$AD$187</f>
        <v>0</v>
      </c>
      <c r="AF110" s="119" t="s">
        <v>967</v>
      </c>
      <c r="AG110" s="123"/>
      <c r="AH110" s="121">
        <f>MyGrid3[[#This Row],[أغسطس]]/$AG$187</f>
        <v>0</v>
      </c>
      <c r="AI110" s="143" t="s">
        <v>967</v>
      </c>
      <c r="AJ110" s="123">
        <v>276.25</v>
      </c>
      <c r="AK110" s="118">
        <f>MyGrid3[[#This Row],[سبتمبر]]/$AJ$187</f>
        <v>0.34</v>
      </c>
      <c r="AL110" s="142" t="s">
        <v>967</v>
      </c>
      <c r="AM110" s="123">
        <v>675</v>
      </c>
      <c r="AN110" s="121">
        <f>MyGrid3[[#This Row],[أكتوبر]]/$AM$187</f>
        <v>0.83076923076923082</v>
      </c>
      <c r="AO110" s="143" t="s">
        <v>967</v>
      </c>
      <c r="AP110" s="123">
        <v>675</v>
      </c>
      <c r="AQ110" s="125">
        <f>MyGrid3[[#This Row],[نوفمبر]]/$AP$187</f>
        <v>0.83076923076923082</v>
      </c>
      <c r="AR110" s="142" t="s">
        <v>967</v>
      </c>
      <c r="AS110" s="391">
        <v>675</v>
      </c>
      <c r="AT110" s="121">
        <f>MyGrid3[[#This Row],[ديسمبر]]/$AS$187</f>
        <v>0.83076923076923082</v>
      </c>
      <c r="AU110" s="126">
        <f t="shared" si="2"/>
        <v>3901.25</v>
      </c>
      <c r="AV110" s="127">
        <f>MyGrid3[[#This Row],[الإجمالي]]/$AU$187</f>
        <v>0.32092518587131241</v>
      </c>
    </row>
    <row r="111" spans="1:48" s="128" customFormat="1" ht="33" hidden="1" customHeight="1">
      <c r="A111" s="110">
        <f>SUBTOTAL(3,$B$4:B111)</f>
        <v>0</v>
      </c>
      <c r="B111" s="111">
        <v>690224</v>
      </c>
      <c r="C111" s="112" t="s">
        <v>1059</v>
      </c>
      <c r="D111" s="113" t="s">
        <v>979</v>
      </c>
      <c r="E111" s="164" t="s">
        <v>1014</v>
      </c>
      <c r="F111" s="115">
        <f>RANK(G111,MyGrid3[الاساسي])</f>
        <v>161</v>
      </c>
      <c r="G111" s="116">
        <v>250</v>
      </c>
      <c r="H111" s="165" t="s">
        <v>1014</v>
      </c>
      <c r="I111" s="115">
        <f>RANK(J111,MyGrid3[يناير])</f>
        <v>76</v>
      </c>
      <c r="J111" s="141">
        <v>354.17</v>
      </c>
      <c r="K111" s="118">
        <f>MyGrid3[[#This Row],[يناير]]/$J$187</f>
        <v>0.25073982300884956</v>
      </c>
      <c r="L111" s="166" t="s">
        <v>1014</v>
      </c>
      <c r="M111" s="115">
        <f>RANK(N111,MyGrid3[فبراير])</f>
        <v>94</v>
      </c>
      <c r="N111" s="120">
        <v>354.17</v>
      </c>
      <c r="O111" s="121">
        <f>MyGrid3[[#This Row],[فبراير]]/$N$187</f>
        <v>0.25073982300884956</v>
      </c>
      <c r="P111" s="168" t="s">
        <v>1014</v>
      </c>
      <c r="Q111" s="115">
        <f>RANK(R111,MyGrid3[مارس])</f>
        <v>106</v>
      </c>
      <c r="R111" s="123">
        <v>354.17</v>
      </c>
      <c r="S111" s="118">
        <f>MyGrid3[[#This Row],[مارس]]/$R$187</f>
        <v>0.25073982300884956</v>
      </c>
      <c r="T111" s="166" t="s">
        <v>1014</v>
      </c>
      <c r="U111" s="397">
        <v>354.17</v>
      </c>
      <c r="V111" s="121">
        <f>MyGrid3[[#This Row],[أبريل]]/$U$187</f>
        <v>0.25073982300884956</v>
      </c>
      <c r="W111" s="168" t="s">
        <v>1014</v>
      </c>
      <c r="X111" s="397">
        <v>354.17</v>
      </c>
      <c r="Y111" s="118">
        <f>MyGrid3[[#This Row],[مايو]]/$X$187</f>
        <v>0.25036936497501044</v>
      </c>
      <c r="Z111" s="166" t="s">
        <v>1014</v>
      </c>
      <c r="AA111" s="123">
        <v>354.17</v>
      </c>
      <c r="AB111" s="121">
        <f>MyGrid3[[#This Row],[يونيو]]/$AA$187</f>
        <v>1.6346056214519777</v>
      </c>
      <c r="AC111" s="168" t="s">
        <v>1014</v>
      </c>
      <c r="AD111" s="123">
        <v>312.5</v>
      </c>
      <c r="AE111" s="118">
        <f>MyGrid3[[#This Row],[يوليو]]/$AD$187</f>
        <v>0.38461538461538464</v>
      </c>
      <c r="AF111" s="119" t="s">
        <v>1014</v>
      </c>
      <c r="AG111" s="144">
        <v>312.5</v>
      </c>
      <c r="AH111" s="121">
        <f>MyGrid3[[#This Row],[أغسطس]]/$AG$187</f>
        <v>0.38461538461538464</v>
      </c>
      <c r="AI111" s="168" t="s">
        <v>1014</v>
      </c>
      <c r="AJ111" s="123">
        <v>312.5</v>
      </c>
      <c r="AK111" s="118">
        <f>MyGrid3[[#This Row],[سبتمبر]]/$AJ$187</f>
        <v>0.38461538461538464</v>
      </c>
      <c r="AL111" s="166" t="s">
        <v>1014</v>
      </c>
      <c r="AM111" s="123">
        <v>312.5</v>
      </c>
      <c r="AN111" s="121">
        <f>MyGrid3[[#This Row],[أكتوبر]]/$AM$187</f>
        <v>0.38461538461538464</v>
      </c>
      <c r="AO111" s="168" t="s">
        <v>1014</v>
      </c>
      <c r="AP111" s="123">
        <v>312.5</v>
      </c>
      <c r="AQ111" s="125">
        <f>MyGrid3[[#This Row],[نوفمبر]]/$AP$187</f>
        <v>0.38461538461538464</v>
      </c>
      <c r="AR111" s="166" t="s">
        <v>1014</v>
      </c>
      <c r="AS111" s="391">
        <v>312.5</v>
      </c>
      <c r="AT111" s="121">
        <f>MyGrid3[[#This Row],[ديسمبر]]/$AS$187</f>
        <v>0.38461538461538464</v>
      </c>
      <c r="AU111" s="126">
        <f t="shared" si="2"/>
        <v>4000.02</v>
      </c>
      <c r="AV111" s="127">
        <f>MyGrid3[[#This Row],[الإجمالي]]/$AU$187</f>
        <v>0.32905021774789284</v>
      </c>
    </row>
    <row r="112" spans="1:48" s="128" customFormat="1" ht="33" hidden="1" customHeight="1">
      <c r="A112" s="110">
        <f>SUBTOTAL(3,$B$4:B112)</f>
        <v>0</v>
      </c>
      <c r="B112" s="111">
        <v>690225</v>
      </c>
      <c r="C112" s="112" t="s">
        <v>1060</v>
      </c>
      <c r="D112" s="113" t="s">
        <v>979</v>
      </c>
      <c r="E112" s="164" t="s">
        <v>64</v>
      </c>
      <c r="F112" s="115">
        <f>RANK(G112,MyGrid3[الاساسي])</f>
        <v>161</v>
      </c>
      <c r="G112" s="116">
        <v>250</v>
      </c>
      <c r="H112" s="114" t="s">
        <v>64</v>
      </c>
      <c r="I112" s="115">
        <f>RANK(J112,MyGrid3[يناير])</f>
        <v>80</v>
      </c>
      <c r="J112" s="141">
        <v>291.67</v>
      </c>
      <c r="K112" s="118">
        <f>MyGrid3[[#This Row],[يناير]]/$J$187</f>
        <v>0.20649203539823011</v>
      </c>
      <c r="L112" s="119" t="s">
        <v>64</v>
      </c>
      <c r="M112" s="115">
        <f>RANK(N112,MyGrid3[فبراير])</f>
        <v>95</v>
      </c>
      <c r="N112" s="120">
        <v>312.5</v>
      </c>
      <c r="O112" s="121">
        <f>MyGrid3[[#This Row],[فبراير]]/$N$187</f>
        <v>0.22123893805309736</v>
      </c>
      <c r="P112" s="122" t="s">
        <v>64</v>
      </c>
      <c r="Q112" s="115">
        <f>RANK(R112,MyGrid3[مارس])</f>
        <v>107</v>
      </c>
      <c r="R112" s="123">
        <v>333.33</v>
      </c>
      <c r="S112" s="118">
        <f>MyGrid3[[#This Row],[مارس]]/$R$187</f>
        <v>0.23598584070796458</v>
      </c>
      <c r="T112" s="119" t="s">
        <v>64</v>
      </c>
      <c r="U112" s="397">
        <v>716.67</v>
      </c>
      <c r="V112" s="121">
        <f>MyGrid3[[#This Row],[أبريل]]/$U$187</f>
        <v>0.50737699115044244</v>
      </c>
      <c r="W112" s="122" t="s">
        <v>64</v>
      </c>
      <c r="X112" s="397">
        <v>716.67</v>
      </c>
      <c r="Y112" s="118">
        <f>MyGrid3[[#This Row],[مايو]]/$X$187</f>
        <v>0.50662736199181391</v>
      </c>
      <c r="Z112" s="119" t="s">
        <v>64</v>
      </c>
      <c r="AA112" s="123">
        <v>760.42</v>
      </c>
      <c r="AB112" s="121">
        <f>MyGrid3[[#This Row],[يونيو]]/$AA$187</f>
        <v>3.5095767757419116</v>
      </c>
      <c r="AC112" s="122" t="s">
        <v>64</v>
      </c>
      <c r="AD112" s="123">
        <v>687.5</v>
      </c>
      <c r="AE112" s="118">
        <f>MyGrid3[[#This Row],[يوليو]]/$AD$187</f>
        <v>0.84615384615384615</v>
      </c>
      <c r="AF112" s="139" t="s">
        <v>64</v>
      </c>
      <c r="AG112" s="144">
        <v>687.5</v>
      </c>
      <c r="AH112" s="121">
        <f>MyGrid3[[#This Row],[أغسطس]]/$AG$187</f>
        <v>0.84615384615384615</v>
      </c>
      <c r="AI112" s="122" t="s">
        <v>64</v>
      </c>
      <c r="AJ112" s="123">
        <v>687.5</v>
      </c>
      <c r="AK112" s="118">
        <f>MyGrid3[[#This Row],[سبتمبر]]/$AJ$187</f>
        <v>0.84615384615384615</v>
      </c>
      <c r="AL112" s="119" t="s">
        <v>64</v>
      </c>
      <c r="AM112" s="123">
        <v>687.5</v>
      </c>
      <c r="AN112" s="121">
        <f>MyGrid3[[#This Row],[أكتوبر]]/$AM$187</f>
        <v>0.84615384615384615</v>
      </c>
      <c r="AO112" s="122" t="s">
        <v>64</v>
      </c>
      <c r="AP112" s="123">
        <v>687.5</v>
      </c>
      <c r="AQ112" s="125">
        <f>MyGrid3[[#This Row],[نوفمبر]]/$AP$187</f>
        <v>0.84615384615384615</v>
      </c>
      <c r="AR112" s="119" t="s">
        <v>64</v>
      </c>
      <c r="AS112" s="391">
        <v>687.5</v>
      </c>
      <c r="AT112" s="121">
        <f>MyGrid3[[#This Row],[ديسمبر]]/$AS$187</f>
        <v>0.84615384615384615</v>
      </c>
      <c r="AU112" s="126">
        <f t="shared" si="2"/>
        <v>7256.26</v>
      </c>
      <c r="AV112" s="127">
        <f>MyGrid3[[#This Row],[الإجمالي]]/$AU$187</f>
        <v>0.59691549868133786</v>
      </c>
    </row>
    <row r="113" spans="1:48" s="128" customFormat="1" ht="33" hidden="1" customHeight="1">
      <c r="A113" s="110">
        <f>SUBTOTAL(3,$B$4:B113)</f>
        <v>0</v>
      </c>
      <c r="B113" s="111">
        <v>690226</v>
      </c>
      <c r="C113" s="112" t="s">
        <v>1061</v>
      </c>
      <c r="D113" s="113" t="s">
        <v>979</v>
      </c>
      <c r="E113" s="164" t="s">
        <v>1007</v>
      </c>
      <c r="F113" s="115">
        <f>RANK(G113,MyGrid3[الاساسي])</f>
        <v>107</v>
      </c>
      <c r="G113" s="116">
        <v>500</v>
      </c>
      <c r="H113" s="157" t="s">
        <v>1007</v>
      </c>
      <c r="I113" s="115">
        <f>RANK(J113,MyGrid3[يناير])</f>
        <v>63</v>
      </c>
      <c r="J113" s="141">
        <v>625</v>
      </c>
      <c r="K113" s="118">
        <f>MyGrid3[[#This Row],[يناير]]/$J$187</f>
        <v>0.44247787610619471</v>
      </c>
      <c r="L113" s="158" t="s">
        <v>1007</v>
      </c>
      <c r="M113" s="115">
        <f>RANK(N113,MyGrid3[فبراير])</f>
        <v>80</v>
      </c>
      <c r="N113" s="120">
        <v>625</v>
      </c>
      <c r="O113" s="121">
        <f>MyGrid3[[#This Row],[فبراير]]/$N$187</f>
        <v>0.44247787610619471</v>
      </c>
      <c r="P113" s="159" t="s">
        <v>1007</v>
      </c>
      <c r="Q113" s="115">
        <f>RANK(R113,MyGrid3[مارس])</f>
        <v>93</v>
      </c>
      <c r="R113" s="123">
        <v>625</v>
      </c>
      <c r="S113" s="118">
        <f>MyGrid3[[#This Row],[مارس]]/$R$187</f>
        <v>0.44247787610619471</v>
      </c>
      <c r="T113" s="158" t="s">
        <v>1007</v>
      </c>
      <c r="U113" s="397">
        <v>937.5</v>
      </c>
      <c r="V113" s="121">
        <f>MyGrid3[[#This Row],[أبريل]]/$U$187</f>
        <v>0.66371681415929207</v>
      </c>
      <c r="W113" s="159" t="s">
        <v>1007</v>
      </c>
      <c r="X113" s="397">
        <v>937.5</v>
      </c>
      <c r="Y113" s="118">
        <f>MyGrid3[[#This Row],[مايو]]/$X$187</f>
        <v>0.66273619918138826</v>
      </c>
      <c r="Z113" s="158" t="s">
        <v>1007</v>
      </c>
      <c r="AA113" s="123">
        <v>937.5</v>
      </c>
      <c r="AB113" s="121">
        <f>MyGrid3[[#This Row],[يونيو]]/$AA$187</f>
        <v>4.3268565098998479</v>
      </c>
      <c r="AC113" s="159" t="s">
        <v>1007</v>
      </c>
      <c r="AD113" s="123">
        <v>937.5</v>
      </c>
      <c r="AE113" s="118">
        <f>MyGrid3[[#This Row],[يوليو]]/$AD$187</f>
        <v>1.1538461538461537</v>
      </c>
      <c r="AF113" s="119" t="s">
        <v>1007</v>
      </c>
      <c r="AG113" s="144">
        <v>937.5</v>
      </c>
      <c r="AH113" s="121">
        <f>MyGrid3[[#This Row],[أغسطس]]/$AG$187</f>
        <v>1.1538461538461537</v>
      </c>
      <c r="AI113" s="159" t="s">
        <v>1007</v>
      </c>
      <c r="AJ113" s="123">
        <v>937.5</v>
      </c>
      <c r="AK113" s="118">
        <f>MyGrid3[[#This Row],[سبتمبر]]/$AJ$187</f>
        <v>1.1538461538461537</v>
      </c>
      <c r="AL113" s="158" t="s">
        <v>1007</v>
      </c>
      <c r="AM113" s="123">
        <v>937.5</v>
      </c>
      <c r="AN113" s="121">
        <f>MyGrid3[[#This Row],[أكتوبر]]/$AM$187</f>
        <v>1.1538461538461537</v>
      </c>
      <c r="AO113" s="159" t="s">
        <v>1007</v>
      </c>
      <c r="AP113" s="123">
        <v>937.5</v>
      </c>
      <c r="AQ113" s="125">
        <f>MyGrid3[[#This Row],[نوفمبر]]/$AP$187</f>
        <v>1.1538461538461537</v>
      </c>
      <c r="AR113" s="158" t="s">
        <v>1007</v>
      </c>
      <c r="AS113" s="391">
        <v>937.5</v>
      </c>
      <c r="AT113" s="121">
        <f>MyGrid3[[#This Row],[ديسمبر]]/$AS$187</f>
        <v>1.1538461538461537</v>
      </c>
      <c r="AU113" s="126">
        <f t="shared" si="2"/>
        <v>10312.5</v>
      </c>
      <c r="AV113" s="127">
        <f>MyGrid3[[#This Row],[الإجمالي]]/$AU$187</f>
        <v>0.8483283509895313</v>
      </c>
    </row>
    <row r="114" spans="1:48" s="128" customFormat="1" ht="33" hidden="1" customHeight="1">
      <c r="A114" s="110">
        <f>SUBTOTAL(3,$B$4:B114)</f>
        <v>0</v>
      </c>
      <c r="B114" s="111">
        <v>690227</v>
      </c>
      <c r="C114" s="112" t="s">
        <v>1062</v>
      </c>
      <c r="D114" s="113" t="s">
        <v>979</v>
      </c>
      <c r="E114" s="164" t="s">
        <v>1007</v>
      </c>
      <c r="F114" s="115">
        <f>RANK(G114,MyGrid3[الاساسي])</f>
        <v>170</v>
      </c>
      <c r="G114" s="116">
        <v>220</v>
      </c>
      <c r="H114" s="157" t="s">
        <v>1007</v>
      </c>
      <c r="I114" s="115">
        <f>RANK(J114,MyGrid3[يناير])</f>
        <v>81</v>
      </c>
      <c r="J114" s="117">
        <v>0</v>
      </c>
      <c r="K114" s="118">
        <f>MyGrid3[[#This Row],[يناير]]/$J$187</f>
        <v>0</v>
      </c>
      <c r="L114" s="158" t="s">
        <v>1007</v>
      </c>
      <c r="M114" s="115">
        <f>RANK(N114,MyGrid3[فبراير])</f>
        <v>101</v>
      </c>
      <c r="N114" s="134">
        <v>0</v>
      </c>
      <c r="O114" s="121">
        <f>MyGrid3[[#This Row],[فبراير]]/$N$187</f>
        <v>0</v>
      </c>
      <c r="P114" s="159" t="s">
        <v>1007</v>
      </c>
      <c r="Q114" s="115">
        <f>RANK(R114,MyGrid3[مارس])</f>
        <v>110</v>
      </c>
      <c r="R114" s="123">
        <v>0</v>
      </c>
      <c r="S114" s="118">
        <f>MyGrid3[[#This Row],[مارس]]/$R$187</f>
        <v>0</v>
      </c>
      <c r="T114" s="158" t="s">
        <v>1007</v>
      </c>
      <c r="U114" s="397"/>
      <c r="V114" s="121">
        <f>MyGrid3[[#This Row],[أبريل]]/$U$187</f>
        <v>0</v>
      </c>
      <c r="W114" s="159" t="s">
        <v>1007</v>
      </c>
      <c r="X114" s="397">
        <v>605</v>
      </c>
      <c r="Y114" s="118">
        <f>MyGrid3[[#This Row],[مايو]]/$X$187</f>
        <v>0.42768576053838925</v>
      </c>
      <c r="Z114" s="158" t="s">
        <v>1007</v>
      </c>
      <c r="AA114" s="123">
        <v>605</v>
      </c>
      <c r="AB114" s="121">
        <f>MyGrid3[[#This Row],[يونيو]]/$AA$187</f>
        <v>2.7922647343887017</v>
      </c>
      <c r="AC114" s="159" t="s">
        <v>1007</v>
      </c>
      <c r="AD114" s="123">
        <v>605</v>
      </c>
      <c r="AE114" s="118">
        <f>MyGrid3[[#This Row],[يوليو]]/$AD$187</f>
        <v>0.74461538461538457</v>
      </c>
      <c r="AF114" s="119" t="s">
        <v>1007</v>
      </c>
      <c r="AG114" s="124">
        <v>605</v>
      </c>
      <c r="AH114" s="121">
        <f>MyGrid3[[#This Row],[أغسطس]]/$AG$187</f>
        <v>0.74461538461538457</v>
      </c>
      <c r="AI114" s="159" t="s">
        <v>1007</v>
      </c>
      <c r="AJ114" s="123">
        <v>605</v>
      </c>
      <c r="AK114" s="118">
        <f>MyGrid3[[#This Row],[سبتمبر]]/$AJ$187</f>
        <v>0.74461538461538457</v>
      </c>
      <c r="AL114" s="158" t="s">
        <v>1007</v>
      </c>
      <c r="AM114" s="123">
        <v>605</v>
      </c>
      <c r="AN114" s="121">
        <f>MyGrid3[[#This Row],[أكتوبر]]/$AM$187</f>
        <v>0.74461538461538457</v>
      </c>
      <c r="AO114" s="159" t="s">
        <v>1007</v>
      </c>
      <c r="AP114" s="123">
        <v>605</v>
      </c>
      <c r="AQ114" s="125">
        <f>MyGrid3[[#This Row],[نوفمبر]]/$AP$187</f>
        <v>0.74461538461538457</v>
      </c>
      <c r="AR114" s="158" t="s">
        <v>1007</v>
      </c>
      <c r="AS114" s="391">
        <v>605</v>
      </c>
      <c r="AT114" s="121">
        <f>MyGrid3[[#This Row],[ديسمبر]]/$AS$187</f>
        <v>0.74461538461538457</v>
      </c>
      <c r="AU114" s="126">
        <f t="shared" si="2"/>
        <v>4840</v>
      </c>
      <c r="AV114" s="127">
        <f>MyGrid3[[#This Row],[الإجمالي]]/$AU$187</f>
        <v>0.39814877273108668</v>
      </c>
    </row>
    <row r="115" spans="1:48" s="128" customFormat="1" ht="33" hidden="1" customHeight="1">
      <c r="A115" s="110">
        <f>SUBTOTAL(3,$B$4:B115)</f>
        <v>0</v>
      </c>
      <c r="B115" s="111">
        <v>690228</v>
      </c>
      <c r="C115" s="112" t="s">
        <v>1063</v>
      </c>
      <c r="D115" s="113" t="s">
        <v>979</v>
      </c>
      <c r="E115" s="164" t="s">
        <v>64</v>
      </c>
      <c r="F115" s="115">
        <f>RANK(G115,MyGrid3[الاساسي])</f>
        <v>161</v>
      </c>
      <c r="G115" s="116">
        <v>250</v>
      </c>
      <c r="H115" s="114" t="s">
        <v>64</v>
      </c>
      <c r="I115" s="115">
        <f>RANK(J115,MyGrid3[يناير])</f>
        <v>71</v>
      </c>
      <c r="J115" s="141">
        <v>412.5</v>
      </c>
      <c r="K115" s="118">
        <f>MyGrid3[[#This Row],[يناير]]/$J$187</f>
        <v>0.29203539823008851</v>
      </c>
      <c r="L115" s="119" t="s">
        <v>64</v>
      </c>
      <c r="M115" s="115">
        <f>RANK(N115,MyGrid3[فبراير])</f>
        <v>81</v>
      </c>
      <c r="N115" s="120">
        <v>612.5</v>
      </c>
      <c r="O115" s="121">
        <f>MyGrid3[[#This Row],[فبراير]]/$N$187</f>
        <v>0.4336283185840708</v>
      </c>
      <c r="P115" s="122" t="s">
        <v>64</v>
      </c>
      <c r="Q115" s="115">
        <f>RANK(R115,MyGrid3[مارس])</f>
        <v>94</v>
      </c>
      <c r="R115" s="123">
        <v>612.5</v>
      </c>
      <c r="S115" s="118">
        <f>MyGrid3[[#This Row],[مارس]]/$R$187</f>
        <v>0.4336283185840708</v>
      </c>
      <c r="T115" s="119" t="s">
        <v>64</v>
      </c>
      <c r="U115" s="397">
        <v>612.5</v>
      </c>
      <c r="V115" s="121">
        <f>MyGrid3[[#This Row],[أبريل]]/$U$187</f>
        <v>0.4336283185840708</v>
      </c>
      <c r="W115" s="122" t="s">
        <v>64</v>
      </c>
      <c r="X115" s="397">
        <v>612.5</v>
      </c>
      <c r="Y115" s="118">
        <f>MyGrid3[[#This Row],[مايو]]/$X$187</f>
        <v>0.43298765013184037</v>
      </c>
      <c r="Z115" s="119" t="s">
        <v>64</v>
      </c>
      <c r="AA115" s="123">
        <v>612.5</v>
      </c>
      <c r="AB115" s="121">
        <f>MyGrid3[[#This Row],[يونيو]]/$AA$187</f>
        <v>2.8268795864679008</v>
      </c>
      <c r="AC115" s="122" t="s">
        <v>64</v>
      </c>
      <c r="AD115" s="123">
        <v>612.5</v>
      </c>
      <c r="AE115" s="118">
        <f>MyGrid3[[#This Row],[يوليو]]/$AD$187</f>
        <v>0.75384615384615383</v>
      </c>
      <c r="AF115" s="139" t="s">
        <v>64</v>
      </c>
      <c r="AG115" s="144">
        <v>612.5</v>
      </c>
      <c r="AH115" s="121">
        <f>MyGrid3[[#This Row],[أغسطس]]/$AG$187</f>
        <v>0.75384615384615383</v>
      </c>
      <c r="AI115" s="122" t="s">
        <v>64</v>
      </c>
      <c r="AJ115" s="123">
        <v>612.5</v>
      </c>
      <c r="AK115" s="118">
        <f>MyGrid3[[#This Row],[سبتمبر]]/$AJ$187</f>
        <v>0.75384615384615383</v>
      </c>
      <c r="AL115" s="119" t="s">
        <v>64</v>
      </c>
      <c r="AM115" s="123">
        <v>612.5</v>
      </c>
      <c r="AN115" s="121">
        <f>MyGrid3[[#This Row],[أكتوبر]]/$AM$187</f>
        <v>0.75384615384615383</v>
      </c>
      <c r="AO115" s="122" t="s">
        <v>64</v>
      </c>
      <c r="AP115" s="123">
        <v>612.5</v>
      </c>
      <c r="AQ115" s="125">
        <f>MyGrid3[[#This Row],[نوفمبر]]/$AP$187</f>
        <v>0.75384615384615383</v>
      </c>
      <c r="AR115" s="119" t="s">
        <v>64</v>
      </c>
      <c r="AS115" s="391">
        <v>612.5</v>
      </c>
      <c r="AT115" s="121">
        <f>MyGrid3[[#This Row],[ديسمبر]]/$AS$187</f>
        <v>0.75384615384615383</v>
      </c>
      <c r="AU115" s="126">
        <f t="shared" si="2"/>
        <v>7150</v>
      </c>
      <c r="AV115" s="127">
        <f>MyGrid3[[#This Row],[الإجمالي]]/$AU$187</f>
        <v>0.58817432335274167</v>
      </c>
    </row>
    <row r="116" spans="1:48" s="128" customFormat="1" ht="33" hidden="1" customHeight="1">
      <c r="A116" s="110">
        <f>SUBTOTAL(3,$B$4:B116)</f>
        <v>0</v>
      </c>
      <c r="B116" s="111">
        <v>690229</v>
      </c>
      <c r="C116" s="112" t="s">
        <v>1064</v>
      </c>
      <c r="D116" s="113" t="s">
        <v>979</v>
      </c>
      <c r="E116" s="164" t="s">
        <v>1007</v>
      </c>
      <c r="F116" s="115">
        <f>RANK(G116,MyGrid3[الاساسي])</f>
        <v>161</v>
      </c>
      <c r="G116" s="116">
        <v>250</v>
      </c>
      <c r="H116" s="157" t="s">
        <v>1007</v>
      </c>
      <c r="I116" s="115">
        <f>RANK(J116,MyGrid3[يناير])</f>
        <v>81</v>
      </c>
      <c r="J116" s="117">
        <v>0</v>
      </c>
      <c r="K116" s="118">
        <f>MyGrid3[[#This Row],[يناير]]/$J$187</f>
        <v>0</v>
      </c>
      <c r="L116" s="158" t="s">
        <v>1007</v>
      </c>
      <c r="M116" s="115">
        <f>RANK(N116,MyGrid3[فبراير])</f>
        <v>101</v>
      </c>
      <c r="N116" s="134">
        <v>0</v>
      </c>
      <c r="O116" s="121">
        <f>MyGrid3[[#This Row],[فبراير]]/$N$187</f>
        <v>0</v>
      </c>
      <c r="P116" s="159" t="s">
        <v>1007</v>
      </c>
      <c r="Q116" s="115">
        <f>RANK(R116,MyGrid3[مارس])</f>
        <v>110</v>
      </c>
      <c r="R116" s="123">
        <v>0</v>
      </c>
      <c r="S116" s="118">
        <f>MyGrid3[[#This Row],[مارس]]/$R$187</f>
        <v>0</v>
      </c>
      <c r="T116" s="158" t="s">
        <v>1007</v>
      </c>
      <c r="U116" s="397"/>
      <c r="V116" s="121">
        <f>MyGrid3[[#This Row],[أبريل]]/$U$187</f>
        <v>0</v>
      </c>
      <c r="W116" s="159" t="s">
        <v>1007</v>
      </c>
      <c r="X116" s="397"/>
      <c r="Y116" s="118">
        <f>MyGrid3[[#This Row],[مايو]]/$X$187</f>
        <v>0</v>
      </c>
      <c r="Z116" s="158" t="s">
        <v>1007</v>
      </c>
      <c r="AA116" s="123"/>
      <c r="AB116" s="121">
        <f>MyGrid3[[#This Row],[يونيو]]/$AA$187</f>
        <v>0</v>
      </c>
      <c r="AC116" s="159" t="s">
        <v>1007</v>
      </c>
      <c r="AD116" s="123"/>
      <c r="AE116" s="118">
        <f>MyGrid3[[#This Row],[يوليو]]/$AD$187</f>
        <v>0</v>
      </c>
      <c r="AF116" s="119" t="s">
        <v>1007</v>
      </c>
      <c r="AG116" s="144">
        <v>612.5</v>
      </c>
      <c r="AH116" s="121">
        <f>MyGrid3[[#This Row],[أغسطس]]/$AG$187</f>
        <v>0.75384615384615383</v>
      </c>
      <c r="AI116" s="159" t="s">
        <v>1007</v>
      </c>
      <c r="AJ116" s="123">
        <v>612.5</v>
      </c>
      <c r="AK116" s="118">
        <f>MyGrid3[[#This Row],[سبتمبر]]/$AJ$187</f>
        <v>0.75384615384615383</v>
      </c>
      <c r="AL116" s="158" t="s">
        <v>1007</v>
      </c>
      <c r="AM116" s="123">
        <v>612.5</v>
      </c>
      <c r="AN116" s="121">
        <f>MyGrid3[[#This Row],[أكتوبر]]/$AM$187</f>
        <v>0.75384615384615383</v>
      </c>
      <c r="AO116" s="159" t="s">
        <v>1007</v>
      </c>
      <c r="AP116" s="123">
        <v>612.5</v>
      </c>
      <c r="AQ116" s="125">
        <f>MyGrid3[[#This Row],[نوفمبر]]/$AP$187</f>
        <v>0.75384615384615383</v>
      </c>
      <c r="AR116" s="158" t="s">
        <v>1007</v>
      </c>
      <c r="AS116" s="391">
        <v>612.5</v>
      </c>
      <c r="AT116" s="121">
        <f>MyGrid3[[#This Row],[ديسمبر]]/$AS$187</f>
        <v>0.75384615384615383</v>
      </c>
      <c r="AU116" s="126">
        <f t="shared" si="2"/>
        <v>3062.5</v>
      </c>
      <c r="AV116" s="127">
        <f>MyGrid3[[#This Row],[الإجمالي]]/$AU$187</f>
        <v>0.25192781332416386</v>
      </c>
    </row>
    <row r="117" spans="1:48" s="128" customFormat="1" ht="33" hidden="1" customHeight="1">
      <c r="A117" s="110">
        <f>SUBTOTAL(3,$B$4:B117)</f>
        <v>0</v>
      </c>
      <c r="B117" s="111">
        <v>690230</v>
      </c>
      <c r="C117" s="112" t="s">
        <v>1065</v>
      </c>
      <c r="D117" s="113" t="s">
        <v>979</v>
      </c>
      <c r="E117" s="164" t="s">
        <v>996</v>
      </c>
      <c r="F117" s="115">
        <f>RANK(G117,MyGrid3[الاساسي])</f>
        <v>65</v>
      </c>
      <c r="G117" s="116">
        <v>900</v>
      </c>
      <c r="H117" s="154" t="s">
        <v>996</v>
      </c>
      <c r="I117" s="115">
        <f>RANK(J117,MyGrid3[يناير])</f>
        <v>28</v>
      </c>
      <c r="J117" s="141">
        <v>1275</v>
      </c>
      <c r="K117" s="118">
        <f>MyGrid3[[#This Row],[يناير]]/$J$187</f>
        <v>0.90265486725663713</v>
      </c>
      <c r="L117" s="155" t="s">
        <v>996</v>
      </c>
      <c r="M117" s="115">
        <f>RANK(N117,MyGrid3[فبراير])</f>
        <v>30</v>
      </c>
      <c r="N117" s="120">
        <v>1275</v>
      </c>
      <c r="O117" s="121">
        <f>MyGrid3[[#This Row],[فبراير]]/$N$187</f>
        <v>0.90265486725663713</v>
      </c>
      <c r="P117" s="156" t="s">
        <v>996</v>
      </c>
      <c r="Q117" s="115">
        <f>RANK(R117,MyGrid3[مارس])</f>
        <v>39</v>
      </c>
      <c r="R117" s="123">
        <v>1275</v>
      </c>
      <c r="S117" s="118">
        <f>MyGrid3[[#This Row],[مارس]]/$R$187</f>
        <v>0.90265486725663713</v>
      </c>
      <c r="T117" s="155" t="s">
        <v>996</v>
      </c>
      <c r="U117" s="397">
        <v>1275</v>
      </c>
      <c r="V117" s="121">
        <f>MyGrid3[[#This Row],[أبريل]]/$U$187</f>
        <v>0.90265486725663713</v>
      </c>
      <c r="W117" s="156" t="s">
        <v>996</v>
      </c>
      <c r="X117" s="397">
        <v>1275</v>
      </c>
      <c r="Y117" s="118">
        <f>MyGrid3[[#This Row],[مايو]]/$X$187</f>
        <v>0.90132123088668803</v>
      </c>
      <c r="Z117" s="155" t="s">
        <v>996</v>
      </c>
      <c r="AA117" s="123">
        <v>1275</v>
      </c>
      <c r="AB117" s="121">
        <f>MyGrid3[[#This Row],[يونيو]]/$AA$187</f>
        <v>5.8845248534637928</v>
      </c>
      <c r="AC117" s="156" t="s">
        <v>996</v>
      </c>
      <c r="AD117" s="123">
        <v>1125</v>
      </c>
      <c r="AE117" s="118">
        <f>MyGrid3[[#This Row],[يوليو]]/$AD$187</f>
        <v>1.3846153846153846</v>
      </c>
      <c r="AF117" s="119" t="s">
        <v>996</v>
      </c>
      <c r="AG117" s="144">
        <v>1125</v>
      </c>
      <c r="AH117" s="121">
        <f>MyGrid3[[#This Row],[أغسطس]]/$AG$187</f>
        <v>1.3846153846153846</v>
      </c>
      <c r="AI117" s="156" t="s">
        <v>996</v>
      </c>
      <c r="AJ117" s="123">
        <v>1125</v>
      </c>
      <c r="AK117" s="118">
        <f>MyGrid3[[#This Row],[سبتمبر]]/$AJ$187</f>
        <v>1.3846153846153846</v>
      </c>
      <c r="AL117" s="155" t="s">
        <v>996</v>
      </c>
      <c r="AM117" s="123">
        <v>1125</v>
      </c>
      <c r="AN117" s="121">
        <f>MyGrid3[[#This Row],[أكتوبر]]/$AM$187</f>
        <v>1.3846153846153846</v>
      </c>
      <c r="AO117" s="156" t="s">
        <v>996</v>
      </c>
      <c r="AP117" s="123">
        <v>1125</v>
      </c>
      <c r="AQ117" s="125">
        <f>MyGrid3[[#This Row],[نوفمبر]]/$AP$187</f>
        <v>1.3846153846153846</v>
      </c>
      <c r="AR117" s="155" t="s">
        <v>996</v>
      </c>
      <c r="AS117" s="391">
        <v>1125</v>
      </c>
      <c r="AT117" s="121">
        <f>MyGrid3[[#This Row],[ديسمبر]]/$AS$187</f>
        <v>1.3846153846153846</v>
      </c>
      <c r="AU117" s="126">
        <f t="shared" si="2"/>
        <v>14400</v>
      </c>
      <c r="AV117" s="127">
        <f>MyGrid3[[#This Row],[الإجمالي]]/$AU$187</f>
        <v>1.1845748610181093</v>
      </c>
    </row>
    <row r="118" spans="1:48" s="128" customFormat="1" ht="33" hidden="1" customHeight="1">
      <c r="A118" s="110">
        <f>SUBTOTAL(3,$B$4:B118)</f>
        <v>0</v>
      </c>
      <c r="B118" s="111">
        <v>690231</v>
      </c>
      <c r="C118" s="112" t="s">
        <v>1066</v>
      </c>
      <c r="D118" s="113" t="s">
        <v>979</v>
      </c>
      <c r="E118" s="164" t="s">
        <v>63</v>
      </c>
      <c r="F118" s="115">
        <f>RANK(G118,MyGrid3[الاساسي])</f>
        <v>161</v>
      </c>
      <c r="G118" s="116">
        <v>250</v>
      </c>
      <c r="H118" s="161" t="s">
        <v>63</v>
      </c>
      <c r="I118" s="115">
        <f>RANK(J118,MyGrid3[يناير])</f>
        <v>71</v>
      </c>
      <c r="J118" s="141">
        <v>412.5</v>
      </c>
      <c r="K118" s="118">
        <f>MyGrid3[[#This Row],[يناير]]/$J$187</f>
        <v>0.29203539823008851</v>
      </c>
      <c r="L118" s="162" t="s">
        <v>63</v>
      </c>
      <c r="M118" s="115">
        <f>RANK(N118,MyGrid3[فبراير])</f>
        <v>91</v>
      </c>
      <c r="N118" s="120">
        <v>412.5</v>
      </c>
      <c r="O118" s="121">
        <f>MyGrid3[[#This Row],[فبراير]]/$N$187</f>
        <v>0.29203539823008851</v>
      </c>
      <c r="P118" s="163" t="s">
        <v>63</v>
      </c>
      <c r="Q118" s="115">
        <f>RANK(R118,MyGrid3[مارس])</f>
        <v>103</v>
      </c>
      <c r="R118" s="123">
        <v>412.5</v>
      </c>
      <c r="S118" s="118">
        <f>MyGrid3[[#This Row],[مارس]]/$R$187</f>
        <v>0.29203539823008851</v>
      </c>
      <c r="T118" s="162" t="s">
        <v>63</v>
      </c>
      <c r="U118" s="397">
        <v>687.5</v>
      </c>
      <c r="V118" s="121">
        <f>MyGrid3[[#This Row],[أبريل]]/$U$187</f>
        <v>0.48672566371681414</v>
      </c>
      <c r="W118" s="163" t="s">
        <v>63</v>
      </c>
      <c r="X118" s="138">
        <v>716.67</v>
      </c>
      <c r="Y118" s="118">
        <f>MyGrid3[[#This Row],[مايو]]/$X$187</f>
        <v>0.50662736199181391</v>
      </c>
      <c r="Z118" s="162" t="s">
        <v>63</v>
      </c>
      <c r="AA118" s="123">
        <v>716.67</v>
      </c>
      <c r="AB118" s="121">
        <f>MyGrid3[[#This Row],[يونيو]]/$AA$187</f>
        <v>3.3076568052799189</v>
      </c>
      <c r="AC118" s="163" t="s">
        <v>63</v>
      </c>
      <c r="AD118" s="123">
        <v>687.5</v>
      </c>
      <c r="AE118" s="118">
        <f>MyGrid3[[#This Row],[يوليو]]/$AD$187</f>
        <v>0.84615384615384615</v>
      </c>
      <c r="AF118" s="119" t="s">
        <v>63</v>
      </c>
      <c r="AG118" s="144">
        <v>687.5</v>
      </c>
      <c r="AH118" s="121">
        <f>MyGrid3[[#This Row],[أغسطس]]/$AG$187</f>
        <v>0.84615384615384615</v>
      </c>
      <c r="AI118" s="163" t="s">
        <v>63</v>
      </c>
      <c r="AJ118" s="123">
        <v>687.5</v>
      </c>
      <c r="AK118" s="118">
        <f>MyGrid3[[#This Row],[سبتمبر]]/$AJ$187</f>
        <v>0.84615384615384615</v>
      </c>
      <c r="AL118" s="162" t="s">
        <v>63</v>
      </c>
      <c r="AM118" s="123">
        <v>687.5</v>
      </c>
      <c r="AN118" s="121">
        <f>MyGrid3[[#This Row],[أكتوبر]]/$AM$187</f>
        <v>0.84615384615384615</v>
      </c>
      <c r="AO118" s="163" t="s">
        <v>63</v>
      </c>
      <c r="AP118" s="123">
        <v>687.5</v>
      </c>
      <c r="AQ118" s="125">
        <f>MyGrid3[[#This Row],[نوفمبر]]/$AP$187</f>
        <v>0.84615384615384615</v>
      </c>
      <c r="AR118" s="162" t="s">
        <v>63</v>
      </c>
      <c r="AS118" s="391"/>
      <c r="AT118" s="121">
        <f>MyGrid3[[#This Row],[ديسمبر]]/$AS$187</f>
        <v>0</v>
      </c>
      <c r="AU118" s="126">
        <f t="shared" si="2"/>
        <v>6795.84</v>
      </c>
      <c r="AV118" s="127">
        <f>MyGrid3[[#This Row],[الإجمالي]]/$AU$187</f>
        <v>0.55904036274314628</v>
      </c>
    </row>
    <row r="119" spans="1:48" s="128" customFormat="1" ht="33" hidden="1" customHeight="1">
      <c r="A119" s="110">
        <f>SUBTOTAL(3,$B$4:B119)</f>
        <v>0</v>
      </c>
      <c r="B119" s="111">
        <v>690232</v>
      </c>
      <c r="C119" s="112" t="s">
        <v>1067</v>
      </c>
      <c r="D119" s="113" t="s">
        <v>979</v>
      </c>
      <c r="E119" s="164" t="s">
        <v>64</v>
      </c>
      <c r="F119" s="115">
        <f>RANK(G119,MyGrid3[الاساسي])</f>
        <v>6</v>
      </c>
      <c r="G119" s="130">
        <v>3000</v>
      </c>
      <c r="H119" s="114" t="s">
        <v>64</v>
      </c>
      <c r="I119" s="115">
        <f>RANK(J119,MyGrid3[يناير])</f>
        <v>2</v>
      </c>
      <c r="J119" s="141">
        <v>5000</v>
      </c>
      <c r="K119" s="118">
        <f>MyGrid3[[#This Row],[يناير]]/$J$187</f>
        <v>3.5398230088495577</v>
      </c>
      <c r="L119" s="119" t="s">
        <v>64</v>
      </c>
      <c r="M119" s="115">
        <f>RANK(N119,MyGrid3[فبراير])</f>
        <v>2</v>
      </c>
      <c r="N119" s="120">
        <v>5000</v>
      </c>
      <c r="O119" s="121">
        <f>MyGrid3[[#This Row],[فبراير]]/$N$187</f>
        <v>3.5398230088495577</v>
      </c>
      <c r="P119" s="122" t="s">
        <v>64</v>
      </c>
      <c r="Q119" s="115">
        <f>RANK(R119,MyGrid3[مارس])</f>
        <v>2</v>
      </c>
      <c r="R119" s="123">
        <v>5000</v>
      </c>
      <c r="S119" s="118">
        <f>MyGrid3[[#This Row],[مارس]]/$R$187</f>
        <v>3.5398230088495577</v>
      </c>
      <c r="T119" s="119" t="s">
        <v>64</v>
      </c>
      <c r="U119" s="397">
        <v>5000</v>
      </c>
      <c r="V119" s="121">
        <f>MyGrid3[[#This Row],[أبريل]]/$U$187</f>
        <v>3.5398230088495577</v>
      </c>
      <c r="W119" s="122" t="s">
        <v>64</v>
      </c>
      <c r="X119" s="397">
        <v>5000</v>
      </c>
      <c r="Y119" s="118">
        <f>MyGrid3[[#This Row],[مايو]]/$X$187</f>
        <v>3.5345930623007376</v>
      </c>
      <c r="Z119" s="119" t="s">
        <v>64</v>
      </c>
      <c r="AA119" s="123"/>
      <c r="AB119" s="121">
        <f>MyGrid3[[#This Row],[يونيو]]/$AA$187</f>
        <v>0</v>
      </c>
      <c r="AC119" s="122" t="s">
        <v>64</v>
      </c>
      <c r="AD119" s="123"/>
      <c r="AE119" s="118">
        <f>MyGrid3[[#This Row],[يوليو]]/$AD$187</f>
        <v>0</v>
      </c>
      <c r="AF119" s="119" t="s">
        <v>64</v>
      </c>
      <c r="AG119" s="123"/>
      <c r="AH119" s="121">
        <f>MyGrid3[[#This Row],[أغسطس]]/$AG$187</f>
        <v>0</v>
      </c>
      <c r="AI119" s="122" t="s">
        <v>64</v>
      </c>
      <c r="AJ119" s="123"/>
      <c r="AK119" s="118">
        <f>MyGrid3[[#This Row],[سبتمبر]]/$AJ$187</f>
        <v>0</v>
      </c>
      <c r="AL119" s="119" t="s">
        <v>64</v>
      </c>
      <c r="AM119" s="123">
        <v>5000</v>
      </c>
      <c r="AN119" s="121">
        <f>MyGrid3[[#This Row],[أكتوبر]]/$AM$187</f>
        <v>6.1538461538461542</v>
      </c>
      <c r="AO119" s="122" t="s">
        <v>64</v>
      </c>
      <c r="AP119" s="123">
        <v>5000</v>
      </c>
      <c r="AQ119" s="125">
        <f>MyGrid3[[#This Row],[نوفمبر]]/$AP$187</f>
        <v>6.1538461538461542</v>
      </c>
      <c r="AR119" s="119" t="s">
        <v>64</v>
      </c>
      <c r="AS119" s="391">
        <v>5000</v>
      </c>
      <c r="AT119" s="121">
        <f>MyGrid3[[#This Row],[ديسمبر]]/$AS$187</f>
        <v>6.1538461538461542</v>
      </c>
      <c r="AU119" s="126">
        <f t="shared" si="2"/>
        <v>40000</v>
      </c>
      <c r="AV119" s="127">
        <f>MyGrid3[[#This Row],[الإجمالي]]/$AU$187</f>
        <v>3.2904857250503032</v>
      </c>
    </row>
    <row r="120" spans="1:48" s="128" customFormat="1" ht="33" hidden="1" customHeight="1">
      <c r="A120" s="110">
        <f>SUBTOTAL(3,$B$4:B120)</f>
        <v>0</v>
      </c>
      <c r="B120" s="111">
        <v>690233</v>
      </c>
      <c r="C120" s="112" t="s">
        <v>1068</v>
      </c>
      <c r="D120" s="113" t="s">
        <v>979</v>
      </c>
      <c r="E120" s="164" t="s">
        <v>63</v>
      </c>
      <c r="F120" s="115">
        <f>RANK(G120,MyGrid3[الاساسي])</f>
        <v>106</v>
      </c>
      <c r="G120" s="116">
        <v>550</v>
      </c>
      <c r="H120" s="161" t="s">
        <v>63</v>
      </c>
      <c r="I120" s="115">
        <f>RANK(J120,MyGrid3[يناير])</f>
        <v>52</v>
      </c>
      <c r="J120" s="141">
        <v>687.5</v>
      </c>
      <c r="K120" s="118">
        <f>MyGrid3[[#This Row],[يناير]]/$J$187</f>
        <v>0.48672566371681414</v>
      </c>
      <c r="L120" s="162" t="s">
        <v>63</v>
      </c>
      <c r="M120" s="115">
        <f>RANK(N120,MyGrid3[فبراير])</f>
        <v>69</v>
      </c>
      <c r="N120" s="120">
        <v>687.5</v>
      </c>
      <c r="O120" s="121">
        <f>MyGrid3[[#This Row],[فبراير]]/$N$187</f>
        <v>0.48672566371681414</v>
      </c>
      <c r="P120" s="163" t="s">
        <v>63</v>
      </c>
      <c r="Q120" s="115">
        <f>RANK(R120,MyGrid3[مارس])</f>
        <v>83</v>
      </c>
      <c r="R120" s="123">
        <v>687.5</v>
      </c>
      <c r="S120" s="118">
        <f>MyGrid3[[#This Row],[مارس]]/$R$187</f>
        <v>0.48672566371681414</v>
      </c>
      <c r="T120" s="162" t="s">
        <v>63</v>
      </c>
      <c r="U120" s="397">
        <v>687.5</v>
      </c>
      <c r="V120" s="121">
        <f>MyGrid3[[#This Row],[أبريل]]/$U$187</f>
        <v>0.48672566371681414</v>
      </c>
      <c r="W120" s="163" t="s">
        <v>63</v>
      </c>
      <c r="X120" s="397">
        <v>733.33</v>
      </c>
      <c r="Y120" s="118">
        <f>MyGrid3[[#This Row],[مايو]]/$X$187</f>
        <v>0.51840462607539994</v>
      </c>
      <c r="Z120" s="162" t="s">
        <v>63</v>
      </c>
      <c r="AA120" s="123">
        <v>733.33</v>
      </c>
      <c r="AB120" s="121">
        <f>MyGrid3[[#This Row],[يونيو]]/$AA$187</f>
        <v>3.3845479300318462</v>
      </c>
      <c r="AC120" s="163" t="s">
        <v>63</v>
      </c>
      <c r="AD120" s="123">
        <v>687.5</v>
      </c>
      <c r="AE120" s="118">
        <f>MyGrid3[[#This Row],[يوليو]]/$AD$187</f>
        <v>0.84615384615384615</v>
      </c>
      <c r="AF120" s="119" t="s">
        <v>63</v>
      </c>
      <c r="AG120" s="144">
        <v>687.5</v>
      </c>
      <c r="AH120" s="121">
        <f>MyGrid3[[#This Row],[أغسطس]]/$AG$187</f>
        <v>0.84615384615384615</v>
      </c>
      <c r="AI120" s="163" t="s">
        <v>63</v>
      </c>
      <c r="AJ120" s="123">
        <v>687.5</v>
      </c>
      <c r="AK120" s="118">
        <f>MyGrid3[[#This Row],[سبتمبر]]/$AJ$187</f>
        <v>0.84615384615384615</v>
      </c>
      <c r="AL120" s="162" t="s">
        <v>63</v>
      </c>
      <c r="AM120" s="123">
        <v>687.5</v>
      </c>
      <c r="AN120" s="121">
        <f>MyGrid3[[#This Row],[أكتوبر]]/$AM$187</f>
        <v>0.84615384615384615</v>
      </c>
      <c r="AO120" s="163" t="s">
        <v>63</v>
      </c>
      <c r="AP120" s="123">
        <v>687.5</v>
      </c>
      <c r="AQ120" s="125">
        <f>MyGrid3[[#This Row],[نوفمبر]]/$AP$187</f>
        <v>0.84615384615384615</v>
      </c>
      <c r="AR120" s="162" t="s">
        <v>63</v>
      </c>
      <c r="AS120" s="391">
        <v>687.5</v>
      </c>
      <c r="AT120" s="121">
        <f>MyGrid3[[#This Row],[ديسمبر]]/$AS$187</f>
        <v>0.84615384615384615</v>
      </c>
      <c r="AU120" s="126">
        <f t="shared" si="2"/>
        <v>8341.66</v>
      </c>
      <c r="AV120" s="127">
        <f>MyGrid3[[#This Row],[الإجمالي]]/$AU$187</f>
        <v>0.68620282883057782</v>
      </c>
    </row>
    <row r="121" spans="1:48" s="128" customFormat="1" ht="33" hidden="1" customHeight="1">
      <c r="A121" s="110">
        <f>SUBTOTAL(3,$B$4:B121)</f>
        <v>0</v>
      </c>
      <c r="B121" s="111">
        <v>690234</v>
      </c>
      <c r="C121" s="112" t="s">
        <v>1069</v>
      </c>
      <c r="D121" s="113" t="s">
        <v>984</v>
      </c>
      <c r="E121" s="164" t="s">
        <v>64</v>
      </c>
      <c r="F121" s="115">
        <f>RANK(G121,MyGrid3[الاساسي])</f>
        <v>135</v>
      </c>
      <c r="G121" s="116">
        <v>350</v>
      </c>
      <c r="H121" s="131"/>
      <c r="I121" s="132">
        <f>RANK(J121,MyGrid3[يناير])</f>
        <v>81</v>
      </c>
      <c r="J121" s="117"/>
      <c r="K121" s="118">
        <f>MyGrid3[[#This Row],[يناير]]/$J$187</f>
        <v>0</v>
      </c>
      <c r="L121" s="133"/>
      <c r="M121" s="132">
        <f>RANK(N121,MyGrid3[فبراير])</f>
        <v>101</v>
      </c>
      <c r="N121" s="134"/>
      <c r="O121" s="121">
        <f>MyGrid3[[#This Row],[فبراير]]/$N$187</f>
        <v>0</v>
      </c>
      <c r="P121" s="135"/>
      <c r="Q121" s="132">
        <f>RANK(R121,MyGrid3[مارس])</f>
        <v>110</v>
      </c>
      <c r="R121" s="123"/>
      <c r="S121" s="118">
        <f>MyGrid3[[#This Row],[مارس]]/$R$187</f>
        <v>0</v>
      </c>
      <c r="T121" s="133"/>
      <c r="U121" s="397"/>
      <c r="V121" s="121">
        <f>MyGrid3[[#This Row],[أبريل]]/$U$187</f>
        <v>0</v>
      </c>
      <c r="W121" s="136"/>
      <c r="X121" s="397"/>
      <c r="Y121" s="118">
        <f>MyGrid3[[#This Row],[مايو]]/$X$187</f>
        <v>0</v>
      </c>
      <c r="Z121" s="137"/>
      <c r="AA121" s="123"/>
      <c r="AB121" s="121">
        <f>MyGrid3[[#This Row],[يونيو]]/$AA$187</f>
        <v>0</v>
      </c>
      <c r="AC121" s="122" t="s">
        <v>64</v>
      </c>
      <c r="AD121" s="123">
        <v>637.5</v>
      </c>
      <c r="AE121" s="118">
        <f>MyGrid3[[#This Row],[يوليو]]/$AD$187</f>
        <v>0.7846153846153846</v>
      </c>
      <c r="AF121" s="139" t="s">
        <v>64</v>
      </c>
      <c r="AG121" s="124">
        <v>637.5</v>
      </c>
      <c r="AH121" s="121">
        <f>MyGrid3[[#This Row],[أغسطس]]/$AG$187</f>
        <v>0.7846153846153846</v>
      </c>
      <c r="AI121" s="122" t="s">
        <v>64</v>
      </c>
      <c r="AJ121" s="123">
        <v>637.5</v>
      </c>
      <c r="AK121" s="118">
        <f>MyGrid3[[#This Row],[سبتمبر]]/$AJ$187</f>
        <v>0.7846153846153846</v>
      </c>
      <c r="AL121" s="119" t="s">
        <v>64</v>
      </c>
      <c r="AM121" s="123">
        <v>637.5</v>
      </c>
      <c r="AN121" s="121">
        <f>MyGrid3[[#This Row],[أكتوبر]]/$AM$187</f>
        <v>0.7846153846153846</v>
      </c>
      <c r="AO121" s="122" t="s">
        <v>64</v>
      </c>
      <c r="AP121" s="123"/>
      <c r="AQ121" s="125">
        <f>MyGrid3[[#This Row],[نوفمبر]]/$AP$187</f>
        <v>0</v>
      </c>
      <c r="AR121" s="119" t="s">
        <v>64</v>
      </c>
      <c r="AS121" s="391"/>
      <c r="AT121" s="121">
        <f>MyGrid3[[#This Row],[ديسمبر]]/$AS$187</f>
        <v>0</v>
      </c>
      <c r="AU121" s="126">
        <f t="shared" si="2"/>
        <v>2550</v>
      </c>
      <c r="AV121" s="127">
        <f>MyGrid3[[#This Row],[الإجمالي]]/$AU$187</f>
        <v>0.20976846497195684</v>
      </c>
    </row>
    <row r="122" spans="1:48" s="128" customFormat="1" ht="33" hidden="1" customHeight="1">
      <c r="A122" s="110">
        <f>SUBTOTAL(3,$B$4:B122)</f>
        <v>0</v>
      </c>
      <c r="B122" s="111">
        <v>690235</v>
      </c>
      <c r="C122" s="112" t="s">
        <v>1070</v>
      </c>
      <c r="D122" s="113" t="s">
        <v>984</v>
      </c>
      <c r="E122" s="164" t="s">
        <v>64</v>
      </c>
      <c r="F122" s="115">
        <f>RANK(G122,MyGrid3[الاساسي])</f>
        <v>135</v>
      </c>
      <c r="G122" s="116">
        <v>350</v>
      </c>
      <c r="H122" s="114" t="s">
        <v>64</v>
      </c>
      <c r="I122" s="115">
        <f>RANK(J122,MyGrid3[يناير])</f>
        <v>50</v>
      </c>
      <c r="J122" s="141">
        <v>725</v>
      </c>
      <c r="K122" s="118">
        <f>MyGrid3[[#This Row],[يناير]]/$J$187</f>
        <v>0.51327433628318586</v>
      </c>
      <c r="L122" s="119" t="s">
        <v>64</v>
      </c>
      <c r="M122" s="115">
        <f>RANK(N122,MyGrid3[فبراير])</f>
        <v>66</v>
      </c>
      <c r="N122" s="120">
        <v>725</v>
      </c>
      <c r="O122" s="121">
        <f>MyGrid3[[#This Row],[فبراير]]/$N$187</f>
        <v>0.51327433628318586</v>
      </c>
      <c r="P122" s="122" t="s">
        <v>64</v>
      </c>
      <c r="Q122" s="115">
        <f>RANK(R122,MyGrid3[مارس])</f>
        <v>79</v>
      </c>
      <c r="R122" s="123">
        <v>725</v>
      </c>
      <c r="S122" s="118">
        <f>MyGrid3[[#This Row],[مارس]]/$R$187</f>
        <v>0.51327433628318586</v>
      </c>
      <c r="T122" s="119" t="s">
        <v>64</v>
      </c>
      <c r="U122" s="397">
        <v>775</v>
      </c>
      <c r="V122" s="121">
        <f>MyGrid3[[#This Row],[أبريل]]/$U$187</f>
        <v>0.54867256637168138</v>
      </c>
      <c r="W122" s="122" t="s">
        <v>64</v>
      </c>
      <c r="X122" s="397">
        <v>760.42</v>
      </c>
      <c r="Y122" s="118">
        <f>MyGrid3[[#This Row],[مايو]]/$X$187</f>
        <v>0.53755505128694536</v>
      </c>
      <c r="Z122" s="119" t="s">
        <v>64</v>
      </c>
      <c r="AA122" s="123">
        <v>760.42</v>
      </c>
      <c r="AB122" s="121">
        <f>MyGrid3[[#This Row],[يونيو]]/$AA$187</f>
        <v>3.5095767757419116</v>
      </c>
      <c r="AC122" s="122" t="s">
        <v>64</v>
      </c>
      <c r="AD122" s="123">
        <v>687.5</v>
      </c>
      <c r="AE122" s="118">
        <f>MyGrid3[[#This Row],[يوليو]]/$AD$187</f>
        <v>0.84615384615384615</v>
      </c>
      <c r="AF122" s="139" t="s">
        <v>64</v>
      </c>
      <c r="AG122" s="144">
        <v>687.5</v>
      </c>
      <c r="AH122" s="121">
        <f>MyGrid3[[#This Row],[أغسطس]]/$AG$187</f>
        <v>0.84615384615384615</v>
      </c>
      <c r="AI122" s="122" t="s">
        <v>64</v>
      </c>
      <c r="AJ122" s="123">
        <v>687.5</v>
      </c>
      <c r="AK122" s="118">
        <f>MyGrid3[[#This Row],[سبتمبر]]/$AJ$187</f>
        <v>0.84615384615384615</v>
      </c>
      <c r="AL122" s="119" t="s">
        <v>64</v>
      </c>
      <c r="AM122" s="123">
        <v>687.5</v>
      </c>
      <c r="AN122" s="121">
        <f>MyGrid3[[#This Row],[أكتوبر]]/$AM$187</f>
        <v>0.84615384615384615</v>
      </c>
      <c r="AO122" s="122" t="s">
        <v>64</v>
      </c>
      <c r="AP122" s="123">
        <v>687.5</v>
      </c>
      <c r="AQ122" s="125">
        <f>MyGrid3[[#This Row],[نوفمبر]]/$AP$187</f>
        <v>0.84615384615384615</v>
      </c>
      <c r="AR122" s="119" t="s">
        <v>64</v>
      </c>
      <c r="AS122" s="391">
        <v>687.5</v>
      </c>
      <c r="AT122" s="121">
        <f>MyGrid3[[#This Row],[ديسمبر]]/$AS$187</f>
        <v>0.84615384615384615</v>
      </c>
      <c r="AU122" s="126">
        <f t="shared" si="2"/>
        <v>8595.84</v>
      </c>
      <c r="AV122" s="127">
        <f>MyGrid3[[#This Row],[الإجمالي]]/$AU$187</f>
        <v>0.70711222037040999</v>
      </c>
    </row>
    <row r="123" spans="1:48" s="128" customFormat="1" ht="33" hidden="1" customHeight="1">
      <c r="A123" s="110">
        <f>SUBTOTAL(3,$B$4:B123)</f>
        <v>0</v>
      </c>
      <c r="B123" s="111">
        <v>690236</v>
      </c>
      <c r="C123" s="112" t="s">
        <v>1071</v>
      </c>
      <c r="D123" s="113" t="s">
        <v>984</v>
      </c>
      <c r="E123" s="164" t="s">
        <v>994</v>
      </c>
      <c r="F123" s="115">
        <f>RANK(G123,MyGrid3[الاساسي])</f>
        <v>135</v>
      </c>
      <c r="G123" s="116">
        <v>350</v>
      </c>
      <c r="H123" s="151" t="s">
        <v>994</v>
      </c>
      <c r="I123" s="115">
        <f>RANK(J123,MyGrid3[يناير])</f>
        <v>50</v>
      </c>
      <c r="J123" s="141">
        <v>725</v>
      </c>
      <c r="K123" s="118">
        <f>MyGrid3[[#This Row],[يناير]]/$J$187</f>
        <v>0.51327433628318586</v>
      </c>
      <c r="L123" s="152" t="s">
        <v>994</v>
      </c>
      <c r="M123" s="115">
        <f>RANK(N123,MyGrid3[فبراير])</f>
        <v>66</v>
      </c>
      <c r="N123" s="120">
        <v>725</v>
      </c>
      <c r="O123" s="121">
        <f>MyGrid3[[#This Row],[فبراير]]/$N$187</f>
        <v>0.51327433628318586</v>
      </c>
      <c r="P123" s="153" t="s">
        <v>994</v>
      </c>
      <c r="Q123" s="115">
        <f>RANK(R123,MyGrid3[مارس])</f>
        <v>79</v>
      </c>
      <c r="R123" s="123">
        <v>725</v>
      </c>
      <c r="S123" s="118">
        <f>MyGrid3[[#This Row],[مارس]]/$R$187</f>
        <v>0.51327433628318586</v>
      </c>
      <c r="T123" s="152" t="s">
        <v>994</v>
      </c>
      <c r="U123" s="397">
        <v>725</v>
      </c>
      <c r="V123" s="121">
        <f>MyGrid3[[#This Row],[أبريل]]/$U$187</f>
        <v>0.51327433628318586</v>
      </c>
      <c r="W123" s="153" t="s">
        <v>994</v>
      </c>
      <c r="X123" s="138">
        <v>710.42</v>
      </c>
      <c r="Y123" s="118">
        <f>MyGrid3[[#This Row],[مايو]]/$X$187</f>
        <v>0.50220912066393797</v>
      </c>
      <c r="Z123" s="152" t="s">
        <v>994</v>
      </c>
      <c r="AA123" s="123">
        <v>710.42</v>
      </c>
      <c r="AB123" s="121">
        <f>MyGrid3[[#This Row],[يونيو]]/$AA$187</f>
        <v>3.27881109521392</v>
      </c>
      <c r="AC123" s="153" t="s">
        <v>994</v>
      </c>
      <c r="AD123" s="123">
        <v>637.5</v>
      </c>
      <c r="AE123" s="118">
        <f>MyGrid3[[#This Row],[يوليو]]/$AD$187</f>
        <v>0.7846153846153846</v>
      </c>
      <c r="AF123" s="119" t="s">
        <v>994</v>
      </c>
      <c r="AG123" s="144">
        <v>637.5</v>
      </c>
      <c r="AH123" s="121">
        <f>MyGrid3[[#This Row],[أغسطس]]/$AG$187</f>
        <v>0.7846153846153846</v>
      </c>
      <c r="AI123" s="153" t="s">
        <v>994</v>
      </c>
      <c r="AJ123" s="123">
        <v>637.5</v>
      </c>
      <c r="AK123" s="118">
        <f>MyGrid3[[#This Row],[سبتمبر]]/$AJ$187</f>
        <v>0.7846153846153846</v>
      </c>
      <c r="AL123" s="152" t="s">
        <v>994</v>
      </c>
      <c r="AM123" s="123">
        <v>637.5</v>
      </c>
      <c r="AN123" s="121">
        <f>MyGrid3[[#This Row],[أكتوبر]]/$AM$187</f>
        <v>0.7846153846153846</v>
      </c>
      <c r="AO123" s="153" t="s">
        <v>994</v>
      </c>
      <c r="AP123" s="123">
        <v>633.12</v>
      </c>
      <c r="AQ123" s="125">
        <f>MyGrid3[[#This Row],[نوفمبر]]/$AP$187</f>
        <v>0.7792246153846154</v>
      </c>
      <c r="AR123" s="152" t="s">
        <v>994</v>
      </c>
      <c r="AS123" s="391">
        <v>637.5</v>
      </c>
      <c r="AT123" s="121">
        <f>MyGrid3[[#This Row],[ديسمبر]]/$AS$187</f>
        <v>0.7846153846153846</v>
      </c>
      <c r="AU123" s="126">
        <f t="shared" si="2"/>
        <v>8141.46</v>
      </c>
      <c r="AV123" s="127">
        <f>MyGrid3[[#This Row],[الإجمالي]]/$AU$187</f>
        <v>0.66973394777670103</v>
      </c>
    </row>
    <row r="124" spans="1:48" s="128" customFormat="1" ht="33" hidden="1" customHeight="1">
      <c r="A124" s="110">
        <f>SUBTOTAL(3,$B$4:B124)</f>
        <v>0</v>
      </c>
      <c r="B124" s="111">
        <v>690237</v>
      </c>
      <c r="C124" s="112" t="s">
        <v>1072</v>
      </c>
      <c r="D124" s="113" t="s">
        <v>984</v>
      </c>
      <c r="E124" s="164" t="s">
        <v>64</v>
      </c>
      <c r="F124" s="115">
        <f>RANK(G124,MyGrid3[الاساسي])</f>
        <v>134</v>
      </c>
      <c r="G124" s="116">
        <v>400</v>
      </c>
      <c r="H124" s="114" t="s">
        <v>64</v>
      </c>
      <c r="I124" s="115">
        <f>RANK(J124,MyGrid3[يناير])</f>
        <v>81</v>
      </c>
      <c r="J124" s="117">
        <v>0</v>
      </c>
      <c r="K124" s="118">
        <f>MyGrid3[[#This Row],[يناير]]/$J$187</f>
        <v>0</v>
      </c>
      <c r="L124" s="119" t="s">
        <v>64</v>
      </c>
      <c r="M124" s="115">
        <f>RANK(N124,MyGrid3[فبراير])</f>
        <v>68</v>
      </c>
      <c r="N124" s="120">
        <v>700</v>
      </c>
      <c r="O124" s="121">
        <f>MyGrid3[[#This Row],[فبراير]]/$N$187</f>
        <v>0.49557522123893805</v>
      </c>
      <c r="P124" s="122" t="s">
        <v>64</v>
      </c>
      <c r="Q124" s="115">
        <f>RANK(R124,MyGrid3[مارس])</f>
        <v>81</v>
      </c>
      <c r="R124" s="123">
        <v>700</v>
      </c>
      <c r="S124" s="118">
        <f>MyGrid3[[#This Row],[مارس]]/$R$187</f>
        <v>0.49557522123893805</v>
      </c>
      <c r="T124" s="119" t="s">
        <v>64</v>
      </c>
      <c r="U124" s="397">
        <v>700</v>
      </c>
      <c r="V124" s="121">
        <f>MyGrid3[[#This Row],[أبريل]]/$U$187</f>
        <v>0.49557522123893805</v>
      </c>
      <c r="W124" s="122" t="s">
        <v>64</v>
      </c>
      <c r="X124" s="138">
        <v>733.33</v>
      </c>
      <c r="Y124" s="118">
        <f>MyGrid3[[#This Row],[مايو]]/$X$187</f>
        <v>0.51840462607539994</v>
      </c>
      <c r="Z124" s="119" t="s">
        <v>64</v>
      </c>
      <c r="AA124" s="123">
        <v>733.33</v>
      </c>
      <c r="AB124" s="121">
        <f>MyGrid3[[#This Row],[يونيو]]/$AA$187</f>
        <v>3.3845479300318462</v>
      </c>
      <c r="AC124" s="122" t="s">
        <v>64</v>
      </c>
      <c r="AD124" s="123">
        <v>700</v>
      </c>
      <c r="AE124" s="118">
        <f>MyGrid3[[#This Row],[يوليو]]/$AD$187</f>
        <v>0.86153846153846159</v>
      </c>
      <c r="AF124" s="139" t="s">
        <v>64</v>
      </c>
      <c r="AG124" s="124">
        <v>700</v>
      </c>
      <c r="AH124" s="121">
        <f>MyGrid3[[#This Row],[أغسطس]]/$AG$187</f>
        <v>0.86153846153846159</v>
      </c>
      <c r="AI124" s="122" t="s">
        <v>64</v>
      </c>
      <c r="AJ124" s="123">
        <v>700</v>
      </c>
      <c r="AK124" s="118">
        <f>MyGrid3[[#This Row],[سبتمبر]]/$AJ$187</f>
        <v>0.86153846153846159</v>
      </c>
      <c r="AL124" s="119" t="s">
        <v>64</v>
      </c>
      <c r="AM124" s="123">
        <v>700</v>
      </c>
      <c r="AN124" s="121">
        <f>MyGrid3[[#This Row],[أكتوبر]]/$AM$187</f>
        <v>0.86153846153846159</v>
      </c>
      <c r="AO124" s="122" t="s">
        <v>64</v>
      </c>
      <c r="AP124" s="123">
        <v>700</v>
      </c>
      <c r="AQ124" s="125">
        <f>MyGrid3[[#This Row],[نوفمبر]]/$AP$187</f>
        <v>0.86153846153846159</v>
      </c>
      <c r="AR124" s="119" t="s">
        <v>64</v>
      </c>
      <c r="AS124" s="391">
        <v>700</v>
      </c>
      <c r="AT124" s="121">
        <f>MyGrid3[[#This Row],[ديسمبر]]/$AS$187</f>
        <v>0.86153846153846159</v>
      </c>
      <c r="AU124" s="126">
        <f t="shared" si="2"/>
        <v>7766.66</v>
      </c>
      <c r="AV124" s="127">
        <f>MyGrid3[[#This Row],[الإجمالي]]/$AU$187</f>
        <v>0.63890209653297969</v>
      </c>
    </row>
    <row r="125" spans="1:48" s="128" customFormat="1" ht="33" hidden="1" customHeight="1">
      <c r="A125" s="110">
        <f>SUBTOTAL(3,$B$4:B125)</f>
        <v>0</v>
      </c>
      <c r="B125" s="111">
        <v>690238</v>
      </c>
      <c r="C125" s="112" t="s">
        <v>1073</v>
      </c>
      <c r="D125" s="113" t="s">
        <v>984</v>
      </c>
      <c r="E125" s="164" t="s">
        <v>63</v>
      </c>
      <c r="F125" s="115">
        <f>RANK(G125,MyGrid3[الاساسي])</f>
        <v>107</v>
      </c>
      <c r="G125" s="116">
        <v>500</v>
      </c>
      <c r="H125" s="161" t="s">
        <v>63</v>
      </c>
      <c r="I125" s="115">
        <f>RANK(J125,MyGrid3[يناير])</f>
        <v>81</v>
      </c>
      <c r="J125" s="117">
        <v>0</v>
      </c>
      <c r="K125" s="118">
        <f>MyGrid3[[#This Row],[يناير]]/$J$187</f>
        <v>0</v>
      </c>
      <c r="L125" s="162" t="s">
        <v>63</v>
      </c>
      <c r="M125" s="115">
        <f>RANK(N125,MyGrid3[فبراير])</f>
        <v>96</v>
      </c>
      <c r="N125" s="120">
        <v>93.34</v>
      </c>
      <c r="O125" s="121">
        <f>MyGrid3[[#This Row],[فبراير]]/$N$187</f>
        <v>6.6081415929203538E-2</v>
      </c>
      <c r="P125" s="163" t="s">
        <v>63</v>
      </c>
      <c r="Q125" s="115">
        <f>RANK(R125,MyGrid3[مارس])</f>
        <v>64</v>
      </c>
      <c r="R125" s="123">
        <v>825</v>
      </c>
      <c r="S125" s="118">
        <f>MyGrid3[[#This Row],[مارس]]/$R$187</f>
        <v>0.58407079646017701</v>
      </c>
      <c r="T125" s="162" t="s">
        <v>63</v>
      </c>
      <c r="U125" s="397">
        <v>825</v>
      </c>
      <c r="V125" s="121">
        <f>MyGrid3[[#This Row],[أبريل]]/$U$187</f>
        <v>0.58407079646017701</v>
      </c>
      <c r="W125" s="163" t="s">
        <v>63</v>
      </c>
      <c r="X125" s="138">
        <v>866.67</v>
      </c>
      <c r="Y125" s="118">
        <f>MyGrid3[[#This Row],[مايو]]/$X$187</f>
        <v>0.61266515386083598</v>
      </c>
      <c r="Z125" s="162" t="s">
        <v>63</v>
      </c>
      <c r="AA125" s="123">
        <v>866.67</v>
      </c>
      <c r="AB125" s="121">
        <f>MyGrid3[[#This Row],[يونيو]]/$AA$187</f>
        <v>3.9999538468638947</v>
      </c>
      <c r="AC125" s="163" t="s">
        <v>63</v>
      </c>
      <c r="AD125" s="123">
        <v>825</v>
      </c>
      <c r="AE125" s="118">
        <f>MyGrid3[[#This Row],[يوليو]]/$AD$187</f>
        <v>1.0153846153846153</v>
      </c>
      <c r="AF125" s="119" t="s">
        <v>63</v>
      </c>
      <c r="AG125" s="124">
        <v>825</v>
      </c>
      <c r="AH125" s="121">
        <f>MyGrid3[[#This Row],[أغسطس]]/$AG$187</f>
        <v>1.0153846153846153</v>
      </c>
      <c r="AI125" s="163" t="s">
        <v>63</v>
      </c>
      <c r="AJ125" s="123">
        <v>825</v>
      </c>
      <c r="AK125" s="118">
        <f>MyGrid3[[#This Row],[سبتمبر]]/$AJ$187</f>
        <v>1.0153846153846153</v>
      </c>
      <c r="AL125" s="162" t="s">
        <v>63</v>
      </c>
      <c r="AM125" s="123">
        <v>825</v>
      </c>
      <c r="AN125" s="121">
        <f>MyGrid3[[#This Row],[أكتوبر]]/$AM$187</f>
        <v>1.0153846153846153</v>
      </c>
      <c r="AO125" s="163" t="s">
        <v>63</v>
      </c>
      <c r="AP125" s="123">
        <v>825</v>
      </c>
      <c r="AQ125" s="125">
        <f>MyGrid3[[#This Row],[نوفمبر]]/$AP$187</f>
        <v>1.0153846153846153</v>
      </c>
      <c r="AR125" s="162" t="s">
        <v>63</v>
      </c>
      <c r="AS125" s="391">
        <v>825</v>
      </c>
      <c r="AT125" s="121">
        <f>MyGrid3[[#This Row],[ديسمبر]]/$AS$187</f>
        <v>1.0153846153846153</v>
      </c>
      <c r="AU125" s="126">
        <f t="shared" si="2"/>
        <v>8426.68</v>
      </c>
      <c r="AV125" s="127">
        <f>MyGrid3[[#This Row],[الإجمالي]]/$AU$187</f>
        <v>0.69319675623917221</v>
      </c>
    </row>
    <row r="126" spans="1:48" s="128" customFormat="1" ht="33" hidden="1" customHeight="1">
      <c r="A126" s="110">
        <f>SUBTOTAL(3,$B$4:B126)</f>
        <v>0</v>
      </c>
      <c r="B126" s="111">
        <v>690239</v>
      </c>
      <c r="C126" s="112" t="s">
        <v>1074</v>
      </c>
      <c r="D126" s="113" t="s">
        <v>984</v>
      </c>
      <c r="E126" s="164" t="s">
        <v>64</v>
      </c>
      <c r="F126" s="115">
        <f>RANK(G126,MyGrid3[الاساسي])</f>
        <v>107</v>
      </c>
      <c r="G126" s="116">
        <v>500</v>
      </c>
      <c r="H126" s="114" t="s">
        <v>64</v>
      </c>
      <c r="I126" s="115">
        <f>RANK(J126,MyGrid3[يناير])</f>
        <v>77</v>
      </c>
      <c r="J126" s="141">
        <v>326.66000000000003</v>
      </c>
      <c r="K126" s="118">
        <f>MyGrid3[[#This Row],[يناير]]/$J$187</f>
        <v>0.2312637168141593</v>
      </c>
      <c r="L126" s="119" t="s">
        <v>64</v>
      </c>
      <c r="M126" s="115">
        <f>RANK(N126,MyGrid3[فبراير])</f>
        <v>49</v>
      </c>
      <c r="N126" s="120">
        <v>825</v>
      </c>
      <c r="O126" s="121">
        <f>MyGrid3[[#This Row],[فبراير]]/$N$187</f>
        <v>0.58407079646017701</v>
      </c>
      <c r="P126" s="122" t="s">
        <v>64</v>
      </c>
      <c r="Q126" s="115">
        <f>RANK(R126,MyGrid3[مارس])</f>
        <v>64</v>
      </c>
      <c r="R126" s="123">
        <v>825</v>
      </c>
      <c r="S126" s="118">
        <f>MyGrid3[[#This Row],[مارس]]/$R$187</f>
        <v>0.58407079646017701</v>
      </c>
      <c r="T126" s="119" t="s">
        <v>64</v>
      </c>
      <c r="U126" s="397">
        <v>825</v>
      </c>
      <c r="V126" s="121">
        <f>MyGrid3[[#This Row],[أبريل]]/$U$187</f>
        <v>0.58407079646017701</v>
      </c>
      <c r="W126" s="122" t="s">
        <v>64</v>
      </c>
      <c r="X126" s="138">
        <v>866.67</v>
      </c>
      <c r="Y126" s="118">
        <f>MyGrid3[[#This Row],[مايو]]/$X$187</f>
        <v>0.61266515386083598</v>
      </c>
      <c r="Z126" s="119" t="s">
        <v>64</v>
      </c>
      <c r="AA126" s="123">
        <v>866.67</v>
      </c>
      <c r="AB126" s="121">
        <f>MyGrid3[[#This Row],[يونيو]]/$AA$187</f>
        <v>3.9999538468638947</v>
      </c>
      <c r="AC126" s="122" t="s">
        <v>64</v>
      </c>
      <c r="AD126" s="123">
        <v>825</v>
      </c>
      <c r="AE126" s="118">
        <f>MyGrid3[[#This Row],[يوليو]]/$AD$187</f>
        <v>1.0153846153846153</v>
      </c>
      <c r="AF126" s="139" t="s">
        <v>64</v>
      </c>
      <c r="AG126" s="124">
        <v>825</v>
      </c>
      <c r="AH126" s="121">
        <f>MyGrid3[[#This Row],[أغسطس]]/$AG$187</f>
        <v>1.0153846153846153</v>
      </c>
      <c r="AI126" s="122" t="s">
        <v>64</v>
      </c>
      <c r="AJ126" s="123">
        <v>825</v>
      </c>
      <c r="AK126" s="118">
        <f>MyGrid3[[#This Row],[سبتمبر]]/$AJ$187</f>
        <v>1.0153846153846153</v>
      </c>
      <c r="AL126" s="119" t="s">
        <v>64</v>
      </c>
      <c r="AM126" s="123">
        <v>825</v>
      </c>
      <c r="AN126" s="121">
        <f>MyGrid3[[#This Row],[أكتوبر]]/$AM$187</f>
        <v>1.0153846153846153</v>
      </c>
      <c r="AO126" s="122" t="s">
        <v>64</v>
      </c>
      <c r="AP126" s="123">
        <v>825</v>
      </c>
      <c r="AQ126" s="125">
        <f>MyGrid3[[#This Row],[نوفمبر]]/$AP$187</f>
        <v>1.0153846153846153</v>
      </c>
      <c r="AR126" s="119" t="s">
        <v>64</v>
      </c>
      <c r="AS126" s="391">
        <v>825</v>
      </c>
      <c r="AT126" s="121">
        <f>MyGrid3[[#This Row],[ديسمبر]]/$AS$187</f>
        <v>1.0153846153846153</v>
      </c>
      <c r="AU126" s="126">
        <f t="shared" si="2"/>
        <v>9485</v>
      </c>
      <c r="AV126" s="127">
        <f>MyGrid3[[#This Row],[الإجمالي]]/$AU$187</f>
        <v>0.7802564275525532</v>
      </c>
    </row>
    <row r="127" spans="1:48" s="128" customFormat="1" ht="33" hidden="1" customHeight="1">
      <c r="A127" s="110">
        <f>SUBTOTAL(3,$B$4:B127)</f>
        <v>0</v>
      </c>
      <c r="B127" s="111">
        <v>690240</v>
      </c>
      <c r="C127" s="112" t="s">
        <v>1075</v>
      </c>
      <c r="D127" s="113" t="s">
        <v>984</v>
      </c>
      <c r="E127" s="164" t="s">
        <v>1014</v>
      </c>
      <c r="F127" s="115">
        <f>RANK(G127,MyGrid3[الاساسي])</f>
        <v>107</v>
      </c>
      <c r="G127" s="116">
        <v>500</v>
      </c>
      <c r="H127" s="165" t="s">
        <v>1014</v>
      </c>
      <c r="I127" s="115">
        <f>RANK(J127,MyGrid3[يناير])</f>
        <v>81</v>
      </c>
      <c r="J127" s="117">
        <v>0</v>
      </c>
      <c r="K127" s="118">
        <f>MyGrid3[[#This Row],[يناير]]/$J$187</f>
        <v>0</v>
      </c>
      <c r="L127" s="166" t="s">
        <v>1014</v>
      </c>
      <c r="M127" s="115">
        <f>RANK(N127,MyGrid3[فبراير])</f>
        <v>49</v>
      </c>
      <c r="N127" s="120">
        <v>825</v>
      </c>
      <c r="O127" s="121">
        <f>MyGrid3[[#This Row],[فبراير]]/$N$187</f>
        <v>0.58407079646017701</v>
      </c>
      <c r="P127" s="168" t="s">
        <v>1014</v>
      </c>
      <c r="Q127" s="115">
        <f>RANK(R127,MyGrid3[مارس])</f>
        <v>64</v>
      </c>
      <c r="R127" s="123">
        <v>825</v>
      </c>
      <c r="S127" s="118">
        <f>MyGrid3[[#This Row],[مارس]]/$R$187</f>
        <v>0.58407079646017701</v>
      </c>
      <c r="T127" s="166" t="s">
        <v>1014</v>
      </c>
      <c r="U127" s="397">
        <v>825</v>
      </c>
      <c r="V127" s="121">
        <f>MyGrid3[[#This Row],[أبريل]]/$U$187</f>
        <v>0.58407079646017701</v>
      </c>
      <c r="W127" s="168" t="s">
        <v>1014</v>
      </c>
      <c r="X127" s="397">
        <v>866.67</v>
      </c>
      <c r="Y127" s="118">
        <f>MyGrid3[[#This Row],[مايو]]/$X$187</f>
        <v>0.61266515386083598</v>
      </c>
      <c r="Z127" s="166" t="s">
        <v>1014</v>
      </c>
      <c r="AA127" s="123">
        <v>866.67</v>
      </c>
      <c r="AB127" s="121">
        <f>MyGrid3[[#This Row],[يونيو]]/$AA$187</f>
        <v>3.9999538468638947</v>
      </c>
      <c r="AC127" s="168" t="s">
        <v>1014</v>
      </c>
      <c r="AD127" s="123">
        <v>825</v>
      </c>
      <c r="AE127" s="118">
        <f>MyGrid3[[#This Row],[يوليو]]/$AD$187</f>
        <v>1.0153846153846153</v>
      </c>
      <c r="AF127" s="119" t="s">
        <v>1014</v>
      </c>
      <c r="AG127" s="124">
        <v>825</v>
      </c>
      <c r="AH127" s="121">
        <f>MyGrid3[[#This Row],[أغسطس]]/$AG$187</f>
        <v>1.0153846153846153</v>
      </c>
      <c r="AI127" s="168" t="s">
        <v>1014</v>
      </c>
      <c r="AJ127" s="123">
        <v>825</v>
      </c>
      <c r="AK127" s="118">
        <f>MyGrid3[[#This Row],[سبتمبر]]/$AJ$187</f>
        <v>1.0153846153846153</v>
      </c>
      <c r="AL127" s="166" t="s">
        <v>1014</v>
      </c>
      <c r="AM127" s="123">
        <v>825</v>
      </c>
      <c r="AN127" s="121">
        <f>MyGrid3[[#This Row],[أكتوبر]]/$AM$187</f>
        <v>1.0153846153846153</v>
      </c>
      <c r="AO127" s="168" t="s">
        <v>1014</v>
      </c>
      <c r="AP127" s="123">
        <v>825</v>
      </c>
      <c r="AQ127" s="125">
        <f>MyGrid3[[#This Row],[نوفمبر]]/$AP$187</f>
        <v>1.0153846153846153</v>
      </c>
      <c r="AR127" s="166" t="s">
        <v>1014</v>
      </c>
      <c r="AS127" s="391">
        <v>825</v>
      </c>
      <c r="AT127" s="121">
        <f>MyGrid3[[#This Row],[ديسمبر]]/$AS$187</f>
        <v>1.0153846153846153</v>
      </c>
      <c r="AU127" s="126">
        <f t="shared" si="2"/>
        <v>9158.34</v>
      </c>
      <c r="AV127" s="127">
        <f>MyGrid3[[#This Row],[الإجمالي]]/$AU$187</f>
        <v>0.75338467587892988</v>
      </c>
    </row>
    <row r="128" spans="1:48" s="128" customFormat="1" ht="33" hidden="1" customHeight="1">
      <c r="A128" s="110">
        <f>SUBTOTAL(3,$B$4:B128)</f>
        <v>0</v>
      </c>
      <c r="B128" s="111">
        <v>690241</v>
      </c>
      <c r="C128" s="112" t="s">
        <v>1076</v>
      </c>
      <c r="D128" s="113" t="s">
        <v>984</v>
      </c>
      <c r="E128" s="160" t="s">
        <v>994</v>
      </c>
      <c r="F128" s="115">
        <f>RANK(G128,MyGrid3[الاساسي])</f>
        <v>107</v>
      </c>
      <c r="G128" s="116">
        <v>500</v>
      </c>
      <c r="H128" s="151" t="s">
        <v>994</v>
      </c>
      <c r="I128" s="115">
        <f>RANK(J128,MyGrid3[يناير])</f>
        <v>81</v>
      </c>
      <c r="J128" s="117">
        <v>0</v>
      </c>
      <c r="K128" s="118">
        <f>MyGrid3[[#This Row],[يناير]]/$J$187</f>
        <v>0</v>
      </c>
      <c r="L128" s="152" t="s">
        <v>994</v>
      </c>
      <c r="M128" s="115">
        <f>RANK(N128,MyGrid3[فبراير])</f>
        <v>49</v>
      </c>
      <c r="N128" s="120">
        <v>825</v>
      </c>
      <c r="O128" s="121">
        <f>MyGrid3[[#This Row],[فبراير]]/$N$187</f>
        <v>0.58407079646017701</v>
      </c>
      <c r="P128" s="153" t="s">
        <v>994</v>
      </c>
      <c r="Q128" s="115">
        <f>RANK(R128,MyGrid3[مارس])</f>
        <v>64</v>
      </c>
      <c r="R128" s="123">
        <v>825</v>
      </c>
      <c r="S128" s="118">
        <f>MyGrid3[[#This Row],[مارس]]/$R$187</f>
        <v>0.58407079646017701</v>
      </c>
      <c r="T128" s="152" t="s">
        <v>994</v>
      </c>
      <c r="U128" s="397">
        <v>825</v>
      </c>
      <c r="V128" s="121">
        <f>MyGrid3[[#This Row],[أبريل]]/$U$187</f>
        <v>0.58407079646017701</v>
      </c>
      <c r="W128" s="153" t="s">
        <v>994</v>
      </c>
      <c r="X128" s="397">
        <v>866.67</v>
      </c>
      <c r="Y128" s="118">
        <f>MyGrid3[[#This Row],[مايو]]/$X$187</f>
        <v>0.61266515386083598</v>
      </c>
      <c r="Z128" s="152" t="s">
        <v>994</v>
      </c>
      <c r="AA128" s="123">
        <v>866.67</v>
      </c>
      <c r="AB128" s="121">
        <f>MyGrid3[[#This Row],[يونيو]]/$AA$187</f>
        <v>3.9999538468638947</v>
      </c>
      <c r="AC128" s="153" t="s">
        <v>994</v>
      </c>
      <c r="AD128" s="123">
        <v>825</v>
      </c>
      <c r="AE128" s="118">
        <f>MyGrid3[[#This Row],[يوليو]]/$AD$187</f>
        <v>1.0153846153846153</v>
      </c>
      <c r="AF128" s="119" t="s">
        <v>994</v>
      </c>
      <c r="AG128" s="124">
        <v>825</v>
      </c>
      <c r="AH128" s="121">
        <f>MyGrid3[[#This Row],[أغسطس]]/$AG$187</f>
        <v>1.0153846153846153</v>
      </c>
      <c r="AI128" s="153" t="s">
        <v>994</v>
      </c>
      <c r="AJ128" s="123">
        <v>825</v>
      </c>
      <c r="AK128" s="118">
        <f>MyGrid3[[#This Row],[سبتمبر]]/$AJ$187</f>
        <v>1.0153846153846153</v>
      </c>
      <c r="AL128" s="152" t="s">
        <v>994</v>
      </c>
      <c r="AM128" s="123">
        <v>825</v>
      </c>
      <c r="AN128" s="121">
        <f>MyGrid3[[#This Row],[أكتوبر]]/$AM$187</f>
        <v>1.0153846153846153</v>
      </c>
      <c r="AO128" s="153" t="s">
        <v>994</v>
      </c>
      <c r="AP128" s="123">
        <v>825</v>
      </c>
      <c r="AQ128" s="125">
        <f>MyGrid3[[#This Row],[نوفمبر]]/$AP$187</f>
        <v>1.0153846153846153</v>
      </c>
      <c r="AR128" s="152" t="s">
        <v>994</v>
      </c>
      <c r="AS128" s="391">
        <v>825</v>
      </c>
      <c r="AT128" s="121">
        <f>MyGrid3[[#This Row],[ديسمبر]]/$AS$187</f>
        <v>1.0153846153846153</v>
      </c>
      <c r="AU128" s="126">
        <f t="shared" si="2"/>
        <v>9158.34</v>
      </c>
      <c r="AV128" s="127">
        <f>MyGrid3[[#This Row],[الإجمالي]]/$AU$187</f>
        <v>0.75338467587892988</v>
      </c>
    </row>
    <row r="129" spans="1:48" s="128" customFormat="1" ht="33" hidden="1" customHeight="1">
      <c r="A129" s="110">
        <f>SUBTOTAL(3,$B$4:B129)</f>
        <v>0</v>
      </c>
      <c r="B129" s="111">
        <v>690242</v>
      </c>
      <c r="C129" s="112" t="s">
        <v>1077</v>
      </c>
      <c r="D129" s="113" t="s">
        <v>984</v>
      </c>
      <c r="E129" s="160" t="s">
        <v>996</v>
      </c>
      <c r="F129" s="115">
        <f>RANK(G129,MyGrid3[الاساسي])</f>
        <v>107</v>
      </c>
      <c r="G129" s="116">
        <v>500</v>
      </c>
      <c r="H129" s="154" t="s">
        <v>996</v>
      </c>
      <c r="I129" s="115">
        <f>RANK(J129,MyGrid3[يناير])</f>
        <v>45</v>
      </c>
      <c r="J129" s="141">
        <v>825</v>
      </c>
      <c r="K129" s="118">
        <f>MyGrid3[[#This Row],[يناير]]/$J$187</f>
        <v>0.58407079646017701</v>
      </c>
      <c r="L129" s="155" t="s">
        <v>996</v>
      </c>
      <c r="M129" s="115">
        <f>RANK(N129,MyGrid3[فبراير])</f>
        <v>49</v>
      </c>
      <c r="N129" s="120">
        <v>825</v>
      </c>
      <c r="O129" s="121">
        <f>MyGrid3[[#This Row],[فبراير]]/$N$187</f>
        <v>0.58407079646017701</v>
      </c>
      <c r="P129" s="156" t="s">
        <v>996</v>
      </c>
      <c r="Q129" s="115">
        <f>RANK(R129,MyGrid3[مارس])</f>
        <v>64</v>
      </c>
      <c r="R129" s="123">
        <v>825</v>
      </c>
      <c r="S129" s="118">
        <f>MyGrid3[[#This Row],[مارس]]/$R$187</f>
        <v>0.58407079646017701</v>
      </c>
      <c r="T129" s="155" t="s">
        <v>996</v>
      </c>
      <c r="U129" s="397">
        <v>825</v>
      </c>
      <c r="V129" s="121">
        <f>MyGrid3[[#This Row],[أبريل]]/$U$187</f>
        <v>0.58407079646017701</v>
      </c>
      <c r="W129" s="156" t="s">
        <v>996</v>
      </c>
      <c r="X129" s="397">
        <v>866.67</v>
      </c>
      <c r="Y129" s="118">
        <f>MyGrid3[[#This Row],[مايو]]/$X$187</f>
        <v>0.61266515386083598</v>
      </c>
      <c r="Z129" s="155" t="s">
        <v>996</v>
      </c>
      <c r="AA129" s="123">
        <v>866.67</v>
      </c>
      <c r="AB129" s="121">
        <f>MyGrid3[[#This Row],[يونيو]]/$AA$187</f>
        <v>3.9999538468638947</v>
      </c>
      <c r="AC129" s="156" t="s">
        <v>996</v>
      </c>
      <c r="AD129" s="123">
        <v>825</v>
      </c>
      <c r="AE129" s="118">
        <f>MyGrid3[[#This Row],[يوليو]]/$AD$187</f>
        <v>1.0153846153846153</v>
      </c>
      <c r="AF129" s="119" t="s">
        <v>996</v>
      </c>
      <c r="AG129" s="144">
        <v>825</v>
      </c>
      <c r="AH129" s="121">
        <f>MyGrid3[[#This Row],[أغسطس]]/$AG$187</f>
        <v>1.0153846153846153</v>
      </c>
      <c r="AI129" s="156" t="s">
        <v>996</v>
      </c>
      <c r="AJ129" s="123">
        <v>825</v>
      </c>
      <c r="AK129" s="118">
        <f>MyGrid3[[#This Row],[سبتمبر]]/$AJ$187</f>
        <v>1.0153846153846153</v>
      </c>
      <c r="AL129" s="155" t="s">
        <v>996</v>
      </c>
      <c r="AM129" s="123">
        <v>825</v>
      </c>
      <c r="AN129" s="121">
        <f>MyGrid3[[#This Row],[أكتوبر]]/$AM$187</f>
        <v>1.0153846153846153</v>
      </c>
      <c r="AO129" s="156" t="s">
        <v>996</v>
      </c>
      <c r="AP129" s="123">
        <v>825</v>
      </c>
      <c r="AQ129" s="125">
        <f>MyGrid3[[#This Row],[نوفمبر]]/$AP$187</f>
        <v>1.0153846153846153</v>
      </c>
      <c r="AR129" s="155" t="s">
        <v>996</v>
      </c>
      <c r="AS129" s="391">
        <v>825</v>
      </c>
      <c r="AT129" s="121">
        <f>MyGrid3[[#This Row],[ديسمبر]]/$AS$187</f>
        <v>1.0153846153846153</v>
      </c>
      <c r="AU129" s="126">
        <f t="shared" si="2"/>
        <v>9983.34</v>
      </c>
      <c r="AV129" s="127">
        <f>MyGrid3[[#This Row],[الإجمالي]]/$AU$187</f>
        <v>0.82125094395809239</v>
      </c>
    </row>
    <row r="130" spans="1:48" s="128" customFormat="1" ht="33" hidden="1" customHeight="1">
      <c r="A130" s="110">
        <f>SUBTOTAL(3,$B$4:B130)</f>
        <v>0</v>
      </c>
      <c r="B130" s="111">
        <v>690243</v>
      </c>
      <c r="C130" s="112" t="s">
        <v>1078</v>
      </c>
      <c r="D130" s="113" t="s">
        <v>984</v>
      </c>
      <c r="E130" s="160" t="s">
        <v>64</v>
      </c>
      <c r="F130" s="115">
        <f>RANK(G130,MyGrid3[الاساسي])</f>
        <v>107</v>
      </c>
      <c r="G130" s="116">
        <v>500</v>
      </c>
      <c r="H130" s="114" t="s">
        <v>64</v>
      </c>
      <c r="I130" s="115">
        <f>RANK(J130,MyGrid3[يناير])</f>
        <v>81</v>
      </c>
      <c r="J130" s="117">
        <v>0</v>
      </c>
      <c r="K130" s="118">
        <f>MyGrid3[[#This Row],[يناير]]/$J$187</f>
        <v>0</v>
      </c>
      <c r="L130" s="119" t="s">
        <v>64</v>
      </c>
      <c r="M130" s="115">
        <f>RANK(N130,MyGrid3[فبراير])</f>
        <v>49</v>
      </c>
      <c r="N130" s="120">
        <v>825</v>
      </c>
      <c r="O130" s="121">
        <f>MyGrid3[[#This Row],[فبراير]]/$N$187</f>
        <v>0.58407079646017701</v>
      </c>
      <c r="P130" s="122" t="s">
        <v>64</v>
      </c>
      <c r="Q130" s="115">
        <f>RANK(R130,MyGrid3[مارس])</f>
        <v>64</v>
      </c>
      <c r="R130" s="123">
        <v>825</v>
      </c>
      <c r="S130" s="118">
        <f>MyGrid3[[#This Row],[مارس]]/$R$187</f>
        <v>0.58407079646017701</v>
      </c>
      <c r="T130" s="119" t="s">
        <v>64</v>
      </c>
      <c r="U130" s="397">
        <v>825</v>
      </c>
      <c r="V130" s="121">
        <f>MyGrid3[[#This Row],[أبريل]]/$U$187</f>
        <v>0.58407079646017701</v>
      </c>
      <c r="W130" s="122" t="s">
        <v>64</v>
      </c>
      <c r="X130" s="397">
        <v>700</v>
      </c>
      <c r="Y130" s="118">
        <f>MyGrid3[[#This Row],[مايو]]/$X$187</f>
        <v>0.49484302872210323</v>
      </c>
      <c r="Z130" s="119" t="s">
        <v>64</v>
      </c>
      <c r="AA130" s="123">
        <v>866.67</v>
      </c>
      <c r="AB130" s="121">
        <f>MyGrid3[[#This Row],[يونيو]]/$AA$187</f>
        <v>3.9999538468638947</v>
      </c>
      <c r="AC130" s="122" t="s">
        <v>64</v>
      </c>
      <c r="AD130" s="123">
        <v>825</v>
      </c>
      <c r="AE130" s="118">
        <f>MyGrid3[[#This Row],[يوليو]]/$AD$187</f>
        <v>1.0153846153846153</v>
      </c>
      <c r="AF130" s="139" t="s">
        <v>64</v>
      </c>
      <c r="AG130" s="144">
        <v>825</v>
      </c>
      <c r="AH130" s="121">
        <f>MyGrid3[[#This Row],[أغسطس]]/$AG$187</f>
        <v>1.0153846153846153</v>
      </c>
      <c r="AI130" s="122" t="s">
        <v>64</v>
      </c>
      <c r="AJ130" s="123">
        <v>825</v>
      </c>
      <c r="AK130" s="118">
        <f>MyGrid3[[#This Row],[سبتمبر]]/$AJ$187</f>
        <v>1.0153846153846153</v>
      </c>
      <c r="AL130" s="119" t="s">
        <v>64</v>
      </c>
      <c r="AM130" s="123">
        <v>825</v>
      </c>
      <c r="AN130" s="121">
        <f>MyGrid3[[#This Row],[أكتوبر]]/$AM$187</f>
        <v>1.0153846153846153</v>
      </c>
      <c r="AO130" s="122" t="s">
        <v>64</v>
      </c>
      <c r="AP130" s="123">
        <v>825</v>
      </c>
      <c r="AQ130" s="125">
        <f>MyGrid3[[#This Row],[نوفمبر]]/$AP$187</f>
        <v>1.0153846153846153</v>
      </c>
      <c r="AR130" s="119" t="s">
        <v>64</v>
      </c>
      <c r="AS130" s="391">
        <v>825</v>
      </c>
      <c r="AT130" s="121">
        <f>MyGrid3[[#This Row],[ديسمبر]]/$AS$187</f>
        <v>1.0153846153846153</v>
      </c>
      <c r="AU130" s="126">
        <f t="shared" si="2"/>
        <v>8991.67</v>
      </c>
      <c r="AV130" s="127">
        <f>MyGrid3[[#This Row],[الإجمالي]]/$AU$187</f>
        <v>0.73967404448407648</v>
      </c>
    </row>
    <row r="131" spans="1:48" s="128" customFormat="1" ht="33" hidden="1" customHeight="1">
      <c r="A131" s="110">
        <f>SUBTOTAL(3,$B$4:B131)</f>
        <v>0</v>
      </c>
      <c r="B131" s="111">
        <v>690244</v>
      </c>
      <c r="C131" s="112" t="s">
        <v>1079</v>
      </c>
      <c r="D131" s="113" t="s">
        <v>984</v>
      </c>
      <c r="E131" s="160" t="s">
        <v>64</v>
      </c>
      <c r="F131" s="115">
        <f>RANK(G131,MyGrid3[الاساسي])</f>
        <v>107</v>
      </c>
      <c r="G131" s="116">
        <v>500</v>
      </c>
      <c r="H131" s="114" t="s">
        <v>64</v>
      </c>
      <c r="I131" s="115">
        <f>RANK(J131,MyGrid3[يناير])</f>
        <v>81</v>
      </c>
      <c r="J131" s="117">
        <v>0</v>
      </c>
      <c r="K131" s="118">
        <f>MyGrid3[[#This Row],[يناير]]/$J$187</f>
        <v>0</v>
      </c>
      <c r="L131" s="119" t="s">
        <v>64</v>
      </c>
      <c r="M131" s="115">
        <f>RANK(N131,MyGrid3[فبراير])</f>
        <v>46</v>
      </c>
      <c r="N131" s="120">
        <v>950</v>
      </c>
      <c r="O131" s="121">
        <f>MyGrid3[[#This Row],[فبراير]]/$N$187</f>
        <v>0.67256637168141598</v>
      </c>
      <c r="P131" s="122" t="s">
        <v>64</v>
      </c>
      <c r="Q131" s="115">
        <f>RANK(R131,MyGrid3[مارس])</f>
        <v>58</v>
      </c>
      <c r="R131" s="123">
        <v>950</v>
      </c>
      <c r="S131" s="118">
        <f>MyGrid3[[#This Row],[مارس]]/$R$187</f>
        <v>0.67256637168141598</v>
      </c>
      <c r="T131" s="119" t="s">
        <v>64</v>
      </c>
      <c r="U131" s="397">
        <v>950</v>
      </c>
      <c r="V131" s="121">
        <f>MyGrid3[[#This Row],[أبريل]]/$U$187</f>
        <v>0.67256637168141598</v>
      </c>
      <c r="W131" s="122" t="s">
        <v>64</v>
      </c>
      <c r="X131" s="397">
        <v>929.17</v>
      </c>
      <c r="Y131" s="118">
        <f>MyGrid3[[#This Row],[مايو]]/$X$187</f>
        <v>0.65684756713959525</v>
      </c>
      <c r="Z131" s="119" t="s">
        <v>64</v>
      </c>
      <c r="AA131" s="123">
        <v>929.17</v>
      </c>
      <c r="AB131" s="121">
        <f>MyGrid3[[#This Row],[يونيو]]/$AA$187</f>
        <v>4.2884109475238841</v>
      </c>
      <c r="AC131" s="122" t="s">
        <v>64</v>
      </c>
      <c r="AD131" s="123">
        <v>825</v>
      </c>
      <c r="AE131" s="118">
        <f>MyGrid3[[#This Row],[يوليو]]/$AD$187</f>
        <v>1.0153846153846153</v>
      </c>
      <c r="AF131" s="139" t="s">
        <v>64</v>
      </c>
      <c r="AG131" s="144">
        <v>825</v>
      </c>
      <c r="AH131" s="121">
        <f>MyGrid3[[#This Row],[أغسطس]]/$AG$187</f>
        <v>1.0153846153846153</v>
      </c>
      <c r="AI131" s="122" t="s">
        <v>64</v>
      </c>
      <c r="AJ131" s="123">
        <v>825</v>
      </c>
      <c r="AK131" s="118">
        <f>MyGrid3[[#This Row],[سبتمبر]]/$AJ$187</f>
        <v>1.0153846153846153</v>
      </c>
      <c r="AL131" s="119" t="s">
        <v>64</v>
      </c>
      <c r="AM131" s="123">
        <v>825</v>
      </c>
      <c r="AN131" s="121">
        <f>MyGrid3[[#This Row],[أكتوبر]]/$AM$187</f>
        <v>1.0153846153846153</v>
      </c>
      <c r="AO131" s="122" t="s">
        <v>64</v>
      </c>
      <c r="AP131" s="123">
        <v>825</v>
      </c>
      <c r="AQ131" s="125">
        <f>MyGrid3[[#This Row],[نوفمبر]]/$AP$187</f>
        <v>1.0153846153846153</v>
      </c>
      <c r="AR131" s="119" t="s">
        <v>64</v>
      </c>
      <c r="AS131" s="391">
        <v>825</v>
      </c>
      <c r="AT131" s="121">
        <f>MyGrid3[[#This Row],[ديسمبر]]/$AS$187</f>
        <v>1.0153846153846153</v>
      </c>
      <c r="AU131" s="126">
        <f t="shared" si="2"/>
        <v>9658.34</v>
      </c>
      <c r="AV131" s="127">
        <f>MyGrid3[[#This Row],[الإجمالي]]/$AU$187</f>
        <v>0.79451574744205866</v>
      </c>
    </row>
    <row r="132" spans="1:48" s="128" customFormat="1" ht="33" hidden="1" customHeight="1">
      <c r="A132" s="110">
        <f>SUBTOTAL(3,$B$4:B132)</f>
        <v>0</v>
      </c>
      <c r="B132" s="111">
        <v>690245</v>
      </c>
      <c r="C132" s="112" t="s">
        <v>1080</v>
      </c>
      <c r="D132" s="113" t="s">
        <v>984</v>
      </c>
      <c r="E132" s="160" t="s">
        <v>64</v>
      </c>
      <c r="F132" s="115">
        <f>RANK(G132,MyGrid3[الاساسي])</f>
        <v>107</v>
      </c>
      <c r="G132" s="116">
        <v>500</v>
      </c>
      <c r="H132" s="114" t="s">
        <v>64</v>
      </c>
      <c r="I132" s="115">
        <f>RANK(J132,MyGrid3[يناير])</f>
        <v>77</v>
      </c>
      <c r="J132" s="141">
        <v>326.66000000000003</v>
      </c>
      <c r="K132" s="118">
        <f>MyGrid3[[#This Row],[يناير]]/$J$187</f>
        <v>0.2312637168141593</v>
      </c>
      <c r="L132" s="119" t="s">
        <v>64</v>
      </c>
      <c r="M132" s="115">
        <f>RANK(N132,MyGrid3[فبراير])</f>
        <v>49</v>
      </c>
      <c r="N132" s="120">
        <v>825</v>
      </c>
      <c r="O132" s="121">
        <f>MyGrid3[[#This Row],[فبراير]]/$N$187</f>
        <v>0.58407079646017701</v>
      </c>
      <c r="P132" s="122" t="s">
        <v>64</v>
      </c>
      <c r="Q132" s="115">
        <f>RANK(R132,MyGrid3[مارس])</f>
        <v>64</v>
      </c>
      <c r="R132" s="123">
        <v>825</v>
      </c>
      <c r="S132" s="118">
        <f>MyGrid3[[#This Row],[مارس]]/$R$187</f>
        <v>0.58407079646017701</v>
      </c>
      <c r="T132" s="119" t="s">
        <v>64</v>
      </c>
      <c r="U132" s="397">
        <v>825</v>
      </c>
      <c r="V132" s="121">
        <f>MyGrid3[[#This Row],[أبريل]]/$U$187</f>
        <v>0.58407079646017701</v>
      </c>
      <c r="W132" s="122" t="s">
        <v>64</v>
      </c>
      <c r="X132" s="397">
        <v>866.67</v>
      </c>
      <c r="Y132" s="118">
        <f>MyGrid3[[#This Row],[مايو]]/$X$187</f>
        <v>0.61266515386083598</v>
      </c>
      <c r="Z132" s="119" t="s">
        <v>64</v>
      </c>
      <c r="AA132" s="123">
        <v>866.67</v>
      </c>
      <c r="AB132" s="121">
        <f>MyGrid3[[#This Row],[يونيو]]/$AA$187</f>
        <v>3.9999538468638947</v>
      </c>
      <c r="AC132" s="122" t="s">
        <v>64</v>
      </c>
      <c r="AD132" s="123">
        <v>825</v>
      </c>
      <c r="AE132" s="118">
        <f>MyGrid3[[#This Row],[يوليو]]/$AD$187</f>
        <v>1.0153846153846153</v>
      </c>
      <c r="AF132" s="139" t="s">
        <v>64</v>
      </c>
      <c r="AG132" s="144">
        <v>825</v>
      </c>
      <c r="AH132" s="121">
        <f>MyGrid3[[#This Row],[أغسطس]]/$AG$187</f>
        <v>1.0153846153846153</v>
      </c>
      <c r="AI132" s="122" t="s">
        <v>64</v>
      </c>
      <c r="AJ132" s="123">
        <v>825</v>
      </c>
      <c r="AK132" s="118">
        <f>MyGrid3[[#This Row],[سبتمبر]]/$AJ$187</f>
        <v>1.0153846153846153</v>
      </c>
      <c r="AL132" s="119" t="s">
        <v>64</v>
      </c>
      <c r="AM132" s="123"/>
      <c r="AN132" s="121">
        <f>MyGrid3[[#This Row],[أكتوبر]]/$AM$187</f>
        <v>0</v>
      </c>
      <c r="AO132" s="122" t="s">
        <v>64</v>
      </c>
      <c r="AP132" s="123">
        <v>825</v>
      </c>
      <c r="AQ132" s="125">
        <f>MyGrid3[[#This Row],[نوفمبر]]/$AP$187</f>
        <v>1.0153846153846153</v>
      </c>
      <c r="AR132" s="119" t="s">
        <v>64</v>
      </c>
      <c r="AS132" s="391">
        <v>825</v>
      </c>
      <c r="AT132" s="121">
        <f>MyGrid3[[#This Row],[ديسمبر]]/$AS$187</f>
        <v>1.0153846153846153</v>
      </c>
      <c r="AU132" s="126">
        <f t="shared" si="2"/>
        <v>8660</v>
      </c>
      <c r="AV132" s="127">
        <f>MyGrid3[[#This Row],[الإجمالي]]/$AU$187</f>
        <v>0.71239015947339068</v>
      </c>
    </row>
    <row r="133" spans="1:48" s="128" customFormat="1" ht="33" hidden="1" customHeight="1">
      <c r="A133" s="110">
        <f>SUBTOTAL(3,$B$4:B133)</f>
        <v>0</v>
      </c>
      <c r="B133" s="111">
        <v>690246</v>
      </c>
      <c r="C133" s="112" t="s">
        <v>1081</v>
      </c>
      <c r="D133" s="113" t="s">
        <v>984</v>
      </c>
      <c r="E133" s="160" t="s">
        <v>64</v>
      </c>
      <c r="F133" s="115">
        <f>RANK(G133,MyGrid3[الاساسي])</f>
        <v>107</v>
      </c>
      <c r="G133" s="116">
        <v>500</v>
      </c>
      <c r="H133" s="165" t="s">
        <v>1014</v>
      </c>
      <c r="I133" s="115">
        <f>RANK(J133,MyGrid3[يناير])</f>
        <v>81</v>
      </c>
      <c r="J133" s="117">
        <v>0</v>
      </c>
      <c r="K133" s="118">
        <f>MyGrid3[[#This Row],[يناير]]/$J$187</f>
        <v>0</v>
      </c>
      <c r="L133" s="166" t="s">
        <v>1014</v>
      </c>
      <c r="M133" s="115">
        <f>RANK(N133,MyGrid3[فبراير])</f>
        <v>49</v>
      </c>
      <c r="N133" s="120">
        <v>825</v>
      </c>
      <c r="O133" s="121">
        <f>MyGrid3[[#This Row],[فبراير]]/$N$187</f>
        <v>0.58407079646017701</v>
      </c>
      <c r="P133" s="168" t="s">
        <v>1014</v>
      </c>
      <c r="Q133" s="115">
        <f>RANK(R133,MyGrid3[مارس])</f>
        <v>64</v>
      </c>
      <c r="R133" s="123">
        <v>825</v>
      </c>
      <c r="S133" s="118">
        <f>MyGrid3[[#This Row],[مارس]]/$R$187</f>
        <v>0.58407079646017701</v>
      </c>
      <c r="T133" s="166" t="s">
        <v>1014</v>
      </c>
      <c r="U133" s="397">
        <v>825</v>
      </c>
      <c r="V133" s="121">
        <f>MyGrid3[[#This Row],[أبريل]]/$U$187</f>
        <v>0.58407079646017701</v>
      </c>
      <c r="W133" s="168" t="s">
        <v>1014</v>
      </c>
      <c r="X133" s="397">
        <v>866.67</v>
      </c>
      <c r="Y133" s="118">
        <f>MyGrid3[[#This Row],[مايو]]/$X$187</f>
        <v>0.61266515386083598</v>
      </c>
      <c r="Z133" s="166" t="s">
        <v>1014</v>
      </c>
      <c r="AA133" s="123">
        <v>866.67</v>
      </c>
      <c r="AB133" s="121">
        <f>MyGrid3[[#This Row],[يونيو]]/$AA$187</f>
        <v>3.9999538468638947</v>
      </c>
      <c r="AC133" s="168" t="s">
        <v>1014</v>
      </c>
      <c r="AD133" s="123">
        <v>825</v>
      </c>
      <c r="AE133" s="118">
        <f>MyGrid3[[#This Row],[يوليو]]/$AD$187</f>
        <v>1.0153846153846153</v>
      </c>
      <c r="AF133" s="119" t="s">
        <v>1014</v>
      </c>
      <c r="AG133" s="144">
        <v>825</v>
      </c>
      <c r="AH133" s="121">
        <f>MyGrid3[[#This Row],[أغسطس]]/$AG$187</f>
        <v>1.0153846153846153</v>
      </c>
      <c r="AI133" s="168" t="s">
        <v>1014</v>
      </c>
      <c r="AJ133" s="123">
        <v>825</v>
      </c>
      <c r="AK133" s="118">
        <f>MyGrid3[[#This Row],[سبتمبر]]/$AJ$187</f>
        <v>1.0153846153846153</v>
      </c>
      <c r="AL133" s="166" t="s">
        <v>1014</v>
      </c>
      <c r="AM133" s="123">
        <v>825</v>
      </c>
      <c r="AN133" s="121">
        <f>MyGrid3[[#This Row],[أكتوبر]]/$AM$187</f>
        <v>1.0153846153846153</v>
      </c>
      <c r="AO133" s="168" t="s">
        <v>1014</v>
      </c>
      <c r="AP133" s="123">
        <v>825</v>
      </c>
      <c r="AQ133" s="125">
        <f>MyGrid3[[#This Row],[نوفمبر]]/$AP$187</f>
        <v>1.0153846153846153</v>
      </c>
      <c r="AR133" s="166" t="s">
        <v>1014</v>
      </c>
      <c r="AS133" s="391">
        <v>825</v>
      </c>
      <c r="AT133" s="121">
        <f>MyGrid3[[#This Row],[ديسمبر]]/$AS$187</f>
        <v>1.0153846153846153</v>
      </c>
      <c r="AU133" s="126">
        <f t="shared" si="2"/>
        <v>9158.34</v>
      </c>
      <c r="AV133" s="127">
        <f>MyGrid3[[#This Row],[الإجمالي]]/$AU$187</f>
        <v>0.75338467587892988</v>
      </c>
    </row>
    <row r="134" spans="1:48" s="128" customFormat="1" ht="33" hidden="1" customHeight="1">
      <c r="A134" s="110">
        <f>SUBTOTAL(3,$B$4:B134)</f>
        <v>0</v>
      </c>
      <c r="B134" s="111">
        <v>690248</v>
      </c>
      <c r="C134" s="112" t="s">
        <v>1082</v>
      </c>
      <c r="D134" s="113" t="s">
        <v>984</v>
      </c>
      <c r="E134" s="160" t="s">
        <v>64</v>
      </c>
      <c r="F134" s="115">
        <f>RANK(G134,MyGrid3[الاساسي])</f>
        <v>107</v>
      </c>
      <c r="G134" s="116">
        <v>500</v>
      </c>
      <c r="H134" s="114" t="s">
        <v>64</v>
      </c>
      <c r="I134" s="115">
        <f>RANK(J134,MyGrid3[يناير])</f>
        <v>81</v>
      </c>
      <c r="J134" s="117">
        <v>0</v>
      </c>
      <c r="K134" s="118">
        <f>MyGrid3[[#This Row],[يناير]]/$J$187</f>
        <v>0</v>
      </c>
      <c r="L134" s="119" t="s">
        <v>64</v>
      </c>
      <c r="M134" s="115">
        <f>RANK(N134,MyGrid3[فبراير])</f>
        <v>49</v>
      </c>
      <c r="N134" s="120">
        <v>825</v>
      </c>
      <c r="O134" s="121">
        <f>MyGrid3[[#This Row],[فبراير]]/$N$187</f>
        <v>0.58407079646017701</v>
      </c>
      <c r="P134" s="122" t="s">
        <v>64</v>
      </c>
      <c r="Q134" s="115">
        <f>RANK(R134,MyGrid3[مارس])</f>
        <v>64</v>
      </c>
      <c r="R134" s="123">
        <v>825</v>
      </c>
      <c r="S134" s="118">
        <f>MyGrid3[[#This Row],[مارس]]/$R$187</f>
        <v>0.58407079646017701</v>
      </c>
      <c r="T134" s="119" t="s">
        <v>64</v>
      </c>
      <c r="U134" s="397">
        <v>825</v>
      </c>
      <c r="V134" s="121">
        <f>MyGrid3[[#This Row],[أبريل]]/$U$187</f>
        <v>0.58407079646017701</v>
      </c>
      <c r="W134" s="122" t="s">
        <v>64</v>
      </c>
      <c r="X134" s="397">
        <v>866.67</v>
      </c>
      <c r="Y134" s="118">
        <f>MyGrid3[[#This Row],[مايو]]/$X$187</f>
        <v>0.61266515386083598</v>
      </c>
      <c r="Z134" s="119" t="s">
        <v>64</v>
      </c>
      <c r="AA134" s="123">
        <v>866.67</v>
      </c>
      <c r="AB134" s="121">
        <f>MyGrid3[[#This Row],[يونيو]]/$AA$187</f>
        <v>3.9999538468638947</v>
      </c>
      <c r="AC134" s="122" t="s">
        <v>64</v>
      </c>
      <c r="AD134" s="123">
        <v>825</v>
      </c>
      <c r="AE134" s="118">
        <f>MyGrid3[[#This Row],[يوليو]]/$AD$187</f>
        <v>1.0153846153846153</v>
      </c>
      <c r="AF134" s="139" t="s">
        <v>64</v>
      </c>
      <c r="AG134" s="144">
        <v>825</v>
      </c>
      <c r="AH134" s="121">
        <f>MyGrid3[[#This Row],[أغسطس]]/$AG$187</f>
        <v>1.0153846153846153</v>
      </c>
      <c r="AI134" s="122" t="s">
        <v>64</v>
      </c>
      <c r="AJ134" s="123">
        <v>825</v>
      </c>
      <c r="AK134" s="118">
        <f>MyGrid3[[#This Row],[سبتمبر]]/$AJ$187</f>
        <v>1.0153846153846153</v>
      </c>
      <c r="AL134" s="119" t="s">
        <v>64</v>
      </c>
      <c r="AM134" s="123">
        <v>825</v>
      </c>
      <c r="AN134" s="121">
        <f>MyGrid3[[#This Row],[أكتوبر]]/$AM$187</f>
        <v>1.0153846153846153</v>
      </c>
      <c r="AO134" s="122" t="s">
        <v>64</v>
      </c>
      <c r="AP134" s="123">
        <v>793.75</v>
      </c>
      <c r="AQ134" s="125">
        <f>MyGrid3[[#This Row],[نوفمبر]]/$AP$187</f>
        <v>0.97692307692307689</v>
      </c>
      <c r="AR134" s="119" t="s">
        <v>64</v>
      </c>
      <c r="AS134" s="391">
        <v>825</v>
      </c>
      <c r="AT134" s="121">
        <f>MyGrid3[[#This Row],[ديسمبر]]/$AS$187</f>
        <v>1.0153846153846153</v>
      </c>
      <c r="AU134" s="126">
        <f t="shared" si="2"/>
        <v>9127.09</v>
      </c>
      <c r="AV134" s="127">
        <f>MyGrid3[[#This Row],[الإجمالي]]/$AU$187</f>
        <v>0.75081398390623433</v>
      </c>
    </row>
    <row r="135" spans="1:48" s="128" customFormat="1" ht="33" hidden="1" customHeight="1">
      <c r="A135" s="110">
        <f>SUBTOTAL(3,$B$4:B135)</f>
        <v>0</v>
      </c>
      <c r="B135" s="111">
        <v>690249</v>
      </c>
      <c r="C135" s="112" t="s">
        <v>1083</v>
      </c>
      <c r="D135" s="113" t="s">
        <v>1084</v>
      </c>
      <c r="E135" s="160" t="s">
        <v>64</v>
      </c>
      <c r="F135" s="115">
        <f>RANK(G135,MyGrid3[الاساسي])</f>
        <v>107</v>
      </c>
      <c r="G135" s="116">
        <v>500</v>
      </c>
      <c r="H135" s="114" t="s">
        <v>64</v>
      </c>
      <c r="I135" s="115">
        <f>RANK(J135,MyGrid3[يناير])</f>
        <v>81</v>
      </c>
      <c r="J135" s="117">
        <v>0</v>
      </c>
      <c r="K135" s="118">
        <f>MyGrid3[[#This Row],[يناير]]/$J$187</f>
        <v>0</v>
      </c>
      <c r="L135" s="119" t="s">
        <v>64</v>
      </c>
      <c r="M135" s="115">
        <f>RANK(N135,MyGrid3[فبراير])</f>
        <v>49</v>
      </c>
      <c r="N135" s="120">
        <v>825</v>
      </c>
      <c r="O135" s="121">
        <f>MyGrid3[[#This Row],[فبراير]]/$N$187</f>
        <v>0.58407079646017701</v>
      </c>
      <c r="P135" s="122" t="s">
        <v>64</v>
      </c>
      <c r="Q135" s="115">
        <f>RANK(R135,MyGrid3[مارس])</f>
        <v>64</v>
      </c>
      <c r="R135" s="123">
        <v>825</v>
      </c>
      <c r="S135" s="118">
        <f>MyGrid3[[#This Row],[مارس]]/$R$187</f>
        <v>0.58407079646017701</v>
      </c>
      <c r="T135" s="119" t="s">
        <v>64</v>
      </c>
      <c r="U135" s="397">
        <v>825</v>
      </c>
      <c r="V135" s="121">
        <f>MyGrid3[[#This Row],[أبريل]]/$U$187</f>
        <v>0.58407079646017701</v>
      </c>
      <c r="W135" s="122" t="s">
        <v>64</v>
      </c>
      <c r="X135" s="397">
        <v>866.67</v>
      </c>
      <c r="Y135" s="118">
        <f>MyGrid3[[#This Row],[مايو]]/$X$187</f>
        <v>0.61266515386083598</v>
      </c>
      <c r="Z135" s="119" t="s">
        <v>64</v>
      </c>
      <c r="AA135" s="123">
        <v>866.67</v>
      </c>
      <c r="AB135" s="121">
        <f>MyGrid3[[#This Row],[يونيو]]/$AA$187</f>
        <v>3.9999538468638947</v>
      </c>
      <c r="AC135" s="122" t="s">
        <v>64</v>
      </c>
      <c r="AD135" s="123">
        <v>825</v>
      </c>
      <c r="AE135" s="118">
        <f>MyGrid3[[#This Row],[يوليو]]/$AD$187</f>
        <v>1.0153846153846153</v>
      </c>
      <c r="AF135" s="139" t="s">
        <v>64</v>
      </c>
      <c r="AG135" s="144">
        <v>825</v>
      </c>
      <c r="AH135" s="121">
        <f>MyGrid3[[#This Row],[أغسطس]]/$AG$187</f>
        <v>1.0153846153846153</v>
      </c>
      <c r="AI135" s="122" t="s">
        <v>64</v>
      </c>
      <c r="AJ135" s="123">
        <v>825</v>
      </c>
      <c r="AK135" s="118">
        <f>MyGrid3[[#This Row],[سبتمبر]]/$AJ$187</f>
        <v>1.0153846153846153</v>
      </c>
      <c r="AL135" s="119" t="s">
        <v>64</v>
      </c>
      <c r="AM135" s="123">
        <v>825</v>
      </c>
      <c r="AN135" s="121">
        <f>MyGrid3[[#This Row],[أكتوبر]]/$AM$187</f>
        <v>1.0153846153846153</v>
      </c>
      <c r="AO135" s="122" t="s">
        <v>64</v>
      </c>
      <c r="AP135" s="123">
        <v>825</v>
      </c>
      <c r="AQ135" s="125">
        <f>MyGrid3[[#This Row],[نوفمبر]]/$AP$187</f>
        <v>1.0153846153846153</v>
      </c>
      <c r="AR135" s="119" t="s">
        <v>64</v>
      </c>
      <c r="AS135" s="391">
        <v>825</v>
      </c>
      <c r="AT135" s="121">
        <f>MyGrid3[[#This Row],[ديسمبر]]/$AS$187</f>
        <v>1.0153846153846153</v>
      </c>
      <c r="AU135" s="126">
        <f t="shared" si="2"/>
        <v>9158.34</v>
      </c>
      <c r="AV135" s="127">
        <f>MyGrid3[[#This Row],[الإجمالي]]/$AU$187</f>
        <v>0.75338467587892988</v>
      </c>
    </row>
    <row r="136" spans="1:48" s="128" customFormat="1" ht="33" hidden="1" customHeight="1">
      <c r="A136" s="110">
        <f>SUBTOTAL(3,$B$4:B136)</f>
        <v>0</v>
      </c>
      <c r="B136" s="111">
        <v>690250</v>
      </c>
      <c r="C136" s="112" t="s">
        <v>1085</v>
      </c>
      <c r="D136" s="113" t="s">
        <v>1084</v>
      </c>
      <c r="E136" s="160" t="s">
        <v>64</v>
      </c>
      <c r="F136" s="115">
        <f>RANK(G136,MyGrid3[الاساسي])</f>
        <v>107</v>
      </c>
      <c r="G136" s="116">
        <v>500</v>
      </c>
      <c r="H136" s="114" t="s">
        <v>64</v>
      </c>
      <c r="I136" s="115">
        <f>RANK(J136,MyGrid3[يناير])</f>
        <v>45</v>
      </c>
      <c r="J136" s="141">
        <v>825</v>
      </c>
      <c r="K136" s="118">
        <f>MyGrid3[[#This Row],[يناير]]/$J$187</f>
        <v>0.58407079646017701</v>
      </c>
      <c r="L136" s="119" t="s">
        <v>64</v>
      </c>
      <c r="M136" s="115">
        <f>RANK(N136,MyGrid3[فبراير])</f>
        <v>49</v>
      </c>
      <c r="N136" s="120">
        <v>825</v>
      </c>
      <c r="O136" s="121">
        <f>MyGrid3[[#This Row],[فبراير]]/$N$187</f>
        <v>0.58407079646017701</v>
      </c>
      <c r="P136" s="122" t="s">
        <v>64</v>
      </c>
      <c r="Q136" s="115">
        <f>RANK(R136,MyGrid3[مارس])</f>
        <v>64</v>
      </c>
      <c r="R136" s="123">
        <v>825</v>
      </c>
      <c r="S136" s="118">
        <f>MyGrid3[[#This Row],[مارس]]/$R$187</f>
        <v>0.58407079646017701</v>
      </c>
      <c r="T136" s="119" t="s">
        <v>64</v>
      </c>
      <c r="U136" s="397">
        <v>825</v>
      </c>
      <c r="V136" s="121">
        <f>MyGrid3[[#This Row],[أبريل]]/$U$187</f>
        <v>0.58407079646017701</v>
      </c>
      <c r="W136" s="122" t="s">
        <v>64</v>
      </c>
      <c r="X136" s="397">
        <v>866.67</v>
      </c>
      <c r="Y136" s="118">
        <f>MyGrid3[[#This Row],[مايو]]/$X$187</f>
        <v>0.61266515386083598</v>
      </c>
      <c r="Z136" s="119" t="s">
        <v>64</v>
      </c>
      <c r="AA136" s="123">
        <v>866.67</v>
      </c>
      <c r="AB136" s="121">
        <f>MyGrid3[[#This Row],[يونيو]]/$AA$187</f>
        <v>3.9999538468638947</v>
      </c>
      <c r="AC136" s="122" t="s">
        <v>64</v>
      </c>
      <c r="AD136" s="123">
        <v>825</v>
      </c>
      <c r="AE136" s="118">
        <f>MyGrid3[[#This Row],[يوليو]]/$AD$187</f>
        <v>1.0153846153846153</v>
      </c>
      <c r="AF136" s="139" t="s">
        <v>64</v>
      </c>
      <c r="AG136" s="144">
        <v>825</v>
      </c>
      <c r="AH136" s="121">
        <f>MyGrid3[[#This Row],[أغسطس]]/$AG$187</f>
        <v>1.0153846153846153</v>
      </c>
      <c r="AI136" s="122" t="s">
        <v>64</v>
      </c>
      <c r="AJ136" s="123">
        <v>825</v>
      </c>
      <c r="AK136" s="118">
        <f>MyGrid3[[#This Row],[سبتمبر]]/$AJ$187</f>
        <v>1.0153846153846153</v>
      </c>
      <c r="AL136" s="119" t="s">
        <v>64</v>
      </c>
      <c r="AM136" s="123">
        <v>825</v>
      </c>
      <c r="AN136" s="121">
        <f>MyGrid3[[#This Row],[أكتوبر]]/$AM$187</f>
        <v>1.0153846153846153</v>
      </c>
      <c r="AO136" s="122" t="s">
        <v>64</v>
      </c>
      <c r="AP136" s="123">
        <v>825</v>
      </c>
      <c r="AQ136" s="125">
        <f>MyGrid3[[#This Row],[نوفمبر]]/$AP$187</f>
        <v>1.0153846153846153</v>
      </c>
      <c r="AR136" s="119" t="s">
        <v>64</v>
      </c>
      <c r="AS136" s="391">
        <v>825</v>
      </c>
      <c r="AT136" s="121">
        <f>MyGrid3[[#This Row],[ديسمبر]]/$AS$187</f>
        <v>1.0153846153846153</v>
      </c>
      <c r="AU136" s="126">
        <f t="shared" si="2"/>
        <v>9983.34</v>
      </c>
      <c r="AV136" s="127">
        <f>MyGrid3[[#This Row],[الإجمالي]]/$AU$187</f>
        <v>0.82125094395809239</v>
      </c>
    </row>
    <row r="137" spans="1:48" s="128" customFormat="1" ht="33" hidden="1" customHeight="1">
      <c r="A137" s="110">
        <f>SUBTOTAL(3,$B$4:B137)</f>
        <v>0</v>
      </c>
      <c r="B137" s="111">
        <v>690251</v>
      </c>
      <c r="C137" s="112" t="s">
        <v>1086</v>
      </c>
      <c r="D137" s="113" t="s">
        <v>1084</v>
      </c>
      <c r="E137" s="160" t="s">
        <v>64</v>
      </c>
      <c r="F137" s="115">
        <f>RANK(G137,MyGrid3[الاساسي])</f>
        <v>135</v>
      </c>
      <c r="G137" s="116">
        <v>350</v>
      </c>
      <c r="H137" s="114" t="s">
        <v>64</v>
      </c>
      <c r="I137" s="115">
        <f>RANK(J137,MyGrid3[يناير])</f>
        <v>64</v>
      </c>
      <c r="J137" s="141">
        <v>587.5</v>
      </c>
      <c r="K137" s="118">
        <f>MyGrid3[[#This Row],[يناير]]/$J$187</f>
        <v>0.41592920353982299</v>
      </c>
      <c r="L137" s="119" t="s">
        <v>64</v>
      </c>
      <c r="M137" s="115">
        <f>RANK(N137,MyGrid3[فبراير])</f>
        <v>83</v>
      </c>
      <c r="N137" s="120">
        <v>587.5</v>
      </c>
      <c r="O137" s="121">
        <f>MyGrid3[[#This Row],[فبراير]]/$N$187</f>
        <v>0.41592920353982299</v>
      </c>
      <c r="P137" s="122" t="s">
        <v>64</v>
      </c>
      <c r="Q137" s="115">
        <f>RANK(R137,MyGrid3[مارس])</f>
        <v>96</v>
      </c>
      <c r="R137" s="123">
        <v>587.5</v>
      </c>
      <c r="S137" s="118">
        <f>MyGrid3[[#This Row],[مارس]]/$R$187</f>
        <v>0.41592920353982299</v>
      </c>
      <c r="T137" s="119" t="s">
        <v>64</v>
      </c>
      <c r="U137" s="397">
        <v>587.5</v>
      </c>
      <c r="V137" s="121">
        <f>MyGrid3[[#This Row],[أبريل]]/$U$187</f>
        <v>0.41592920353982299</v>
      </c>
      <c r="W137" s="122" t="s">
        <v>64</v>
      </c>
      <c r="X137" s="397">
        <v>616.66999999999996</v>
      </c>
      <c r="Y137" s="118">
        <f>MyGrid3[[#This Row],[مايو]]/$X$187</f>
        <v>0.43593550074579912</v>
      </c>
      <c r="Z137" s="119" t="s">
        <v>64</v>
      </c>
      <c r="AA137" s="123">
        <v>616.66999999999996</v>
      </c>
      <c r="AB137" s="121">
        <f>MyGrid3[[#This Row],[يونيو]]/$AA$187</f>
        <v>2.8461254442239352</v>
      </c>
      <c r="AC137" s="122" t="s">
        <v>64</v>
      </c>
      <c r="AD137" s="123">
        <v>587.5</v>
      </c>
      <c r="AE137" s="118">
        <f>MyGrid3[[#This Row],[يوليو]]/$AD$187</f>
        <v>0.72307692307692306</v>
      </c>
      <c r="AF137" s="139" t="s">
        <v>64</v>
      </c>
      <c r="AG137" s="144">
        <v>587.5</v>
      </c>
      <c r="AH137" s="121">
        <f>MyGrid3[[#This Row],[أغسطس]]/$AG$187</f>
        <v>0.72307692307692306</v>
      </c>
      <c r="AI137" s="122" t="s">
        <v>64</v>
      </c>
      <c r="AJ137" s="123">
        <v>587.5</v>
      </c>
      <c r="AK137" s="118">
        <f>MyGrid3[[#This Row],[سبتمبر]]/$AJ$187</f>
        <v>0.72307692307692306</v>
      </c>
      <c r="AL137" s="119" t="s">
        <v>64</v>
      </c>
      <c r="AM137" s="123">
        <v>587.5</v>
      </c>
      <c r="AN137" s="121">
        <f>MyGrid3[[#This Row],[أكتوبر]]/$AM$187</f>
        <v>0.72307692307692306</v>
      </c>
      <c r="AO137" s="122" t="s">
        <v>64</v>
      </c>
      <c r="AP137" s="123">
        <v>587.5</v>
      </c>
      <c r="AQ137" s="125">
        <f>MyGrid3[[#This Row],[نوفمبر]]/$AP$187</f>
        <v>0.72307692307692306</v>
      </c>
      <c r="AR137" s="119" t="s">
        <v>64</v>
      </c>
      <c r="AS137" s="391">
        <v>587.5</v>
      </c>
      <c r="AT137" s="121">
        <f>MyGrid3[[#This Row],[ديسمبر]]/$AS$187</f>
        <v>0.72307692307692306</v>
      </c>
      <c r="AU137" s="126">
        <f t="shared" si="2"/>
        <v>7108.34</v>
      </c>
      <c r="AV137" s="127">
        <f>MyGrid3[[#This Row],[الإجمالي]]/$AU$187</f>
        <v>0.58474728247010177</v>
      </c>
    </row>
    <row r="138" spans="1:48" s="128" customFormat="1" ht="33" hidden="1" customHeight="1">
      <c r="A138" s="110">
        <f>SUBTOTAL(3,$B$4:B138)</f>
        <v>0</v>
      </c>
      <c r="B138" s="111">
        <v>690252</v>
      </c>
      <c r="C138" s="112" t="s">
        <v>1087</v>
      </c>
      <c r="D138" s="113" t="s">
        <v>1084</v>
      </c>
      <c r="E138" s="160" t="s">
        <v>64</v>
      </c>
      <c r="F138" s="115">
        <f>RANK(G138,MyGrid3[الاساسي])</f>
        <v>135</v>
      </c>
      <c r="G138" s="116">
        <v>350</v>
      </c>
      <c r="H138" s="114" t="s">
        <v>64</v>
      </c>
      <c r="I138" s="115">
        <f>RANK(J138,MyGrid3[يناير])</f>
        <v>64</v>
      </c>
      <c r="J138" s="141">
        <v>587.5</v>
      </c>
      <c r="K138" s="118">
        <f>MyGrid3[[#This Row],[يناير]]/$J$187</f>
        <v>0.41592920353982299</v>
      </c>
      <c r="L138" s="119" t="s">
        <v>64</v>
      </c>
      <c r="M138" s="115">
        <f>RANK(N138,MyGrid3[فبراير])</f>
        <v>83</v>
      </c>
      <c r="N138" s="120">
        <v>587.5</v>
      </c>
      <c r="O138" s="121">
        <f>MyGrid3[[#This Row],[فبراير]]/$N$187</f>
        <v>0.41592920353982299</v>
      </c>
      <c r="P138" s="122" t="s">
        <v>64</v>
      </c>
      <c r="Q138" s="115">
        <f>RANK(R138,MyGrid3[مارس])</f>
        <v>110</v>
      </c>
      <c r="R138" s="123">
        <v>0</v>
      </c>
      <c r="S138" s="118">
        <f>MyGrid3[[#This Row],[مارس]]/$R$187</f>
        <v>0</v>
      </c>
      <c r="T138" s="119" t="s">
        <v>64</v>
      </c>
      <c r="U138" s="397"/>
      <c r="V138" s="121">
        <f>MyGrid3[[#This Row],[أبريل]]/$U$187</f>
        <v>0</v>
      </c>
      <c r="W138" s="122" t="s">
        <v>64</v>
      </c>
      <c r="X138" s="397"/>
      <c r="Y138" s="118">
        <f>MyGrid3[[#This Row],[مايو]]/$X$187</f>
        <v>0</v>
      </c>
      <c r="Z138" s="119" t="s">
        <v>64</v>
      </c>
      <c r="AA138" s="123"/>
      <c r="AB138" s="121">
        <f>MyGrid3[[#This Row],[يونيو]]/$AA$187</f>
        <v>0</v>
      </c>
      <c r="AC138" s="122" t="s">
        <v>64</v>
      </c>
      <c r="AD138" s="123">
        <v>537.5</v>
      </c>
      <c r="AE138" s="118">
        <f>MyGrid3[[#This Row],[يوليو]]/$AD$187</f>
        <v>0.66153846153846152</v>
      </c>
      <c r="AF138" s="139" t="s">
        <v>64</v>
      </c>
      <c r="AG138" s="144">
        <v>587.5</v>
      </c>
      <c r="AH138" s="121">
        <f>MyGrid3[[#This Row],[أغسطس]]/$AG$187</f>
        <v>0.72307692307692306</v>
      </c>
      <c r="AI138" s="122" t="s">
        <v>64</v>
      </c>
      <c r="AJ138" s="123">
        <v>587.5</v>
      </c>
      <c r="AK138" s="118">
        <f>MyGrid3[[#This Row],[سبتمبر]]/$AJ$187</f>
        <v>0.72307692307692306</v>
      </c>
      <c r="AL138" s="119" t="s">
        <v>64</v>
      </c>
      <c r="AM138" s="123">
        <v>587.5</v>
      </c>
      <c r="AN138" s="121">
        <f>MyGrid3[[#This Row],[أكتوبر]]/$AM$187</f>
        <v>0.72307692307692306</v>
      </c>
      <c r="AO138" s="122" t="s">
        <v>64</v>
      </c>
      <c r="AP138" s="123">
        <v>587.5</v>
      </c>
      <c r="AQ138" s="125">
        <f>MyGrid3[[#This Row],[نوفمبر]]/$AP$187</f>
        <v>0.72307692307692306</v>
      </c>
      <c r="AR138" s="119" t="s">
        <v>64</v>
      </c>
      <c r="AS138" s="391">
        <v>587.5</v>
      </c>
      <c r="AT138" s="121">
        <f>MyGrid3[[#This Row],[ديسمبر]]/$AS$187</f>
        <v>0.72307692307692306</v>
      </c>
      <c r="AU138" s="126">
        <f t="shared" si="2"/>
        <v>4650</v>
      </c>
      <c r="AV138" s="127">
        <f>MyGrid3[[#This Row],[الإجمالي]]/$AU$187</f>
        <v>0.38251896553709774</v>
      </c>
    </row>
    <row r="139" spans="1:48" s="128" customFormat="1" ht="33" hidden="1" customHeight="1">
      <c r="A139" s="110">
        <f>SUBTOTAL(3,$B$4:B139)</f>
        <v>0</v>
      </c>
      <c r="B139" s="111">
        <v>690253</v>
      </c>
      <c r="C139" s="112" t="s">
        <v>1088</v>
      </c>
      <c r="D139" s="113" t="s">
        <v>1084</v>
      </c>
      <c r="E139" s="160" t="s">
        <v>64</v>
      </c>
      <c r="F139" s="115">
        <f>RANK(G139,MyGrid3[الاساسي])</f>
        <v>107</v>
      </c>
      <c r="G139" s="116">
        <v>500</v>
      </c>
      <c r="H139" s="114" t="s">
        <v>64</v>
      </c>
      <c r="I139" s="115">
        <f>RANK(J139,MyGrid3[يناير])</f>
        <v>42</v>
      </c>
      <c r="J139" s="141">
        <v>875</v>
      </c>
      <c r="K139" s="118">
        <f>MyGrid3[[#This Row],[يناير]]/$J$187</f>
        <v>0.61946902654867253</v>
      </c>
      <c r="L139" s="119" t="s">
        <v>64</v>
      </c>
      <c r="M139" s="115">
        <f>RANK(N139,MyGrid3[فبراير])</f>
        <v>47</v>
      </c>
      <c r="N139" s="120">
        <v>875</v>
      </c>
      <c r="O139" s="121">
        <f>MyGrid3[[#This Row],[فبراير]]/$N$187</f>
        <v>0.61946902654867253</v>
      </c>
      <c r="P139" s="122" t="s">
        <v>64</v>
      </c>
      <c r="Q139" s="115">
        <f>RANK(R139,MyGrid3[مارس])</f>
        <v>59</v>
      </c>
      <c r="R139" s="123">
        <v>875</v>
      </c>
      <c r="S139" s="118">
        <f>MyGrid3[[#This Row],[مارس]]/$R$187</f>
        <v>0.61946902654867253</v>
      </c>
      <c r="T139" s="119" t="s">
        <v>64</v>
      </c>
      <c r="U139" s="397">
        <v>875</v>
      </c>
      <c r="V139" s="121">
        <f>MyGrid3[[#This Row],[أبريل]]/$U$187</f>
        <v>0.61946902654867253</v>
      </c>
      <c r="W139" s="122" t="s">
        <v>64</v>
      </c>
      <c r="X139" s="397">
        <v>916.67</v>
      </c>
      <c r="Y139" s="118">
        <f>MyGrid3[[#This Row],[مايو]]/$X$187</f>
        <v>0.64801108448384337</v>
      </c>
      <c r="Z139" s="119" t="s">
        <v>64</v>
      </c>
      <c r="AA139" s="123">
        <v>916.67</v>
      </c>
      <c r="AB139" s="121">
        <f>MyGrid3[[#This Row],[يونيو]]/$AA$187</f>
        <v>4.2307195273918863</v>
      </c>
      <c r="AC139" s="122" t="s">
        <v>64</v>
      </c>
      <c r="AD139" s="123">
        <v>875</v>
      </c>
      <c r="AE139" s="118">
        <f>MyGrid3[[#This Row],[يوليو]]/$AD$187</f>
        <v>1.0769230769230769</v>
      </c>
      <c r="AF139" s="139" t="s">
        <v>64</v>
      </c>
      <c r="AG139" s="144">
        <v>875</v>
      </c>
      <c r="AH139" s="121">
        <f>MyGrid3[[#This Row],[أغسطس]]/$AG$187</f>
        <v>1.0769230769230769</v>
      </c>
      <c r="AI139" s="122" t="s">
        <v>64</v>
      </c>
      <c r="AJ139" s="123">
        <v>875</v>
      </c>
      <c r="AK139" s="118">
        <f>MyGrid3[[#This Row],[سبتمبر]]/$AJ$187</f>
        <v>1.0769230769230769</v>
      </c>
      <c r="AL139" s="119" t="s">
        <v>64</v>
      </c>
      <c r="AM139" s="123">
        <v>875</v>
      </c>
      <c r="AN139" s="121">
        <f>MyGrid3[[#This Row],[أكتوبر]]/$AM$187</f>
        <v>1.0769230769230769</v>
      </c>
      <c r="AO139" s="122" t="s">
        <v>64</v>
      </c>
      <c r="AP139" s="123">
        <v>875</v>
      </c>
      <c r="AQ139" s="125">
        <f>MyGrid3[[#This Row],[نوفمبر]]/$AP$187</f>
        <v>1.0769230769230769</v>
      </c>
      <c r="AR139" s="119" t="s">
        <v>64</v>
      </c>
      <c r="AS139" s="391">
        <v>875</v>
      </c>
      <c r="AT139" s="121">
        <f>MyGrid3[[#This Row],[ديسمبر]]/$AS$187</f>
        <v>1.0769230769230769</v>
      </c>
      <c r="AU139" s="126">
        <f t="shared" si="2"/>
        <v>10583.34</v>
      </c>
      <c r="AV139" s="127">
        <f>MyGrid3[[#This Row],[الإجمالي]]/$AU$187</f>
        <v>0.87060822983384689</v>
      </c>
    </row>
    <row r="140" spans="1:48" s="128" customFormat="1" ht="33" hidden="1" customHeight="1">
      <c r="A140" s="110">
        <f>SUBTOTAL(3,$B$4:B140)</f>
        <v>0</v>
      </c>
      <c r="B140" s="111">
        <v>690254</v>
      </c>
      <c r="C140" s="112" t="s">
        <v>1089</v>
      </c>
      <c r="D140" s="113" t="s">
        <v>1084</v>
      </c>
      <c r="E140" s="160" t="s">
        <v>64</v>
      </c>
      <c r="F140" s="115">
        <f>RANK(G140,MyGrid3[الاساسي])</f>
        <v>135</v>
      </c>
      <c r="G140" s="116">
        <v>350</v>
      </c>
      <c r="H140" s="114" t="s">
        <v>64</v>
      </c>
      <c r="I140" s="115">
        <f>RANK(J140,MyGrid3[يناير])</f>
        <v>52</v>
      </c>
      <c r="J140" s="141">
        <v>687.5</v>
      </c>
      <c r="K140" s="118">
        <f>MyGrid3[[#This Row],[يناير]]/$J$187</f>
        <v>0.48672566371681414</v>
      </c>
      <c r="L140" s="119" t="s">
        <v>64</v>
      </c>
      <c r="M140" s="115">
        <f>RANK(N140,MyGrid3[فبراير])</f>
        <v>69</v>
      </c>
      <c r="N140" s="120">
        <v>687.5</v>
      </c>
      <c r="O140" s="121">
        <f>MyGrid3[[#This Row],[فبراير]]/$N$187</f>
        <v>0.48672566371681414</v>
      </c>
      <c r="P140" s="122" t="s">
        <v>64</v>
      </c>
      <c r="Q140" s="115">
        <f>RANK(R140,MyGrid3[مارس])</f>
        <v>83</v>
      </c>
      <c r="R140" s="123">
        <v>687.5</v>
      </c>
      <c r="S140" s="118">
        <f>MyGrid3[[#This Row],[مارس]]/$R$187</f>
        <v>0.48672566371681414</v>
      </c>
      <c r="T140" s="119" t="s">
        <v>64</v>
      </c>
      <c r="U140" s="397">
        <v>687.5</v>
      </c>
      <c r="V140" s="121">
        <f>MyGrid3[[#This Row],[أبريل]]/$U$187</f>
        <v>0.48672566371681414</v>
      </c>
      <c r="W140" s="122" t="s">
        <v>64</v>
      </c>
      <c r="X140" s="397">
        <v>716.67</v>
      </c>
      <c r="Y140" s="118">
        <f>MyGrid3[[#This Row],[مايو]]/$X$187</f>
        <v>0.50662736199181391</v>
      </c>
      <c r="Z140" s="119" t="s">
        <v>64</v>
      </c>
      <c r="AA140" s="123">
        <v>716.67</v>
      </c>
      <c r="AB140" s="121">
        <f>MyGrid3[[#This Row],[يونيو]]/$AA$187</f>
        <v>3.3076568052799189</v>
      </c>
      <c r="AC140" s="122" t="s">
        <v>64</v>
      </c>
      <c r="AD140" s="123">
        <v>687.5</v>
      </c>
      <c r="AE140" s="118">
        <f>MyGrid3[[#This Row],[يوليو]]/$AD$187</f>
        <v>0.84615384615384615</v>
      </c>
      <c r="AF140" s="139" t="s">
        <v>64</v>
      </c>
      <c r="AG140" s="144">
        <v>687.5</v>
      </c>
      <c r="AH140" s="121">
        <f>MyGrid3[[#This Row],[أغسطس]]/$AG$187</f>
        <v>0.84615384615384615</v>
      </c>
      <c r="AI140" s="122" t="s">
        <v>64</v>
      </c>
      <c r="AJ140" s="123">
        <v>687.5</v>
      </c>
      <c r="AK140" s="118">
        <f>MyGrid3[[#This Row],[سبتمبر]]/$AJ$187</f>
        <v>0.84615384615384615</v>
      </c>
      <c r="AL140" s="119" t="s">
        <v>64</v>
      </c>
      <c r="AM140" s="123">
        <v>687.5</v>
      </c>
      <c r="AN140" s="121">
        <f>MyGrid3[[#This Row],[أكتوبر]]/$AM$187</f>
        <v>0.84615384615384615</v>
      </c>
      <c r="AO140" s="122" t="s">
        <v>64</v>
      </c>
      <c r="AP140" s="123">
        <v>687.5</v>
      </c>
      <c r="AQ140" s="125">
        <f>MyGrid3[[#This Row],[نوفمبر]]/$AP$187</f>
        <v>0.84615384615384615</v>
      </c>
      <c r="AR140" s="119" t="s">
        <v>64</v>
      </c>
      <c r="AS140" s="391">
        <v>687.5</v>
      </c>
      <c r="AT140" s="121">
        <f>MyGrid3[[#This Row],[ديسمبر]]/$AS$187</f>
        <v>0.84615384615384615</v>
      </c>
      <c r="AU140" s="126">
        <f t="shared" si="2"/>
        <v>8308.34</v>
      </c>
      <c r="AV140" s="127">
        <f>MyGrid3[[#This Row],[الإجمالي]]/$AU$187</f>
        <v>0.68346185422161088</v>
      </c>
    </row>
    <row r="141" spans="1:48" s="128" customFormat="1" ht="33" hidden="1" customHeight="1">
      <c r="A141" s="110">
        <f>SUBTOTAL(3,$B$4:B141)</f>
        <v>0</v>
      </c>
      <c r="B141" s="111">
        <v>690255</v>
      </c>
      <c r="C141" s="112" t="s">
        <v>1090</v>
      </c>
      <c r="D141" s="113" t="s">
        <v>1084</v>
      </c>
      <c r="E141" s="160" t="s">
        <v>64</v>
      </c>
      <c r="F141" s="115">
        <f>RANK(G141,MyGrid3[الاساسي])</f>
        <v>80</v>
      </c>
      <c r="G141" s="116">
        <v>775</v>
      </c>
      <c r="H141" s="114" t="s">
        <v>64</v>
      </c>
      <c r="I141" s="115">
        <f>RANK(J141,MyGrid3[يناير])</f>
        <v>27</v>
      </c>
      <c r="J141" s="141">
        <v>1322.92</v>
      </c>
      <c r="K141" s="118">
        <f>MyGrid3[[#This Row],[يناير]]/$J$187</f>
        <v>0.9365805309734514</v>
      </c>
      <c r="L141" s="119" t="s">
        <v>64</v>
      </c>
      <c r="M141" s="115">
        <f>RANK(N141,MyGrid3[فبراير])</f>
        <v>29</v>
      </c>
      <c r="N141" s="120">
        <v>1322.92</v>
      </c>
      <c r="O141" s="121">
        <f>MyGrid3[[#This Row],[فبراير]]/$N$187</f>
        <v>0.9365805309734514</v>
      </c>
      <c r="P141" s="122" t="s">
        <v>64</v>
      </c>
      <c r="Q141" s="115">
        <f>RANK(R141,MyGrid3[مارس])</f>
        <v>38</v>
      </c>
      <c r="R141" s="123">
        <v>1322.92</v>
      </c>
      <c r="S141" s="118">
        <f>MyGrid3[[#This Row],[مارس]]/$R$187</f>
        <v>0.9365805309734514</v>
      </c>
      <c r="T141" s="119" t="s">
        <v>64</v>
      </c>
      <c r="U141" s="397">
        <v>1322.92</v>
      </c>
      <c r="V141" s="121">
        <f>MyGrid3[[#This Row],[أبريل]]/$U$187</f>
        <v>0.9365805309734514</v>
      </c>
      <c r="W141" s="122" t="s">
        <v>64</v>
      </c>
      <c r="X141" s="397">
        <v>1290.6300000000001</v>
      </c>
      <c r="Y141" s="118">
        <f>MyGrid3[[#This Row],[مايو]]/$X$187</f>
        <v>0.91237036879944022</v>
      </c>
      <c r="Z141" s="119" t="s">
        <v>64</v>
      </c>
      <c r="AA141" s="123">
        <v>1258.33</v>
      </c>
      <c r="AB141" s="121">
        <f>MyGrid3[[#This Row],[يونيو]]/$AA$187</f>
        <v>5.8075875755757602</v>
      </c>
      <c r="AC141" s="122" t="s">
        <v>64</v>
      </c>
      <c r="AD141" s="123">
        <v>1193.75</v>
      </c>
      <c r="AE141" s="118">
        <f>MyGrid3[[#This Row],[يوليو]]/$AD$187</f>
        <v>1.4692307692307693</v>
      </c>
      <c r="AF141" s="139" t="s">
        <v>64</v>
      </c>
      <c r="AG141" s="144">
        <v>1193.75</v>
      </c>
      <c r="AH141" s="121">
        <f>MyGrid3[[#This Row],[أغسطس]]/$AG$187</f>
        <v>1.4692307692307693</v>
      </c>
      <c r="AI141" s="122" t="s">
        <v>64</v>
      </c>
      <c r="AJ141" s="123">
        <v>1193.75</v>
      </c>
      <c r="AK141" s="118">
        <f>MyGrid3[[#This Row],[سبتمبر]]/$AJ$187</f>
        <v>1.4692307692307693</v>
      </c>
      <c r="AL141" s="119" t="s">
        <v>64</v>
      </c>
      <c r="AM141" s="123">
        <v>1193.75</v>
      </c>
      <c r="AN141" s="121">
        <f>MyGrid3[[#This Row],[أكتوبر]]/$AM$187</f>
        <v>1.4692307692307693</v>
      </c>
      <c r="AO141" s="122" t="s">
        <v>64</v>
      </c>
      <c r="AP141" s="123">
        <v>1193.75</v>
      </c>
      <c r="AQ141" s="125">
        <f>MyGrid3[[#This Row],[نوفمبر]]/$AP$187</f>
        <v>1.4692307692307693</v>
      </c>
      <c r="AR141" s="119" t="s">
        <v>64</v>
      </c>
      <c r="AS141" s="391">
        <v>1193.75</v>
      </c>
      <c r="AT141" s="121">
        <f>MyGrid3[[#This Row],[ديسمبر]]/$AS$187</f>
        <v>1.4692307692307693</v>
      </c>
      <c r="AU141" s="126">
        <f t="shared" si="2"/>
        <v>15003.14</v>
      </c>
      <c r="AV141" s="127">
        <f>MyGrid3[[#This Row],[الإجمالي]]/$AU$187</f>
        <v>1.2341904500232801</v>
      </c>
    </row>
    <row r="142" spans="1:48" s="128" customFormat="1" ht="33" hidden="1" customHeight="1">
      <c r="A142" s="110">
        <f>SUBTOTAL(3,$B$4:B142)</f>
        <v>0</v>
      </c>
      <c r="B142" s="111">
        <v>690256</v>
      </c>
      <c r="C142" s="112" t="s">
        <v>1091</v>
      </c>
      <c r="D142" s="113" t="s">
        <v>1084</v>
      </c>
      <c r="E142" s="160" t="s">
        <v>64</v>
      </c>
      <c r="F142" s="115">
        <f>RANK(G142,MyGrid3[الاساسي])</f>
        <v>135</v>
      </c>
      <c r="G142" s="116">
        <v>350</v>
      </c>
      <c r="H142" s="114" t="s">
        <v>64</v>
      </c>
      <c r="I142" s="115">
        <f>RANK(J142,MyGrid3[يناير])</f>
        <v>66</v>
      </c>
      <c r="J142" s="141">
        <v>537.5</v>
      </c>
      <c r="K142" s="118">
        <f>MyGrid3[[#This Row],[يناير]]/$J$187</f>
        <v>0.38053097345132741</v>
      </c>
      <c r="L142" s="119" t="s">
        <v>64</v>
      </c>
      <c r="M142" s="115">
        <f>RANK(N142,MyGrid3[فبراير])</f>
        <v>85</v>
      </c>
      <c r="N142" s="120">
        <v>537.5</v>
      </c>
      <c r="O142" s="121">
        <f>MyGrid3[[#This Row],[فبراير]]/$N$187</f>
        <v>0.38053097345132741</v>
      </c>
      <c r="P142" s="122" t="s">
        <v>64</v>
      </c>
      <c r="Q142" s="115">
        <f>RANK(R142,MyGrid3[مارس])</f>
        <v>98</v>
      </c>
      <c r="R142" s="123">
        <v>537.5</v>
      </c>
      <c r="S142" s="118">
        <f>MyGrid3[[#This Row],[مارس]]/$R$187</f>
        <v>0.38053097345132741</v>
      </c>
      <c r="T142" s="119" t="s">
        <v>64</v>
      </c>
      <c r="U142" s="397">
        <v>537.5</v>
      </c>
      <c r="V142" s="121">
        <f>MyGrid3[[#This Row],[أبريل]]/$U$187</f>
        <v>0.38053097345132741</v>
      </c>
      <c r="W142" s="122" t="s">
        <v>64</v>
      </c>
      <c r="X142" s="397">
        <v>537.5</v>
      </c>
      <c r="Y142" s="118">
        <f>MyGrid3[[#This Row],[مايو]]/$X$187</f>
        <v>0.37996875419732928</v>
      </c>
      <c r="Z142" s="119" t="s">
        <v>64</v>
      </c>
      <c r="AA142" s="123">
        <v>537.5</v>
      </c>
      <c r="AB142" s="121">
        <f>MyGrid3[[#This Row],[يونيو]]/$AA$187</f>
        <v>2.4807310656759127</v>
      </c>
      <c r="AC142" s="122" t="s">
        <v>64</v>
      </c>
      <c r="AD142" s="123">
        <v>537.5</v>
      </c>
      <c r="AE142" s="118">
        <f>MyGrid3[[#This Row],[يوليو]]/$AD$187</f>
        <v>0.66153846153846152</v>
      </c>
      <c r="AF142" s="139" t="s">
        <v>64</v>
      </c>
      <c r="AG142" s="144">
        <v>537.5</v>
      </c>
      <c r="AH142" s="121">
        <f>MyGrid3[[#This Row],[أغسطس]]/$AG$187</f>
        <v>0.66153846153846152</v>
      </c>
      <c r="AI142" s="122" t="s">
        <v>64</v>
      </c>
      <c r="AJ142" s="123">
        <v>537.5</v>
      </c>
      <c r="AK142" s="118">
        <f>MyGrid3[[#This Row],[سبتمبر]]/$AJ$187</f>
        <v>0.66153846153846152</v>
      </c>
      <c r="AL142" s="119" t="s">
        <v>64</v>
      </c>
      <c r="AM142" s="123">
        <v>537.5</v>
      </c>
      <c r="AN142" s="121">
        <f>MyGrid3[[#This Row],[أكتوبر]]/$AM$187</f>
        <v>0.66153846153846152</v>
      </c>
      <c r="AO142" s="122" t="s">
        <v>64</v>
      </c>
      <c r="AP142" s="123">
        <v>537.5</v>
      </c>
      <c r="AQ142" s="125">
        <f>MyGrid3[[#This Row],[نوفمبر]]/$AP$187</f>
        <v>0.66153846153846152</v>
      </c>
      <c r="AR142" s="119" t="s">
        <v>64</v>
      </c>
      <c r="AS142" s="391">
        <v>537.5</v>
      </c>
      <c r="AT142" s="121">
        <f>MyGrid3[[#This Row],[ديسمبر]]/$AS$187</f>
        <v>0.66153846153846152</v>
      </c>
      <c r="AU142" s="126">
        <f t="shared" si="2"/>
        <v>6450</v>
      </c>
      <c r="AV142" s="127">
        <f>MyGrid3[[#This Row],[الإجمالي]]/$AU$187</f>
        <v>0.53059082316436135</v>
      </c>
    </row>
    <row r="143" spans="1:48" s="128" customFormat="1" ht="33" hidden="1" customHeight="1">
      <c r="A143" s="110">
        <f>SUBTOTAL(3,$B$4:B143)</f>
        <v>0</v>
      </c>
      <c r="B143" s="111">
        <v>690257</v>
      </c>
      <c r="C143" s="112" t="s">
        <v>1092</v>
      </c>
      <c r="D143" s="113" t="s">
        <v>1084</v>
      </c>
      <c r="E143" s="160" t="s">
        <v>64</v>
      </c>
      <c r="F143" s="115">
        <f>RANK(G143,MyGrid3[الاساسي])</f>
        <v>135</v>
      </c>
      <c r="G143" s="116">
        <v>350</v>
      </c>
      <c r="H143" s="114" t="s">
        <v>64</v>
      </c>
      <c r="I143" s="115">
        <f>RANK(J143,MyGrid3[يناير])</f>
        <v>52</v>
      </c>
      <c r="J143" s="141">
        <v>687.5</v>
      </c>
      <c r="K143" s="118">
        <f>MyGrid3[[#This Row],[يناير]]/$J$187</f>
        <v>0.48672566371681414</v>
      </c>
      <c r="L143" s="119" t="s">
        <v>64</v>
      </c>
      <c r="M143" s="115">
        <f>RANK(N143,MyGrid3[فبراير])</f>
        <v>69</v>
      </c>
      <c r="N143" s="120">
        <v>687.5</v>
      </c>
      <c r="O143" s="121">
        <f>MyGrid3[[#This Row],[فبراير]]/$N$187</f>
        <v>0.48672566371681414</v>
      </c>
      <c r="P143" s="122" t="s">
        <v>64</v>
      </c>
      <c r="Q143" s="115">
        <f>RANK(R143,MyGrid3[مارس])</f>
        <v>83</v>
      </c>
      <c r="R143" s="123">
        <v>687.5</v>
      </c>
      <c r="S143" s="118">
        <f>MyGrid3[[#This Row],[مارس]]/$R$187</f>
        <v>0.48672566371681414</v>
      </c>
      <c r="T143" s="119" t="s">
        <v>64</v>
      </c>
      <c r="U143" s="397">
        <v>687.5</v>
      </c>
      <c r="V143" s="121">
        <f>MyGrid3[[#This Row],[أبريل]]/$U$187</f>
        <v>0.48672566371681414</v>
      </c>
      <c r="W143" s="122" t="s">
        <v>64</v>
      </c>
      <c r="X143" s="397">
        <v>716.67</v>
      </c>
      <c r="Y143" s="118">
        <f>MyGrid3[[#This Row],[مايو]]/$X$187</f>
        <v>0.50662736199181391</v>
      </c>
      <c r="Z143" s="119" t="s">
        <v>64</v>
      </c>
      <c r="AA143" s="123">
        <v>716.67</v>
      </c>
      <c r="AB143" s="121">
        <f>MyGrid3[[#This Row],[يونيو]]/$AA$187</f>
        <v>3.3076568052799189</v>
      </c>
      <c r="AC143" s="122" t="s">
        <v>64</v>
      </c>
      <c r="AD143" s="123">
        <v>687.5</v>
      </c>
      <c r="AE143" s="118">
        <f>MyGrid3[[#This Row],[يوليو]]/$AD$187</f>
        <v>0.84615384615384615</v>
      </c>
      <c r="AF143" s="139" t="s">
        <v>64</v>
      </c>
      <c r="AG143" s="144">
        <v>687.5</v>
      </c>
      <c r="AH143" s="121">
        <f>MyGrid3[[#This Row],[أغسطس]]/$AG$187</f>
        <v>0.84615384615384615</v>
      </c>
      <c r="AI143" s="122" t="s">
        <v>64</v>
      </c>
      <c r="AJ143" s="123">
        <v>687.5</v>
      </c>
      <c r="AK143" s="118">
        <f>MyGrid3[[#This Row],[سبتمبر]]/$AJ$187</f>
        <v>0.84615384615384615</v>
      </c>
      <c r="AL143" s="119" t="s">
        <v>64</v>
      </c>
      <c r="AM143" s="123">
        <v>687.5</v>
      </c>
      <c r="AN143" s="121">
        <f>MyGrid3[[#This Row],[أكتوبر]]/$AM$187</f>
        <v>0.84615384615384615</v>
      </c>
      <c r="AO143" s="122" t="s">
        <v>64</v>
      </c>
      <c r="AP143" s="123">
        <v>687.5</v>
      </c>
      <c r="AQ143" s="125">
        <f>MyGrid3[[#This Row],[نوفمبر]]/$AP$187</f>
        <v>0.84615384615384615</v>
      </c>
      <c r="AR143" s="119" t="s">
        <v>64</v>
      </c>
      <c r="AS143" s="391">
        <v>687.5</v>
      </c>
      <c r="AT143" s="121">
        <f>MyGrid3[[#This Row],[ديسمبر]]/$AS$187</f>
        <v>0.84615384615384615</v>
      </c>
      <c r="AU143" s="126">
        <f t="shared" si="2"/>
        <v>8308.34</v>
      </c>
      <c r="AV143" s="127">
        <f>MyGrid3[[#This Row],[الإجمالي]]/$AU$187</f>
        <v>0.68346185422161088</v>
      </c>
    </row>
    <row r="144" spans="1:48" s="128" customFormat="1" ht="33" hidden="1" customHeight="1">
      <c r="A144" s="110">
        <f>SUBTOTAL(3,$B$4:B144)</f>
        <v>0</v>
      </c>
      <c r="B144" s="111">
        <v>690258</v>
      </c>
      <c r="C144" s="112" t="s">
        <v>1093</v>
      </c>
      <c r="D144" s="113" t="s">
        <v>1084</v>
      </c>
      <c r="E144" s="160" t="s">
        <v>64</v>
      </c>
      <c r="F144" s="115">
        <f>RANK(G144,MyGrid3[الاساسي])</f>
        <v>135</v>
      </c>
      <c r="G144" s="116">
        <v>350</v>
      </c>
      <c r="H144" s="114" t="s">
        <v>64</v>
      </c>
      <c r="I144" s="115">
        <f>RANK(J144,MyGrid3[يناير])</f>
        <v>62</v>
      </c>
      <c r="J144" s="141">
        <v>672.5</v>
      </c>
      <c r="K144" s="118">
        <f>MyGrid3[[#This Row],[يناير]]/$J$187</f>
        <v>0.47610619469026549</v>
      </c>
      <c r="L144" s="119" t="s">
        <v>64</v>
      </c>
      <c r="M144" s="115">
        <f>RANK(N144,MyGrid3[فبراير])</f>
        <v>79</v>
      </c>
      <c r="N144" s="120">
        <v>672.5</v>
      </c>
      <c r="O144" s="121">
        <f>MyGrid3[[#This Row],[فبراير]]/$N$187</f>
        <v>0.47610619469026549</v>
      </c>
      <c r="P144" s="122" t="s">
        <v>64</v>
      </c>
      <c r="Q144" s="115">
        <f>RANK(R144,MyGrid3[مارس])</f>
        <v>92</v>
      </c>
      <c r="R144" s="123">
        <v>672.5</v>
      </c>
      <c r="S144" s="118">
        <f>MyGrid3[[#This Row],[مارس]]/$R$187</f>
        <v>0.47610619469026549</v>
      </c>
      <c r="T144" s="119" t="s">
        <v>64</v>
      </c>
      <c r="U144" s="397">
        <v>672.5</v>
      </c>
      <c r="V144" s="121">
        <f>MyGrid3[[#This Row],[أبريل]]/$U$187</f>
        <v>0.47610619469026549</v>
      </c>
      <c r="W144" s="122" t="s">
        <v>64</v>
      </c>
      <c r="X144" s="397">
        <v>701.67</v>
      </c>
      <c r="Y144" s="118">
        <f>MyGrid3[[#This Row],[مايو]]/$X$187</f>
        <v>0.49602358280491166</v>
      </c>
      <c r="Z144" s="119" t="s">
        <v>64</v>
      </c>
      <c r="AA144" s="123">
        <v>716.67</v>
      </c>
      <c r="AB144" s="121">
        <f>MyGrid3[[#This Row],[يونيو]]/$AA$187</f>
        <v>3.3076568052799189</v>
      </c>
      <c r="AC144" s="122" t="s">
        <v>64</v>
      </c>
      <c r="AD144" s="123">
        <v>687.5</v>
      </c>
      <c r="AE144" s="118">
        <f>MyGrid3[[#This Row],[يوليو]]/$AD$187</f>
        <v>0.84615384615384615</v>
      </c>
      <c r="AF144" s="139" t="s">
        <v>64</v>
      </c>
      <c r="AG144" s="144">
        <v>687.5</v>
      </c>
      <c r="AH144" s="121">
        <f>MyGrid3[[#This Row],[أغسطس]]/$AG$187</f>
        <v>0.84615384615384615</v>
      </c>
      <c r="AI144" s="122" t="s">
        <v>64</v>
      </c>
      <c r="AJ144" s="123">
        <v>687.5</v>
      </c>
      <c r="AK144" s="118">
        <f>MyGrid3[[#This Row],[سبتمبر]]/$AJ$187</f>
        <v>0.84615384615384615</v>
      </c>
      <c r="AL144" s="119" t="s">
        <v>64</v>
      </c>
      <c r="AM144" s="123">
        <v>687.5</v>
      </c>
      <c r="AN144" s="121">
        <f>MyGrid3[[#This Row],[أكتوبر]]/$AM$187</f>
        <v>0.84615384615384615</v>
      </c>
      <c r="AO144" s="122" t="s">
        <v>64</v>
      </c>
      <c r="AP144" s="123">
        <v>687.5</v>
      </c>
      <c r="AQ144" s="125">
        <f>MyGrid3[[#This Row],[نوفمبر]]/$AP$187</f>
        <v>0.84615384615384615</v>
      </c>
      <c r="AR144" s="119" t="s">
        <v>64</v>
      </c>
      <c r="AS144" s="391">
        <v>687.5</v>
      </c>
      <c r="AT144" s="121">
        <f>MyGrid3[[#This Row],[ديسمبر]]/$AS$187</f>
        <v>0.84615384615384615</v>
      </c>
      <c r="AU144" s="126">
        <f t="shared" si="2"/>
        <v>8233.34</v>
      </c>
      <c r="AV144" s="127">
        <f>MyGrid3[[#This Row],[الإجمالي]]/$AU$187</f>
        <v>0.67729219348714165</v>
      </c>
    </row>
    <row r="145" spans="1:48" s="128" customFormat="1" ht="33" hidden="1" customHeight="1">
      <c r="A145" s="110">
        <f>SUBTOTAL(3,$B$4:B145)</f>
        <v>0</v>
      </c>
      <c r="B145" s="111">
        <v>690259</v>
      </c>
      <c r="C145" s="112" t="s">
        <v>1094</v>
      </c>
      <c r="D145" s="113" t="s">
        <v>1084</v>
      </c>
      <c r="E145" s="160" t="s">
        <v>64</v>
      </c>
      <c r="F145" s="115">
        <f>RANK(G145,MyGrid3[الاساسي])</f>
        <v>135</v>
      </c>
      <c r="G145" s="116">
        <v>350</v>
      </c>
      <c r="H145" s="114" t="s">
        <v>64</v>
      </c>
      <c r="I145" s="115">
        <f>RANK(J145,MyGrid3[يناير])</f>
        <v>52</v>
      </c>
      <c r="J145" s="141">
        <v>687.5</v>
      </c>
      <c r="K145" s="118">
        <f>MyGrid3[[#This Row],[يناير]]/$J$187</f>
        <v>0.48672566371681414</v>
      </c>
      <c r="L145" s="119" t="s">
        <v>64</v>
      </c>
      <c r="M145" s="115">
        <f>RANK(N145,MyGrid3[فبراير])</f>
        <v>69</v>
      </c>
      <c r="N145" s="120">
        <v>687.5</v>
      </c>
      <c r="O145" s="121">
        <f>MyGrid3[[#This Row],[فبراير]]/$N$187</f>
        <v>0.48672566371681414</v>
      </c>
      <c r="P145" s="122" t="s">
        <v>64</v>
      </c>
      <c r="Q145" s="115">
        <f>RANK(R145,MyGrid3[مارس])</f>
        <v>83</v>
      </c>
      <c r="R145" s="123">
        <v>687.5</v>
      </c>
      <c r="S145" s="118">
        <f>MyGrid3[[#This Row],[مارس]]/$R$187</f>
        <v>0.48672566371681414</v>
      </c>
      <c r="T145" s="119" t="s">
        <v>64</v>
      </c>
      <c r="U145" s="397">
        <v>687.5</v>
      </c>
      <c r="V145" s="121">
        <f>MyGrid3[[#This Row],[أبريل]]/$U$187</f>
        <v>0.48672566371681414</v>
      </c>
      <c r="W145" s="122" t="s">
        <v>64</v>
      </c>
      <c r="X145" s="397">
        <v>716.67</v>
      </c>
      <c r="Y145" s="118">
        <f>MyGrid3[[#This Row],[مايو]]/$X$187</f>
        <v>0.50662736199181391</v>
      </c>
      <c r="Z145" s="119" t="s">
        <v>64</v>
      </c>
      <c r="AA145" s="123">
        <v>716.67</v>
      </c>
      <c r="AB145" s="121">
        <f>MyGrid3[[#This Row],[يونيو]]/$AA$187</f>
        <v>3.3076568052799189</v>
      </c>
      <c r="AC145" s="122" t="s">
        <v>64</v>
      </c>
      <c r="AD145" s="123">
        <v>687.5</v>
      </c>
      <c r="AE145" s="118">
        <f>MyGrid3[[#This Row],[يوليو]]/$AD$187</f>
        <v>0.84615384615384615</v>
      </c>
      <c r="AF145" s="139" t="s">
        <v>64</v>
      </c>
      <c r="AG145" s="144">
        <v>687.5</v>
      </c>
      <c r="AH145" s="121">
        <f>MyGrid3[[#This Row],[أغسطس]]/$AG$187</f>
        <v>0.84615384615384615</v>
      </c>
      <c r="AI145" s="122" t="s">
        <v>64</v>
      </c>
      <c r="AJ145" s="123">
        <v>687.5</v>
      </c>
      <c r="AK145" s="118">
        <f>MyGrid3[[#This Row],[سبتمبر]]/$AJ$187</f>
        <v>0.84615384615384615</v>
      </c>
      <c r="AL145" s="119" t="s">
        <v>64</v>
      </c>
      <c r="AM145" s="123">
        <v>687.5</v>
      </c>
      <c r="AN145" s="121">
        <f>MyGrid3[[#This Row],[أكتوبر]]/$AM$187</f>
        <v>0.84615384615384615</v>
      </c>
      <c r="AO145" s="122" t="s">
        <v>64</v>
      </c>
      <c r="AP145" s="123">
        <v>687.5</v>
      </c>
      <c r="AQ145" s="125">
        <f>MyGrid3[[#This Row],[نوفمبر]]/$AP$187</f>
        <v>0.84615384615384615</v>
      </c>
      <c r="AR145" s="119" t="s">
        <v>64</v>
      </c>
      <c r="AS145" s="391">
        <v>687.5</v>
      </c>
      <c r="AT145" s="121">
        <f>MyGrid3[[#This Row],[ديسمبر]]/$AS$187</f>
        <v>0.84615384615384615</v>
      </c>
      <c r="AU145" s="126">
        <f t="shared" ref="AU145:AU185" si="3">J145+N145+R145+U145+X145+AA145+AD145+AG145+AJ145+AM145+AP145+AS145</f>
        <v>8308.34</v>
      </c>
      <c r="AV145" s="127">
        <f>MyGrid3[[#This Row],[الإجمالي]]/$AU$187</f>
        <v>0.68346185422161088</v>
      </c>
    </row>
    <row r="146" spans="1:48" s="128" customFormat="1" ht="33" hidden="1" customHeight="1">
      <c r="A146" s="110">
        <f>SUBTOTAL(3,$B$4:B146)</f>
        <v>0</v>
      </c>
      <c r="B146" s="111">
        <v>690260</v>
      </c>
      <c r="C146" s="112" t="s">
        <v>1095</v>
      </c>
      <c r="D146" s="113" t="s">
        <v>1084</v>
      </c>
      <c r="E146" s="160" t="s">
        <v>64</v>
      </c>
      <c r="F146" s="115">
        <f>RANK(G146,MyGrid3[الاساسي])</f>
        <v>135</v>
      </c>
      <c r="G146" s="116">
        <v>350</v>
      </c>
      <c r="H146" s="114" t="s">
        <v>64</v>
      </c>
      <c r="I146" s="115">
        <f>RANK(J146,MyGrid3[يناير])</f>
        <v>52</v>
      </c>
      <c r="J146" s="141">
        <v>687.5</v>
      </c>
      <c r="K146" s="118">
        <f>MyGrid3[[#This Row],[يناير]]/$J$187</f>
        <v>0.48672566371681414</v>
      </c>
      <c r="L146" s="119" t="s">
        <v>64</v>
      </c>
      <c r="M146" s="115">
        <f>RANK(N146,MyGrid3[فبراير])</f>
        <v>69</v>
      </c>
      <c r="N146" s="120">
        <v>687.5</v>
      </c>
      <c r="O146" s="121">
        <f>MyGrid3[[#This Row],[فبراير]]/$N$187</f>
        <v>0.48672566371681414</v>
      </c>
      <c r="P146" s="122" t="s">
        <v>64</v>
      </c>
      <c r="Q146" s="115">
        <f>RANK(R146,MyGrid3[مارس])</f>
        <v>83</v>
      </c>
      <c r="R146" s="123">
        <v>687.5</v>
      </c>
      <c r="S146" s="118">
        <f>MyGrid3[[#This Row],[مارس]]/$R$187</f>
        <v>0.48672566371681414</v>
      </c>
      <c r="T146" s="119" t="s">
        <v>64</v>
      </c>
      <c r="U146" s="397">
        <v>687.5</v>
      </c>
      <c r="V146" s="121">
        <f>MyGrid3[[#This Row],[أبريل]]/$U$187</f>
        <v>0.48672566371681414</v>
      </c>
      <c r="W146" s="122" t="s">
        <v>64</v>
      </c>
      <c r="X146" s="397">
        <v>716.67</v>
      </c>
      <c r="Y146" s="118">
        <f>MyGrid3[[#This Row],[مايو]]/$X$187</f>
        <v>0.50662736199181391</v>
      </c>
      <c r="Z146" s="119" t="s">
        <v>64</v>
      </c>
      <c r="AA146" s="123">
        <v>716.67</v>
      </c>
      <c r="AB146" s="121">
        <f>MyGrid3[[#This Row],[يونيو]]/$AA$187</f>
        <v>3.3076568052799189</v>
      </c>
      <c r="AC146" s="122" t="s">
        <v>64</v>
      </c>
      <c r="AD146" s="123">
        <v>687.5</v>
      </c>
      <c r="AE146" s="118">
        <f>MyGrid3[[#This Row],[يوليو]]/$AD$187</f>
        <v>0.84615384615384615</v>
      </c>
      <c r="AF146" s="139" t="s">
        <v>64</v>
      </c>
      <c r="AG146" s="144">
        <v>687.5</v>
      </c>
      <c r="AH146" s="121">
        <f>MyGrid3[[#This Row],[أغسطس]]/$AG$187</f>
        <v>0.84615384615384615</v>
      </c>
      <c r="AI146" s="122" t="s">
        <v>64</v>
      </c>
      <c r="AJ146" s="123">
        <v>687.5</v>
      </c>
      <c r="AK146" s="118">
        <f>MyGrid3[[#This Row],[سبتمبر]]/$AJ$187</f>
        <v>0.84615384615384615</v>
      </c>
      <c r="AL146" s="119" t="s">
        <v>64</v>
      </c>
      <c r="AM146" s="123">
        <v>687.5</v>
      </c>
      <c r="AN146" s="121">
        <f>MyGrid3[[#This Row],[أكتوبر]]/$AM$187</f>
        <v>0.84615384615384615</v>
      </c>
      <c r="AO146" s="122" t="s">
        <v>64</v>
      </c>
      <c r="AP146" s="123">
        <v>687.5</v>
      </c>
      <c r="AQ146" s="125">
        <f>MyGrid3[[#This Row],[نوفمبر]]/$AP$187</f>
        <v>0.84615384615384615</v>
      </c>
      <c r="AR146" s="119" t="s">
        <v>64</v>
      </c>
      <c r="AS146" s="391">
        <v>687.5</v>
      </c>
      <c r="AT146" s="121">
        <f>MyGrid3[[#This Row],[ديسمبر]]/$AS$187</f>
        <v>0.84615384615384615</v>
      </c>
      <c r="AU146" s="126">
        <f t="shared" si="3"/>
        <v>8308.34</v>
      </c>
      <c r="AV146" s="127">
        <f>MyGrid3[[#This Row],[الإجمالي]]/$AU$187</f>
        <v>0.68346185422161088</v>
      </c>
    </row>
    <row r="147" spans="1:48" s="128" customFormat="1" ht="33" hidden="1" customHeight="1">
      <c r="A147" s="110">
        <f>SUBTOTAL(3,$B$4:B147)</f>
        <v>0</v>
      </c>
      <c r="B147" s="111">
        <v>690261</v>
      </c>
      <c r="C147" s="112" t="s">
        <v>1096</v>
      </c>
      <c r="D147" s="113" t="s">
        <v>1084</v>
      </c>
      <c r="E147" s="160" t="s">
        <v>64</v>
      </c>
      <c r="F147" s="115">
        <f>RANK(G147,MyGrid3[الاساسي])</f>
        <v>103</v>
      </c>
      <c r="G147" s="116">
        <v>650</v>
      </c>
      <c r="H147" s="114" t="s">
        <v>64</v>
      </c>
      <c r="I147" s="115">
        <f>RANK(J147,MyGrid3[يناير])</f>
        <v>41</v>
      </c>
      <c r="J147" s="141">
        <v>962.5</v>
      </c>
      <c r="K147" s="118">
        <f>MyGrid3[[#This Row],[يناير]]/$J$187</f>
        <v>0.68141592920353977</v>
      </c>
      <c r="L147" s="119" t="s">
        <v>64</v>
      </c>
      <c r="M147" s="115">
        <f>RANK(N147,MyGrid3[فبراير])</f>
        <v>45</v>
      </c>
      <c r="N147" s="120">
        <v>962.5</v>
      </c>
      <c r="O147" s="121">
        <f>MyGrid3[[#This Row],[فبراير]]/$N$187</f>
        <v>0.68141592920353977</v>
      </c>
      <c r="P147" s="122" t="s">
        <v>64</v>
      </c>
      <c r="Q147" s="115">
        <f>RANK(R147,MyGrid3[مارس])</f>
        <v>57</v>
      </c>
      <c r="R147" s="123">
        <v>962.5</v>
      </c>
      <c r="S147" s="118">
        <f>MyGrid3[[#This Row],[مارس]]/$R$187</f>
        <v>0.68141592920353977</v>
      </c>
      <c r="T147" s="119" t="s">
        <v>64</v>
      </c>
      <c r="U147" s="397">
        <v>962.5</v>
      </c>
      <c r="V147" s="121">
        <f>MyGrid3[[#This Row],[أبريل]]/$U$187</f>
        <v>0.68141592920353977</v>
      </c>
      <c r="W147" s="122" t="s">
        <v>64</v>
      </c>
      <c r="X147" s="397">
        <v>1016.67</v>
      </c>
      <c r="Y147" s="118">
        <f>MyGrid3[[#This Row],[مايو]]/$X$187</f>
        <v>0.71870294572985816</v>
      </c>
      <c r="Z147" s="119" t="s">
        <v>64</v>
      </c>
      <c r="AA147" s="123">
        <v>1016.67</v>
      </c>
      <c r="AB147" s="121">
        <f>MyGrid3[[#This Row],[يونيو]]/$AA$187</f>
        <v>4.6922508884478704</v>
      </c>
      <c r="AC147" s="122" t="s">
        <v>64</v>
      </c>
      <c r="AD147" s="123">
        <v>962.5</v>
      </c>
      <c r="AE147" s="118">
        <f>MyGrid3[[#This Row],[يوليو]]/$AD$187</f>
        <v>1.1846153846153846</v>
      </c>
      <c r="AF147" s="139" t="s">
        <v>64</v>
      </c>
      <c r="AG147" s="144">
        <v>962.5</v>
      </c>
      <c r="AH147" s="121">
        <f>MyGrid3[[#This Row],[أغسطس]]/$AG$187</f>
        <v>1.1846153846153846</v>
      </c>
      <c r="AI147" s="122" t="s">
        <v>64</v>
      </c>
      <c r="AJ147" s="123">
        <v>962.5</v>
      </c>
      <c r="AK147" s="118">
        <f>MyGrid3[[#This Row],[سبتمبر]]/$AJ$187</f>
        <v>1.1846153846153846</v>
      </c>
      <c r="AL147" s="119" t="s">
        <v>64</v>
      </c>
      <c r="AM147" s="123">
        <v>962.5</v>
      </c>
      <c r="AN147" s="121">
        <f>MyGrid3[[#This Row],[أكتوبر]]/$AM$187</f>
        <v>1.1846153846153846</v>
      </c>
      <c r="AO147" s="122" t="s">
        <v>64</v>
      </c>
      <c r="AP147" s="123">
        <v>962.5</v>
      </c>
      <c r="AQ147" s="125">
        <f>MyGrid3[[#This Row],[نوفمبر]]/$AP$187</f>
        <v>1.1846153846153846</v>
      </c>
      <c r="AR147" s="119" t="s">
        <v>64</v>
      </c>
      <c r="AS147" s="391">
        <v>962.5</v>
      </c>
      <c r="AT147" s="121">
        <f>MyGrid3[[#This Row],[ديسمبر]]/$AS$187</f>
        <v>1.1846153846153846</v>
      </c>
      <c r="AU147" s="126">
        <f t="shared" si="3"/>
        <v>11658.34</v>
      </c>
      <c r="AV147" s="127">
        <f>MyGrid3[[#This Row],[الإجمالي]]/$AU$187</f>
        <v>0.9590400336945738</v>
      </c>
    </row>
    <row r="148" spans="1:48" s="128" customFormat="1" ht="33" hidden="1" customHeight="1">
      <c r="A148" s="110">
        <f>SUBTOTAL(3,$B$4:B148)</f>
        <v>0</v>
      </c>
      <c r="B148" s="111">
        <v>690262</v>
      </c>
      <c r="C148" s="112" t="s">
        <v>1097</v>
      </c>
      <c r="D148" s="113" t="s">
        <v>1084</v>
      </c>
      <c r="E148" s="160" t="s">
        <v>64</v>
      </c>
      <c r="F148" s="115">
        <f>RANK(G148,MyGrid3[الاساسي])</f>
        <v>135</v>
      </c>
      <c r="G148" s="116">
        <v>350</v>
      </c>
      <c r="H148" s="114" t="s">
        <v>64</v>
      </c>
      <c r="I148" s="115">
        <f>RANK(J148,MyGrid3[يناير])</f>
        <v>52</v>
      </c>
      <c r="J148" s="141">
        <v>687.5</v>
      </c>
      <c r="K148" s="118">
        <f>MyGrid3[[#This Row],[يناير]]/$J$187</f>
        <v>0.48672566371681414</v>
      </c>
      <c r="L148" s="119" t="s">
        <v>64</v>
      </c>
      <c r="M148" s="115">
        <f>RANK(N148,MyGrid3[فبراير])</f>
        <v>69</v>
      </c>
      <c r="N148" s="120">
        <v>687.5</v>
      </c>
      <c r="O148" s="121">
        <f>MyGrid3[[#This Row],[فبراير]]/$N$187</f>
        <v>0.48672566371681414</v>
      </c>
      <c r="P148" s="122" t="s">
        <v>64</v>
      </c>
      <c r="Q148" s="115">
        <f>RANK(R148,MyGrid3[مارس])</f>
        <v>83</v>
      </c>
      <c r="R148" s="123">
        <v>687.5</v>
      </c>
      <c r="S148" s="118">
        <f>MyGrid3[[#This Row],[مارس]]/$R$187</f>
        <v>0.48672566371681414</v>
      </c>
      <c r="T148" s="119" t="s">
        <v>64</v>
      </c>
      <c r="U148" s="397">
        <v>687.5</v>
      </c>
      <c r="V148" s="121">
        <f>MyGrid3[[#This Row],[أبريل]]/$U$187</f>
        <v>0.48672566371681414</v>
      </c>
      <c r="W148" s="122" t="s">
        <v>64</v>
      </c>
      <c r="X148" s="397">
        <v>716.67</v>
      </c>
      <c r="Y148" s="118">
        <f>MyGrid3[[#This Row],[مايو]]/$X$187</f>
        <v>0.50662736199181391</v>
      </c>
      <c r="Z148" s="119" t="s">
        <v>64</v>
      </c>
      <c r="AA148" s="123">
        <v>716.67</v>
      </c>
      <c r="AB148" s="121">
        <f>MyGrid3[[#This Row],[يونيو]]/$AA$187</f>
        <v>3.3076568052799189</v>
      </c>
      <c r="AC148" s="122" t="s">
        <v>64</v>
      </c>
      <c r="AD148" s="123">
        <v>687.5</v>
      </c>
      <c r="AE148" s="118">
        <f>MyGrid3[[#This Row],[يوليو]]/$AD$187</f>
        <v>0.84615384615384615</v>
      </c>
      <c r="AF148" s="139" t="s">
        <v>64</v>
      </c>
      <c r="AG148" s="144">
        <v>687.5</v>
      </c>
      <c r="AH148" s="121">
        <f>MyGrid3[[#This Row],[أغسطس]]/$AG$187</f>
        <v>0.84615384615384615</v>
      </c>
      <c r="AI148" s="122" t="s">
        <v>64</v>
      </c>
      <c r="AJ148" s="123">
        <v>687.5</v>
      </c>
      <c r="AK148" s="118">
        <f>MyGrid3[[#This Row],[سبتمبر]]/$AJ$187</f>
        <v>0.84615384615384615</v>
      </c>
      <c r="AL148" s="119" t="s">
        <v>64</v>
      </c>
      <c r="AM148" s="123">
        <v>687.5</v>
      </c>
      <c r="AN148" s="121">
        <f>MyGrid3[[#This Row],[أكتوبر]]/$AM$187</f>
        <v>0.84615384615384615</v>
      </c>
      <c r="AO148" s="122" t="s">
        <v>64</v>
      </c>
      <c r="AP148" s="123">
        <v>687.5</v>
      </c>
      <c r="AQ148" s="125">
        <f>MyGrid3[[#This Row],[نوفمبر]]/$AP$187</f>
        <v>0.84615384615384615</v>
      </c>
      <c r="AR148" s="119" t="s">
        <v>64</v>
      </c>
      <c r="AS148" s="391">
        <v>687.5</v>
      </c>
      <c r="AT148" s="121">
        <f>MyGrid3[[#This Row],[ديسمبر]]/$AS$187</f>
        <v>0.84615384615384615</v>
      </c>
      <c r="AU148" s="126">
        <f t="shared" si="3"/>
        <v>8308.34</v>
      </c>
      <c r="AV148" s="127">
        <f>MyGrid3[[#This Row],[الإجمالي]]/$AU$187</f>
        <v>0.68346185422161088</v>
      </c>
    </row>
    <row r="149" spans="1:48" s="128" customFormat="1" ht="33" hidden="1" customHeight="1">
      <c r="A149" s="110">
        <f>SUBTOTAL(3,$B$4:B149)</f>
        <v>0</v>
      </c>
      <c r="B149" s="111">
        <v>690263</v>
      </c>
      <c r="C149" s="112" t="s">
        <v>1098</v>
      </c>
      <c r="D149" s="113" t="s">
        <v>1099</v>
      </c>
      <c r="E149" s="160" t="s">
        <v>64</v>
      </c>
      <c r="F149" s="115">
        <f>RANK(G149,MyGrid3[الاساسي])</f>
        <v>135</v>
      </c>
      <c r="G149" s="116">
        <v>350</v>
      </c>
      <c r="H149" s="114" t="s">
        <v>64</v>
      </c>
      <c r="I149" s="115">
        <f>RANK(J149,MyGrid3[يناير])</f>
        <v>52</v>
      </c>
      <c r="J149" s="141">
        <v>687.5</v>
      </c>
      <c r="K149" s="118">
        <f>MyGrid3[[#This Row],[يناير]]/$J$187</f>
        <v>0.48672566371681414</v>
      </c>
      <c r="L149" s="119" t="s">
        <v>64</v>
      </c>
      <c r="M149" s="115">
        <f>RANK(N149,MyGrid3[فبراير])</f>
        <v>69</v>
      </c>
      <c r="N149" s="120">
        <v>687.5</v>
      </c>
      <c r="O149" s="121">
        <f>MyGrid3[[#This Row],[فبراير]]/$N$187</f>
        <v>0.48672566371681414</v>
      </c>
      <c r="P149" s="122" t="s">
        <v>64</v>
      </c>
      <c r="Q149" s="115">
        <f>RANK(R149,MyGrid3[مارس])</f>
        <v>83</v>
      </c>
      <c r="R149" s="123">
        <v>687.5</v>
      </c>
      <c r="S149" s="118">
        <f>MyGrid3[[#This Row],[مارس]]/$R$187</f>
        <v>0.48672566371681414</v>
      </c>
      <c r="T149" s="119" t="s">
        <v>64</v>
      </c>
      <c r="U149" s="397">
        <v>687.5</v>
      </c>
      <c r="V149" s="121">
        <f>MyGrid3[[#This Row],[أبريل]]/$U$187</f>
        <v>0.48672566371681414</v>
      </c>
      <c r="W149" s="122" t="s">
        <v>64</v>
      </c>
      <c r="X149" s="397">
        <v>716.67</v>
      </c>
      <c r="Y149" s="118">
        <f>MyGrid3[[#This Row],[مايو]]/$X$187</f>
        <v>0.50662736199181391</v>
      </c>
      <c r="Z149" s="119" t="s">
        <v>64</v>
      </c>
      <c r="AA149" s="123">
        <v>716.67</v>
      </c>
      <c r="AB149" s="121">
        <f>MyGrid3[[#This Row],[يونيو]]/$AA$187</f>
        <v>3.3076568052799189</v>
      </c>
      <c r="AC149" s="122" t="s">
        <v>64</v>
      </c>
      <c r="AD149" s="123">
        <v>687.5</v>
      </c>
      <c r="AE149" s="118">
        <f>MyGrid3[[#This Row],[يوليو]]/$AD$187</f>
        <v>0.84615384615384615</v>
      </c>
      <c r="AF149" s="139" t="s">
        <v>64</v>
      </c>
      <c r="AG149" s="144">
        <v>687.5</v>
      </c>
      <c r="AH149" s="121">
        <f>MyGrid3[[#This Row],[أغسطس]]/$AG$187</f>
        <v>0.84615384615384615</v>
      </c>
      <c r="AI149" s="122" t="s">
        <v>64</v>
      </c>
      <c r="AJ149" s="123">
        <v>687.5</v>
      </c>
      <c r="AK149" s="118">
        <f>MyGrid3[[#This Row],[سبتمبر]]/$AJ$187</f>
        <v>0.84615384615384615</v>
      </c>
      <c r="AL149" s="119" t="s">
        <v>64</v>
      </c>
      <c r="AM149" s="123">
        <v>687.5</v>
      </c>
      <c r="AN149" s="121">
        <f>MyGrid3[[#This Row],[أكتوبر]]/$AM$187</f>
        <v>0.84615384615384615</v>
      </c>
      <c r="AO149" s="122" t="s">
        <v>64</v>
      </c>
      <c r="AP149" s="123">
        <v>687.5</v>
      </c>
      <c r="AQ149" s="125">
        <f>MyGrid3[[#This Row],[نوفمبر]]/$AP$187</f>
        <v>0.84615384615384615</v>
      </c>
      <c r="AR149" s="119" t="s">
        <v>64</v>
      </c>
      <c r="AS149" s="391">
        <v>687.5</v>
      </c>
      <c r="AT149" s="121">
        <f>MyGrid3[[#This Row],[ديسمبر]]/$AS$187</f>
        <v>0.84615384615384615</v>
      </c>
      <c r="AU149" s="126">
        <f t="shared" si="3"/>
        <v>8308.34</v>
      </c>
      <c r="AV149" s="127">
        <f>MyGrid3[[#This Row],[الإجمالي]]/$AU$187</f>
        <v>0.68346185422161088</v>
      </c>
    </row>
    <row r="150" spans="1:48" s="128" customFormat="1" ht="33" hidden="1" customHeight="1">
      <c r="A150" s="110">
        <f>SUBTOTAL(3,$B$4:B150)</f>
        <v>0</v>
      </c>
      <c r="B150" s="111">
        <v>690264</v>
      </c>
      <c r="C150" s="112" t="s">
        <v>1100</v>
      </c>
      <c r="D150" s="113" t="s">
        <v>1099</v>
      </c>
      <c r="E150" s="160" t="s">
        <v>64</v>
      </c>
      <c r="F150" s="115">
        <f>RANK(G150,MyGrid3[الاساسي])</f>
        <v>135</v>
      </c>
      <c r="G150" s="116">
        <v>350</v>
      </c>
      <c r="H150" s="114" t="s">
        <v>64</v>
      </c>
      <c r="I150" s="115">
        <f>RANK(J150,MyGrid3[يناير])</f>
        <v>49</v>
      </c>
      <c r="J150" s="141">
        <v>775</v>
      </c>
      <c r="K150" s="118">
        <f>MyGrid3[[#This Row],[يناير]]/$J$187</f>
        <v>0.54867256637168138</v>
      </c>
      <c r="L150" s="119" t="s">
        <v>64</v>
      </c>
      <c r="M150" s="115">
        <f>RANK(N150,MyGrid3[فبراير])</f>
        <v>65</v>
      </c>
      <c r="N150" s="120">
        <v>775</v>
      </c>
      <c r="O150" s="121">
        <f>MyGrid3[[#This Row],[فبراير]]/$N$187</f>
        <v>0.54867256637168138</v>
      </c>
      <c r="P150" s="122" t="s">
        <v>64</v>
      </c>
      <c r="Q150" s="115">
        <f>RANK(R150,MyGrid3[مارس])</f>
        <v>78</v>
      </c>
      <c r="R150" s="123">
        <v>775</v>
      </c>
      <c r="S150" s="118">
        <f>MyGrid3[[#This Row],[مارس]]/$R$187</f>
        <v>0.54867256637168138</v>
      </c>
      <c r="T150" s="119" t="s">
        <v>64</v>
      </c>
      <c r="U150" s="397">
        <v>775</v>
      </c>
      <c r="V150" s="121">
        <f>MyGrid3[[#This Row],[أبريل]]/$U$187</f>
        <v>0.54867256637168138</v>
      </c>
      <c r="W150" s="122" t="s">
        <v>64</v>
      </c>
      <c r="X150" s="397">
        <v>760.42</v>
      </c>
      <c r="Y150" s="118">
        <f>MyGrid3[[#This Row],[مايو]]/$X$187</f>
        <v>0.53755505128694536</v>
      </c>
      <c r="Z150" s="119" t="s">
        <v>64</v>
      </c>
      <c r="AA150" s="123">
        <v>760.42</v>
      </c>
      <c r="AB150" s="121">
        <f>MyGrid3[[#This Row],[يونيو]]/$AA$187</f>
        <v>3.5095767757419116</v>
      </c>
      <c r="AC150" s="122" t="s">
        <v>64</v>
      </c>
      <c r="AD150" s="123">
        <v>687.5</v>
      </c>
      <c r="AE150" s="118">
        <f>MyGrid3[[#This Row],[يوليو]]/$AD$187</f>
        <v>0.84615384615384615</v>
      </c>
      <c r="AF150" s="139" t="s">
        <v>64</v>
      </c>
      <c r="AG150" s="144">
        <v>687.5</v>
      </c>
      <c r="AH150" s="121">
        <f>MyGrid3[[#This Row],[أغسطس]]/$AG$187</f>
        <v>0.84615384615384615</v>
      </c>
      <c r="AI150" s="122" t="s">
        <v>64</v>
      </c>
      <c r="AJ150" s="123">
        <v>687.5</v>
      </c>
      <c r="AK150" s="118">
        <f>MyGrid3[[#This Row],[سبتمبر]]/$AJ$187</f>
        <v>0.84615384615384615</v>
      </c>
      <c r="AL150" s="119" t="s">
        <v>64</v>
      </c>
      <c r="AM150" s="123">
        <v>687.5</v>
      </c>
      <c r="AN150" s="121">
        <f>MyGrid3[[#This Row],[أكتوبر]]/$AM$187</f>
        <v>0.84615384615384615</v>
      </c>
      <c r="AO150" s="122" t="s">
        <v>64</v>
      </c>
      <c r="AP150" s="123">
        <v>687.5</v>
      </c>
      <c r="AQ150" s="125">
        <f>MyGrid3[[#This Row],[نوفمبر]]/$AP$187</f>
        <v>0.84615384615384615</v>
      </c>
      <c r="AR150" s="119" t="s">
        <v>64</v>
      </c>
      <c r="AS150" s="391">
        <v>687.5</v>
      </c>
      <c r="AT150" s="121">
        <f>MyGrid3[[#This Row],[ديسمبر]]/$AS$187</f>
        <v>0.84615384615384615</v>
      </c>
      <c r="AU150" s="126">
        <f t="shared" si="3"/>
        <v>8745.84</v>
      </c>
      <c r="AV150" s="127">
        <f>MyGrid3[[#This Row],[الإجمالي]]/$AU$187</f>
        <v>0.71945154183934856</v>
      </c>
    </row>
    <row r="151" spans="1:48" s="128" customFormat="1" ht="33" hidden="1" customHeight="1">
      <c r="A151" s="110">
        <f>SUBTOTAL(3,$B$4:B151)</f>
        <v>0</v>
      </c>
      <c r="B151" s="111">
        <v>690265</v>
      </c>
      <c r="C151" s="112" t="s">
        <v>1101</v>
      </c>
      <c r="D151" s="113" t="s">
        <v>1099</v>
      </c>
      <c r="E151" s="160" t="s">
        <v>64</v>
      </c>
      <c r="F151" s="115">
        <f>RANK(G151,MyGrid3[الاساسي])</f>
        <v>135</v>
      </c>
      <c r="G151" s="116">
        <v>350</v>
      </c>
      <c r="H151" s="131"/>
      <c r="I151" s="132">
        <f>RANK(J151,MyGrid3[يناير])</f>
        <v>81</v>
      </c>
      <c r="J151" s="117"/>
      <c r="K151" s="118">
        <f>MyGrid3[[#This Row],[يناير]]/$J$187</f>
        <v>0</v>
      </c>
      <c r="L151" s="119" t="s">
        <v>64</v>
      </c>
      <c r="M151" s="132">
        <f>RANK(N151,MyGrid3[فبراير])</f>
        <v>101</v>
      </c>
      <c r="N151" s="134"/>
      <c r="O151" s="121">
        <f>MyGrid3[[#This Row],[فبراير]]/$N$187</f>
        <v>0</v>
      </c>
      <c r="P151" s="122" t="s">
        <v>64</v>
      </c>
      <c r="Q151" s="132">
        <f>RANK(R151,MyGrid3[مارس])</f>
        <v>110</v>
      </c>
      <c r="R151" s="123"/>
      <c r="S151" s="118">
        <f>MyGrid3[[#This Row],[مارس]]/$R$187</f>
        <v>0</v>
      </c>
      <c r="T151" s="133"/>
      <c r="U151" s="397"/>
      <c r="V151" s="121">
        <f>MyGrid3[[#This Row],[أبريل]]/$U$187</f>
        <v>0</v>
      </c>
      <c r="W151" s="122" t="s">
        <v>64</v>
      </c>
      <c r="X151" s="397"/>
      <c r="Y151" s="118">
        <f>MyGrid3[[#This Row],[مايو]]/$X$187</f>
        <v>0</v>
      </c>
      <c r="Z151" s="119" t="s">
        <v>64</v>
      </c>
      <c r="AA151" s="123"/>
      <c r="AB151" s="121">
        <f>MyGrid3[[#This Row],[يونيو]]/$AA$187</f>
        <v>0</v>
      </c>
      <c r="AC151" s="122" t="s">
        <v>64</v>
      </c>
      <c r="AD151" s="123">
        <v>412.5</v>
      </c>
      <c r="AE151" s="118">
        <f>MyGrid3[[#This Row],[يوليو]]/$AD$187</f>
        <v>0.50769230769230766</v>
      </c>
      <c r="AF151" s="139" t="s">
        <v>64</v>
      </c>
      <c r="AG151" s="144">
        <v>687.5</v>
      </c>
      <c r="AH151" s="121">
        <f>MyGrid3[[#This Row],[أغسطس]]/$AG$187</f>
        <v>0.84615384615384615</v>
      </c>
      <c r="AI151" s="122" t="s">
        <v>64</v>
      </c>
      <c r="AJ151" s="123">
        <v>687.5</v>
      </c>
      <c r="AK151" s="118">
        <f>MyGrid3[[#This Row],[سبتمبر]]/$AJ$187</f>
        <v>0.84615384615384615</v>
      </c>
      <c r="AL151" s="119" t="s">
        <v>64</v>
      </c>
      <c r="AM151" s="123">
        <v>687.5</v>
      </c>
      <c r="AN151" s="121">
        <f>MyGrid3[[#This Row],[أكتوبر]]/$AM$187</f>
        <v>0.84615384615384615</v>
      </c>
      <c r="AO151" s="122" t="s">
        <v>64</v>
      </c>
      <c r="AP151" s="123">
        <v>687.5</v>
      </c>
      <c r="AQ151" s="125">
        <f>MyGrid3[[#This Row],[نوفمبر]]/$AP$187</f>
        <v>0.84615384615384615</v>
      </c>
      <c r="AR151" s="119" t="s">
        <v>64</v>
      </c>
      <c r="AS151" s="391">
        <v>687.5</v>
      </c>
      <c r="AT151" s="121">
        <f>MyGrid3[[#This Row],[ديسمبر]]/$AS$187</f>
        <v>0.84615384615384615</v>
      </c>
      <c r="AU151" s="126">
        <f t="shared" si="3"/>
        <v>3850</v>
      </c>
      <c r="AV151" s="127">
        <f>MyGrid3[[#This Row],[الإجمالي]]/$AU$187</f>
        <v>0.31670925103609171</v>
      </c>
    </row>
    <row r="152" spans="1:48" s="128" customFormat="1" ht="33" hidden="1" customHeight="1">
      <c r="A152" s="110">
        <f>SUBTOTAL(3,$B$4:B152)</f>
        <v>0</v>
      </c>
      <c r="B152" s="111">
        <v>690266</v>
      </c>
      <c r="C152" s="112" t="s">
        <v>1102</v>
      </c>
      <c r="D152" s="113" t="s">
        <v>1099</v>
      </c>
      <c r="E152" s="160" t="s">
        <v>64</v>
      </c>
      <c r="F152" s="115">
        <f>RANK(G152,MyGrid3[الاساسي])</f>
        <v>135</v>
      </c>
      <c r="G152" s="116">
        <v>350</v>
      </c>
      <c r="H152" s="131"/>
      <c r="I152" s="132">
        <f>RANK(J152,MyGrid3[يناير])</f>
        <v>81</v>
      </c>
      <c r="J152" s="117"/>
      <c r="K152" s="118">
        <f>MyGrid3[[#This Row],[يناير]]/$J$187</f>
        <v>0</v>
      </c>
      <c r="L152" s="119" t="s">
        <v>64</v>
      </c>
      <c r="M152" s="132">
        <f>RANK(N152,MyGrid3[فبراير])</f>
        <v>101</v>
      </c>
      <c r="N152" s="134"/>
      <c r="O152" s="121">
        <f>MyGrid3[[#This Row],[فبراير]]/$N$187</f>
        <v>0</v>
      </c>
      <c r="P152" s="122" t="s">
        <v>64</v>
      </c>
      <c r="Q152" s="132">
        <f>RANK(R152,MyGrid3[مارس])</f>
        <v>110</v>
      </c>
      <c r="R152" s="123"/>
      <c r="S152" s="118">
        <f>MyGrid3[[#This Row],[مارس]]/$R$187</f>
        <v>0</v>
      </c>
      <c r="T152" s="133"/>
      <c r="U152" s="397"/>
      <c r="V152" s="121">
        <f>MyGrid3[[#This Row],[أبريل]]/$U$187</f>
        <v>0</v>
      </c>
      <c r="W152" s="122" t="s">
        <v>64</v>
      </c>
      <c r="X152" s="397"/>
      <c r="Y152" s="118">
        <f>MyGrid3[[#This Row],[مايو]]/$X$187</f>
        <v>0</v>
      </c>
      <c r="Z152" s="119" t="s">
        <v>64</v>
      </c>
      <c r="AA152" s="123"/>
      <c r="AB152" s="121">
        <f>MyGrid3[[#This Row],[يونيو]]/$AA$187</f>
        <v>0</v>
      </c>
      <c r="AC152" s="122" t="s">
        <v>64</v>
      </c>
      <c r="AD152" s="123">
        <v>412.5</v>
      </c>
      <c r="AE152" s="118">
        <f>MyGrid3[[#This Row],[يوليو]]/$AD$187</f>
        <v>0.50769230769230766</v>
      </c>
      <c r="AF152" s="139" t="s">
        <v>64</v>
      </c>
      <c r="AG152" s="144">
        <v>687.5</v>
      </c>
      <c r="AH152" s="121">
        <f>MyGrid3[[#This Row],[أغسطس]]/$AG$187</f>
        <v>0.84615384615384615</v>
      </c>
      <c r="AI152" s="122" t="s">
        <v>64</v>
      </c>
      <c r="AJ152" s="123">
        <v>687.5</v>
      </c>
      <c r="AK152" s="118">
        <f>MyGrid3[[#This Row],[سبتمبر]]/$AJ$187</f>
        <v>0.84615384615384615</v>
      </c>
      <c r="AL152" s="119" t="s">
        <v>64</v>
      </c>
      <c r="AM152" s="123">
        <v>687.5</v>
      </c>
      <c r="AN152" s="121">
        <f>MyGrid3[[#This Row],[أكتوبر]]/$AM$187</f>
        <v>0.84615384615384615</v>
      </c>
      <c r="AO152" s="122" t="s">
        <v>64</v>
      </c>
      <c r="AP152" s="123">
        <v>687.5</v>
      </c>
      <c r="AQ152" s="125">
        <f>MyGrid3[[#This Row],[نوفمبر]]/$AP$187</f>
        <v>0.84615384615384615</v>
      </c>
      <c r="AR152" s="119" t="s">
        <v>64</v>
      </c>
      <c r="AS152" s="391">
        <v>687.5</v>
      </c>
      <c r="AT152" s="121">
        <f>MyGrid3[[#This Row],[ديسمبر]]/$AS$187</f>
        <v>0.84615384615384615</v>
      </c>
      <c r="AU152" s="126">
        <f t="shared" si="3"/>
        <v>3850</v>
      </c>
      <c r="AV152" s="127">
        <f>MyGrid3[[#This Row],[الإجمالي]]/$AU$187</f>
        <v>0.31670925103609171</v>
      </c>
    </row>
    <row r="153" spans="1:48" s="128" customFormat="1" ht="33" hidden="1" customHeight="1">
      <c r="A153" s="110">
        <f>SUBTOTAL(3,$B$4:B153)</f>
        <v>0</v>
      </c>
      <c r="B153" s="111">
        <v>690267</v>
      </c>
      <c r="C153" s="112" t="s">
        <v>1103</v>
      </c>
      <c r="D153" s="113" t="s">
        <v>1099</v>
      </c>
      <c r="E153" s="160" t="s">
        <v>64</v>
      </c>
      <c r="F153" s="115">
        <f>RANK(G153,MyGrid3[الاساسي])</f>
        <v>107</v>
      </c>
      <c r="G153" s="116">
        <v>500</v>
      </c>
      <c r="H153" s="114" t="s">
        <v>64</v>
      </c>
      <c r="I153" s="115">
        <f>RANK(J153,MyGrid3[يناير])</f>
        <v>81</v>
      </c>
      <c r="J153" s="117">
        <v>0</v>
      </c>
      <c r="K153" s="118">
        <f>MyGrid3[[#This Row],[يناير]]/$J$187</f>
        <v>0</v>
      </c>
      <c r="L153" s="119" t="s">
        <v>64</v>
      </c>
      <c r="M153" s="115">
        <f>RANK(N153,MyGrid3[فبراير])</f>
        <v>49</v>
      </c>
      <c r="N153" s="120">
        <v>825</v>
      </c>
      <c r="O153" s="121">
        <f>MyGrid3[[#This Row],[فبراير]]/$N$187</f>
        <v>0.58407079646017701</v>
      </c>
      <c r="P153" s="122" t="s">
        <v>64</v>
      </c>
      <c r="Q153" s="115">
        <f>RANK(R153,MyGrid3[مارس])</f>
        <v>64</v>
      </c>
      <c r="R153" s="123">
        <v>825</v>
      </c>
      <c r="S153" s="118">
        <f>MyGrid3[[#This Row],[مارس]]/$R$187</f>
        <v>0.58407079646017701</v>
      </c>
      <c r="T153" s="119" t="s">
        <v>64</v>
      </c>
      <c r="U153" s="397">
        <v>825</v>
      </c>
      <c r="V153" s="121">
        <f>MyGrid3[[#This Row],[أبريل]]/$U$187</f>
        <v>0.58407079646017701</v>
      </c>
      <c r="W153" s="122" t="s">
        <v>64</v>
      </c>
      <c r="X153" s="397">
        <v>866.67</v>
      </c>
      <c r="Y153" s="118">
        <f>MyGrid3[[#This Row],[مايو]]/$X$187</f>
        <v>0.61266515386083598</v>
      </c>
      <c r="Z153" s="119" t="s">
        <v>64</v>
      </c>
      <c r="AA153" s="123">
        <v>866.67</v>
      </c>
      <c r="AB153" s="121">
        <f>MyGrid3[[#This Row],[يونيو]]/$AA$187</f>
        <v>3.9999538468638947</v>
      </c>
      <c r="AC153" s="122" t="s">
        <v>64</v>
      </c>
      <c r="AD153" s="123">
        <v>825</v>
      </c>
      <c r="AE153" s="118">
        <f>MyGrid3[[#This Row],[يوليو]]/$AD$187</f>
        <v>1.0153846153846153</v>
      </c>
      <c r="AF153" s="139" t="s">
        <v>64</v>
      </c>
      <c r="AG153" s="124">
        <v>825</v>
      </c>
      <c r="AH153" s="121">
        <f>MyGrid3[[#This Row],[أغسطس]]/$AG$187</f>
        <v>1.0153846153846153</v>
      </c>
      <c r="AI153" s="122" t="s">
        <v>64</v>
      </c>
      <c r="AJ153" s="123">
        <v>825</v>
      </c>
      <c r="AK153" s="118">
        <f>MyGrid3[[#This Row],[سبتمبر]]/$AJ$187</f>
        <v>1.0153846153846153</v>
      </c>
      <c r="AL153" s="119" t="s">
        <v>64</v>
      </c>
      <c r="AM153" s="123">
        <v>825</v>
      </c>
      <c r="AN153" s="121">
        <f>MyGrid3[[#This Row],[أكتوبر]]/$AM$187</f>
        <v>1.0153846153846153</v>
      </c>
      <c r="AO153" s="122" t="s">
        <v>64</v>
      </c>
      <c r="AP153" s="123">
        <v>825</v>
      </c>
      <c r="AQ153" s="125">
        <f>MyGrid3[[#This Row],[نوفمبر]]/$AP$187</f>
        <v>1.0153846153846153</v>
      </c>
      <c r="AR153" s="119" t="s">
        <v>64</v>
      </c>
      <c r="AS153" s="391">
        <v>825</v>
      </c>
      <c r="AT153" s="121">
        <f>MyGrid3[[#This Row],[ديسمبر]]/$AS$187</f>
        <v>1.0153846153846153</v>
      </c>
      <c r="AU153" s="126">
        <f t="shared" si="3"/>
        <v>9158.34</v>
      </c>
      <c r="AV153" s="127">
        <f>MyGrid3[[#This Row],[الإجمالي]]/$AU$187</f>
        <v>0.75338467587892988</v>
      </c>
    </row>
    <row r="154" spans="1:48" s="128" customFormat="1" ht="33" hidden="1" customHeight="1">
      <c r="A154" s="110">
        <f>SUBTOTAL(3,$B$4:B154)</f>
        <v>0</v>
      </c>
      <c r="B154" s="111">
        <v>690268</v>
      </c>
      <c r="C154" s="112" t="s">
        <v>1104</v>
      </c>
      <c r="D154" s="113" t="s">
        <v>1099</v>
      </c>
      <c r="E154" s="160" t="s">
        <v>967</v>
      </c>
      <c r="F154" s="115">
        <f>RANK(G154,MyGrid3[الاساسي])</f>
        <v>43</v>
      </c>
      <c r="G154" s="116">
        <v>1300</v>
      </c>
      <c r="H154" s="140" t="s">
        <v>967</v>
      </c>
      <c r="I154" s="115">
        <f>RANK(J154,MyGrid3[يناير])</f>
        <v>8</v>
      </c>
      <c r="J154" s="141">
        <v>1950</v>
      </c>
      <c r="K154" s="118">
        <f>MyGrid3[[#This Row],[يناير]]/$J$187</f>
        <v>1.3805309734513274</v>
      </c>
      <c r="L154" s="142" t="s">
        <v>967</v>
      </c>
      <c r="M154" s="115">
        <f>RANK(N154,MyGrid3[فبراير])</f>
        <v>9</v>
      </c>
      <c r="N154" s="120">
        <v>1950</v>
      </c>
      <c r="O154" s="121">
        <f>MyGrid3[[#This Row],[فبراير]]/$N$187</f>
        <v>1.3805309734513274</v>
      </c>
      <c r="P154" s="143" t="s">
        <v>967</v>
      </c>
      <c r="Q154" s="115">
        <f>RANK(R154,MyGrid3[مارس])</f>
        <v>17</v>
      </c>
      <c r="R154" s="123">
        <v>1950</v>
      </c>
      <c r="S154" s="118">
        <f>MyGrid3[[#This Row],[مارس]]/$R$187</f>
        <v>1.3805309734513274</v>
      </c>
      <c r="T154" s="142" t="s">
        <v>967</v>
      </c>
      <c r="U154" s="397">
        <v>2250</v>
      </c>
      <c r="V154" s="121">
        <f>MyGrid3[[#This Row],[أبريل]]/$U$187</f>
        <v>1.5929203539823009</v>
      </c>
      <c r="W154" s="143" t="s">
        <v>967</v>
      </c>
      <c r="X154" s="397">
        <v>2250</v>
      </c>
      <c r="Y154" s="118">
        <f>MyGrid3[[#This Row],[مايو]]/$X$187</f>
        <v>1.5905668780353319</v>
      </c>
      <c r="Z154" s="142" t="s">
        <v>967</v>
      </c>
      <c r="AA154" s="123">
        <v>2250</v>
      </c>
      <c r="AB154" s="121">
        <f>MyGrid3[[#This Row],[يونيو]]/$AA$187</f>
        <v>10.384455623759635</v>
      </c>
      <c r="AC154" s="143" t="s">
        <v>967</v>
      </c>
      <c r="AD154" s="123">
        <v>1875</v>
      </c>
      <c r="AE154" s="118">
        <f>MyGrid3[[#This Row],[يوليو]]/$AD$187</f>
        <v>2.3076923076923075</v>
      </c>
      <c r="AF154" s="119" t="s">
        <v>967</v>
      </c>
      <c r="AG154" s="144">
        <v>1875</v>
      </c>
      <c r="AH154" s="121">
        <f>MyGrid3[[#This Row],[أغسطس]]/$AG$187</f>
        <v>2.3076923076923075</v>
      </c>
      <c r="AI154" s="143" t="s">
        <v>967</v>
      </c>
      <c r="AJ154" s="123">
        <v>1875</v>
      </c>
      <c r="AK154" s="118">
        <f>MyGrid3[[#This Row],[سبتمبر]]/$AJ$187</f>
        <v>2.3076923076923075</v>
      </c>
      <c r="AL154" s="142" t="s">
        <v>967</v>
      </c>
      <c r="AM154" s="123">
        <v>1875</v>
      </c>
      <c r="AN154" s="121">
        <f>MyGrid3[[#This Row],[أكتوبر]]/$AM$187</f>
        <v>2.3076923076923075</v>
      </c>
      <c r="AO154" s="143" t="s">
        <v>967</v>
      </c>
      <c r="AP154" s="123">
        <v>1875</v>
      </c>
      <c r="AQ154" s="125">
        <f>MyGrid3[[#This Row],[نوفمبر]]/$AP$187</f>
        <v>2.3076923076923075</v>
      </c>
      <c r="AR154" s="142" t="s">
        <v>967</v>
      </c>
      <c r="AS154" s="391">
        <v>1875</v>
      </c>
      <c r="AT154" s="121">
        <f>MyGrid3[[#This Row],[ديسمبر]]/$AS$187</f>
        <v>2.3076923076923075</v>
      </c>
      <c r="AU154" s="126">
        <f t="shared" si="3"/>
        <v>23850</v>
      </c>
      <c r="AV154" s="127">
        <f>MyGrid3[[#This Row],[الإجمالي]]/$AU$187</f>
        <v>1.9619521135612432</v>
      </c>
    </row>
    <row r="155" spans="1:48" s="128" customFormat="1" ht="33" hidden="1" customHeight="1">
      <c r="A155" s="110">
        <f>SUBTOTAL(3,$B$4:B155)</f>
        <v>0</v>
      </c>
      <c r="B155" s="111">
        <v>690269</v>
      </c>
      <c r="C155" s="112" t="s">
        <v>1105</v>
      </c>
      <c r="D155" s="113" t="s">
        <v>1099</v>
      </c>
      <c r="E155" s="160" t="s">
        <v>967</v>
      </c>
      <c r="F155" s="115">
        <f>RANK(G155,MyGrid3[الاساسي])</f>
        <v>107</v>
      </c>
      <c r="G155" s="116">
        <v>500</v>
      </c>
      <c r="H155" s="140" t="s">
        <v>967</v>
      </c>
      <c r="I155" s="115">
        <f>RANK(J155,MyGrid3[يناير])</f>
        <v>81</v>
      </c>
      <c r="J155" s="117">
        <v>0</v>
      </c>
      <c r="K155" s="118">
        <f>MyGrid3[[#This Row],[يناير]]/$J$187</f>
        <v>0</v>
      </c>
      <c r="L155" s="142" t="s">
        <v>967</v>
      </c>
      <c r="M155" s="115">
        <f>RANK(N155,MyGrid3[فبراير])</f>
        <v>101</v>
      </c>
      <c r="N155" s="134">
        <v>0</v>
      </c>
      <c r="O155" s="121">
        <f>MyGrid3[[#This Row],[فبراير]]/$N$187</f>
        <v>0</v>
      </c>
      <c r="P155" s="143" t="s">
        <v>967</v>
      </c>
      <c r="Q155" s="115">
        <f>RANK(R155,MyGrid3[مارس])</f>
        <v>110</v>
      </c>
      <c r="R155" s="123">
        <v>0</v>
      </c>
      <c r="S155" s="118">
        <f>MyGrid3[[#This Row],[مارس]]/$R$187</f>
        <v>0</v>
      </c>
      <c r="T155" s="142" t="s">
        <v>967</v>
      </c>
      <c r="U155" s="397"/>
      <c r="V155" s="121">
        <f>MyGrid3[[#This Row],[أبريل]]/$U$187</f>
        <v>0</v>
      </c>
      <c r="W155" s="143" t="s">
        <v>967</v>
      </c>
      <c r="X155" s="397"/>
      <c r="Y155" s="118">
        <f>MyGrid3[[#This Row],[مايو]]/$X$187</f>
        <v>0</v>
      </c>
      <c r="Z155" s="142" t="s">
        <v>967</v>
      </c>
      <c r="AA155" s="123"/>
      <c r="AB155" s="121">
        <f>MyGrid3[[#This Row],[يونيو]]/$AA$187</f>
        <v>0</v>
      </c>
      <c r="AC155" s="143" t="s">
        <v>967</v>
      </c>
      <c r="AD155" s="123">
        <v>875</v>
      </c>
      <c r="AE155" s="118">
        <f>MyGrid3[[#This Row],[يوليو]]/$AD$187</f>
        <v>1.0769230769230769</v>
      </c>
      <c r="AF155" s="119" t="s">
        <v>967</v>
      </c>
      <c r="AG155" s="124">
        <v>875</v>
      </c>
      <c r="AH155" s="121">
        <f>MyGrid3[[#This Row],[أغسطس]]/$AG$187</f>
        <v>1.0769230769230769</v>
      </c>
      <c r="AI155" s="143" t="s">
        <v>967</v>
      </c>
      <c r="AJ155" s="123">
        <v>875</v>
      </c>
      <c r="AK155" s="118">
        <f>MyGrid3[[#This Row],[سبتمبر]]/$AJ$187</f>
        <v>1.0769230769230769</v>
      </c>
      <c r="AL155" s="142" t="s">
        <v>967</v>
      </c>
      <c r="AM155" s="123">
        <v>875</v>
      </c>
      <c r="AN155" s="121">
        <f>MyGrid3[[#This Row],[أكتوبر]]/$AM$187</f>
        <v>1.0769230769230769</v>
      </c>
      <c r="AO155" s="143" t="s">
        <v>967</v>
      </c>
      <c r="AP155" s="123">
        <v>875</v>
      </c>
      <c r="AQ155" s="125">
        <f>MyGrid3[[#This Row],[نوفمبر]]/$AP$187</f>
        <v>1.0769230769230769</v>
      </c>
      <c r="AR155" s="142" t="s">
        <v>967</v>
      </c>
      <c r="AS155" s="391">
        <v>875</v>
      </c>
      <c r="AT155" s="121">
        <f>MyGrid3[[#This Row],[ديسمبر]]/$AS$187</f>
        <v>1.0769230769230769</v>
      </c>
      <c r="AU155" s="126">
        <f t="shared" si="3"/>
        <v>5250</v>
      </c>
      <c r="AV155" s="127">
        <f>MyGrid3[[#This Row],[الإجمالي]]/$AU$187</f>
        <v>0.4318762514128523</v>
      </c>
    </row>
    <row r="156" spans="1:48" s="128" customFormat="1" ht="33" hidden="1" customHeight="1">
      <c r="A156" s="110">
        <f>SUBTOTAL(3,$B$4:B156)</f>
        <v>0</v>
      </c>
      <c r="B156" s="111">
        <v>690270</v>
      </c>
      <c r="C156" s="112" t="s">
        <v>1106</v>
      </c>
      <c r="D156" s="113" t="s">
        <v>1099</v>
      </c>
      <c r="E156" s="173" t="s">
        <v>990</v>
      </c>
      <c r="F156" s="115">
        <f>RANK(G156,MyGrid3[الاساسي])</f>
        <v>6</v>
      </c>
      <c r="G156" s="130">
        <v>3000</v>
      </c>
      <c r="H156" s="131"/>
      <c r="I156" s="132">
        <f>RANK(J156,MyGrid3[يناير])</f>
        <v>81</v>
      </c>
      <c r="J156" s="117"/>
      <c r="K156" s="118">
        <f>MyGrid3[[#This Row],[يناير]]/$J$187</f>
        <v>0</v>
      </c>
      <c r="L156" s="133"/>
      <c r="M156" s="132">
        <f>RANK(N156,MyGrid3[فبراير])</f>
        <v>101</v>
      </c>
      <c r="N156" s="134"/>
      <c r="O156" s="121">
        <f>MyGrid3[[#This Row],[فبراير]]/$N$187</f>
        <v>0</v>
      </c>
      <c r="P156" s="135"/>
      <c r="Q156" s="132">
        <f>RANK(R156,MyGrid3[مارس])</f>
        <v>110</v>
      </c>
      <c r="R156" s="123"/>
      <c r="S156" s="118">
        <f>MyGrid3[[#This Row],[مارس]]/$R$187</f>
        <v>0</v>
      </c>
      <c r="T156" s="133"/>
      <c r="U156" s="397"/>
      <c r="V156" s="121">
        <f>MyGrid3[[#This Row],[أبريل]]/$U$187</f>
        <v>0</v>
      </c>
      <c r="W156" s="136"/>
      <c r="X156" s="397"/>
      <c r="Y156" s="118">
        <f>MyGrid3[[#This Row],[مايو]]/$X$187</f>
        <v>0</v>
      </c>
      <c r="Z156" s="137"/>
      <c r="AA156" s="123"/>
      <c r="AB156" s="121">
        <f>MyGrid3[[#This Row],[يونيو]]/$AA$187</f>
        <v>0</v>
      </c>
      <c r="AC156" s="136"/>
      <c r="AD156" s="123"/>
      <c r="AE156" s="118">
        <f>MyGrid3[[#This Row],[يوليو]]/$AD$187</f>
        <v>0</v>
      </c>
      <c r="AF156" s="137"/>
      <c r="AG156" s="138"/>
      <c r="AH156" s="121">
        <f>MyGrid3[[#This Row],[أغسطس]]/$AG$187</f>
        <v>0</v>
      </c>
      <c r="AI156" s="136"/>
      <c r="AJ156" s="123"/>
      <c r="AK156" s="118">
        <f>MyGrid3[[#This Row],[سبتمبر]]/$AJ$187</f>
        <v>0</v>
      </c>
      <c r="AL156" s="137"/>
      <c r="AM156" s="123"/>
      <c r="AN156" s="121">
        <f>MyGrid3[[#This Row],[أكتوبر]]/$AM$187</f>
        <v>0</v>
      </c>
      <c r="AO156" s="136" t="s">
        <v>990</v>
      </c>
      <c r="AP156" s="123">
        <v>4000</v>
      </c>
      <c r="AQ156" s="125">
        <f>MyGrid3[[#This Row],[نوفمبر]]/$AP$187</f>
        <v>4.9230769230769234</v>
      </c>
      <c r="AR156" s="137" t="s">
        <v>990</v>
      </c>
      <c r="AS156" s="391">
        <v>4000</v>
      </c>
      <c r="AT156" s="121">
        <f>MyGrid3[[#This Row],[ديسمبر]]/$AS$187</f>
        <v>4.9230769230769234</v>
      </c>
      <c r="AU156" s="126">
        <f>J156+N156+R156+U156+X156+AA156+AD156+AG156+AJ156+AM156+AP156+AS156</f>
        <v>8000</v>
      </c>
      <c r="AV156" s="127">
        <f>MyGrid3[[#This Row],[الإجمالي]]/$AU$187</f>
        <v>0.65809714501006067</v>
      </c>
    </row>
    <row r="157" spans="1:48" s="128" customFormat="1" ht="33" hidden="1" customHeight="1">
      <c r="A157" s="110">
        <f>SUBTOTAL(3,$B$4:B157)</f>
        <v>0</v>
      </c>
      <c r="B157" s="111">
        <v>690271</v>
      </c>
      <c r="C157" s="112" t="s">
        <v>1107</v>
      </c>
      <c r="D157" s="113" t="s">
        <v>1099</v>
      </c>
      <c r="E157" s="160" t="s">
        <v>64</v>
      </c>
      <c r="F157" s="115">
        <f>RANK(G157,MyGrid3[الاساسي])</f>
        <v>4</v>
      </c>
      <c r="G157" s="116">
        <v>3200</v>
      </c>
      <c r="H157" s="114" t="s">
        <v>64</v>
      </c>
      <c r="I157" s="115">
        <f>RANK(J157,MyGrid3[يناير])</f>
        <v>81</v>
      </c>
      <c r="J157" s="117">
        <v>0</v>
      </c>
      <c r="K157" s="118">
        <f>MyGrid3[[#This Row],[يناير]]/$J$187</f>
        <v>0</v>
      </c>
      <c r="L157" s="119" t="s">
        <v>64</v>
      </c>
      <c r="M157" s="115">
        <f>RANK(N157,MyGrid3[فبراير])</f>
        <v>101</v>
      </c>
      <c r="N157" s="134">
        <v>0</v>
      </c>
      <c r="O157" s="121">
        <f>MyGrid3[[#This Row],[فبراير]]/$N$187</f>
        <v>0</v>
      </c>
      <c r="P157" s="122" t="s">
        <v>64</v>
      </c>
      <c r="Q157" s="115">
        <f>RANK(R157,MyGrid3[مارس])</f>
        <v>110</v>
      </c>
      <c r="R157" s="123">
        <v>0</v>
      </c>
      <c r="S157" s="118">
        <f>MyGrid3[[#This Row],[مارس]]/$R$187</f>
        <v>0</v>
      </c>
      <c r="T157" s="119" t="s">
        <v>64</v>
      </c>
      <c r="U157" s="397">
        <v>4100</v>
      </c>
      <c r="V157" s="121">
        <f>MyGrid3[[#This Row],[أبريل]]/$U$187</f>
        <v>2.9026548672566372</v>
      </c>
      <c r="W157" s="122" t="s">
        <v>64</v>
      </c>
      <c r="X157" s="397">
        <v>4100</v>
      </c>
      <c r="Y157" s="118">
        <f>MyGrid3[[#This Row],[مايو]]/$X$187</f>
        <v>2.8983663110866047</v>
      </c>
      <c r="Z157" s="119" t="s">
        <v>64</v>
      </c>
      <c r="AA157" s="123">
        <v>410</v>
      </c>
      <c r="AB157" s="121">
        <f>MyGrid3[[#This Row],[يونيو]]/$AA$187</f>
        <v>1.8922785803295334</v>
      </c>
      <c r="AC157" s="122" t="s">
        <v>64</v>
      </c>
      <c r="AD157" s="123">
        <v>4100</v>
      </c>
      <c r="AE157" s="118">
        <f>MyGrid3[[#This Row],[يوليو]]/$AD$187</f>
        <v>5.046153846153846</v>
      </c>
      <c r="AF157" s="139" t="s">
        <v>64</v>
      </c>
      <c r="AG157" s="124">
        <v>4100</v>
      </c>
      <c r="AH157" s="121">
        <f>MyGrid3[[#This Row],[أغسطس]]/$AG$187</f>
        <v>5.046153846153846</v>
      </c>
      <c r="AI157" s="122" t="s">
        <v>64</v>
      </c>
      <c r="AJ157" s="123">
        <v>4100</v>
      </c>
      <c r="AK157" s="118">
        <f>MyGrid3[[#This Row],[سبتمبر]]/$AJ$187</f>
        <v>5.046153846153846</v>
      </c>
      <c r="AL157" s="119" t="s">
        <v>64</v>
      </c>
      <c r="AM157" s="123">
        <v>4100</v>
      </c>
      <c r="AN157" s="121">
        <f>MyGrid3[[#This Row],[أكتوبر]]/$AM$187</f>
        <v>5.046153846153846</v>
      </c>
      <c r="AO157" s="122" t="s">
        <v>64</v>
      </c>
      <c r="AP157" s="123">
        <v>4100</v>
      </c>
      <c r="AQ157" s="125">
        <f>MyGrid3[[#This Row],[نوفمبر]]/$AP$187</f>
        <v>5.046153846153846</v>
      </c>
      <c r="AR157" s="119" t="s">
        <v>64</v>
      </c>
      <c r="AS157" s="391">
        <v>4100</v>
      </c>
      <c r="AT157" s="121">
        <f>MyGrid3[[#This Row],[ديسمبر]]/$AS$187</f>
        <v>5.046153846153846</v>
      </c>
      <c r="AU157" s="126">
        <f t="shared" si="3"/>
        <v>33210</v>
      </c>
      <c r="AV157" s="127">
        <f>MyGrid3[[#This Row],[الإجمالي]]/$AU$187</f>
        <v>2.7319257732230144</v>
      </c>
    </row>
    <row r="158" spans="1:48" s="128" customFormat="1" ht="33" hidden="1" customHeight="1">
      <c r="A158" s="110">
        <f>SUBTOTAL(3,$B$4:B158)</f>
        <v>0</v>
      </c>
      <c r="B158" s="111">
        <v>690272</v>
      </c>
      <c r="C158" s="112" t="s">
        <v>1108</v>
      </c>
      <c r="D158" s="113" t="s">
        <v>1099</v>
      </c>
      <c r="E158" s="160" t="s">
        <v>113</v>
      </c>
      <c r="F158" s="115">
        <f>RANK(G158,MyGrid3[الاساسي])</f>
        <v>9</v>
      </c>
      <c r="G158" s="116">
        <v>2500</v>
      </c>
      <c r="H158" s="169" t="s">
        <v>113</v>
      </c>
      <c r="I158" s="115">
        <f>RANK(J158,MyGrid3[يناير])</f>
        <v>3</v>
      </c>
      <c r="J158" s="141">
        <v>3541.67</v>
      </c>
      <c r="K158" s="118">
        <f>MyGrid3[[#This Row],[يناير]]/$J$187</f>
        <v>2.5073769911504424</v>
      </c>
      <c r="L158" s="145" t="s">
        <v>113</v>
      </c>
      <c r="M158" s="115">
        <f>RANK(N158,MyGrid3[فبراير])</f>
        <v>4</v>
      </c>
      <c r="N158" s="120">
        <v>3541.67</v>
      </c>
      <c r="O158" s="121">
        <f>MyGrid3[[#This Row],[فبراير]]/$N$187</f>
        <v>2.5073769911504424</v>
      </c>
      <c r="P158" s="146" t="s">
        <v>113</v>
      </c>
      <c r="Q158" s="115">
        <f>RANK(R158,MyGrid3[مارس])</f>
        <v>5</v>
      </c>
      <c r="R158" s="123">
        <v>3541.67</v>
      </c>
      <c r="S158" s="118">
        <f>MyGrid3[[#This Row],[مارس]]/$R$187</f>
        <v>2.5073769911504424</v>
      </c>
      <c r="T158" s="145" t="s">
        <v>113</v>
      </c>
      <c r="U158" s="397">
        <v>3541.67</v>
      </c>
      <c r="V158" s="121">
        <f>MyGrid3[[#This Row],[أبريل]]/$U$187</f>
        <v>2.5073769911504424</v>
      </c>
      <c r="W158" s="146" t="s">
        <v>113</v>
      </c>
      <c r="X158" s="397">
        <v>3541.67</v>
      </c>
      <c r="Y158" s="118">
        <f>MyGrid3[[#This Row],[مايو]]/$X$187</f>
        <v>2.5036724421917307</v>
      </c>
      <c r="Z158" s="145" t="s">
        <v>113</v>
      </c>
      <c r="AA158" s="123">
        <v>3541.67</v>
      </c>
      <c r="AB158" s="121">
        <f>MyGrid3[[#This Row],[يونيو]]/$AA$187</f>
        <v>16.345917755111461</v>
      </c>
      <c r="AC158" s="146" t="s">
        <v>113</v>
      </c>
      <c r="AD158" s="123">
        <v>3125</v>
      </c>
      <c r="AE158" s="118">
        <f>MyGrid3[[#This Row],[يوليو]]/$AD$187</f>
        <v>3.8461538461538463</v>
      </c>
      <c r="AF158" s="119" t="s">
        <v>113</v>
      </c>
      <c r="AG158" s="144">
        <v>3125</v>
      </c>
      <c r="AH158" s="121">
        <f>MyGrid3[[#This Row],[أغسطس]]/$AG$187</f>
        <v>3.8461538461538463</v>
      </c>
      <c r="AI158" s="146" t="s">
        <v>113</v>
      </c>
      <c r="AJ158" s="123">
        <v>3125</v>
      </c>
      <c r="AK158" s="118">
        <f>MyGrid3[[#This Row],[سبتمبر]]/$AJ$187</f>
        <v>3.8461538461538463</v>
      </c>
      <c r="AL158" s="145" t="s">
        <v>113</v>
      </c>
      <c r="AM158" s="123">
        <v>3125</v>
      </c>
      <c r="AN158" s="121">
        <f>MyGrid3[[#This Row],[أكتوبر]]/$AM$187</f>
        <v>3.8461538461538463</v>
      </c>
      <c r="AO158" s="146" t="s">
        <v>113</v>
      </c>
      <c r="AP158" s="123">
        <v>3125</v>
      </c>
      <c r="AQ158" s="125">
        <f>MyGrid3[[#This Row],[نوفمبر]]/$AP$187</f>
        <v>3.8461538461538463</v>
      </c>
      <c r="AR158" s="145" t="s">
        <v>113</v>
      </c>
      <c r="AS158" s="391">
        <v>3125</v>
      </c>
      <c r="AT158" s="121">
        <f>MyGrid3[[#This Row],[ديسمبر]]/$AS$187</f>
        <v>3.8461538461538463</v>
      </c>
      <c r="AU158" s="126">
        <f t="shared" si="3"/>
        <v>40000.019999999997</v>
      </c>
      <c r="AV158" s="127">
        <f>MyGrid3[[#This Row],[الإجمالي]]/$AU$187</f>
        <v>3.2904873702931656</v>
      </c>
    </row>
    <row r="159" spans="1:48" s="128" customFormat="1" ht="33" customHeight="1">
      <c r="A159" s="110">
        <f>SUBTOTAL(3,$B$4:B159)</f>
        <v>1</v>
      </c>
      <c r="B159" s="111">
        <v>690273</v>
      </c>
      <c r="C159" s="112" t="s">
        <v>1109</v>
      </c>
      <c r="D159" s="113" t="s">
        <v>1099</v>
      </c>
      <c r="E159" s="160" t="s">
        <v>64</v>
      </c>
      <c r="F159" s="115">
        <f>RANK(G159,MyGrid3[الاساسي])</f>
        <v>103</v>
      </c>
      <c r="G159" s="116">
        <v>650</v>
      </c>
      <c r="H159" s="114" t="s">
        <v>64</v>
      </c>
      <c r="I159" s="115">
        <f>RANK(J159,MyGrid3[يناير])</f>
        <v>40</v>
      </c>
      <c r="J159" s="141">
        <v>975</v>
      </c>
      <c r="K159" s="118">
        <f>MyGrid3[[#This Row],[يناير]]/$J$187</f>
        <v>0.69026548672566368</v>
      </c>
      <c r="L159" s="119" t="s">
        <v>64</v>
      </c>
      <c r="M159" s="115">
        <f>RANK(N159,MyGrid3[فبراير])</f>
        <v>44</v>
      </c>
      <c r="N159" s="120">
        <v>975</v>
      </c>
      <c r="O159" s="121">
        <f>MyGrid3[[#This Row],[فبراير]]/$N$187</f>
        <v>0.69026548672566368</v>
      </c>
      <c r="P159" s="122" t="s">
        <v>64</v>
      </c>
      <c r="Q159" s="115">
        <f>RANK(R159,MyGrid3[مارس])</f>
        <v>55</v>
      </c>
      <c r="R159" s="123">
        <v>975</v>
      </c>
      <c r="S159" s="118">
        <f>MyGrid3[[#This Row],[مارس]]/$R$187</f>
        <v>0.69026548672566368</v>
      </c>
      <c r="T159" s="119" t="s">
        <v>64</v>
      </c>
      <c r="U159" s="397">
        <v>975</v>
      </c>
      <c r="V159" s="121">
        <f>MyGrid3[[#This Row],[أبريل]]/$U$187</f>
        <v>0.69026548672566368</v>
      </c>
      <c r="W159" s="122" t="s">
        <v>64</v>
      </c>
      <c r="X159" s="397">
        <v>947.92</v>
      </c>
      <c r="Y159" s="118">
        <f>MyGrid3[[#This Row],[مايو]]/$X$187</f>
        <v>0.67010229112322295</v>
      </c>
      <c r="Z159" s="119" t="s">
        <v>64</v>
      </c>
      <c r="AA159" s="123">
        <v>216.67</v>
      </c>
      <c r="AB159" s="121">
        <f>MyGrid3[[#This Row],[يونيو]]/$AA$187</f>
        <v>1</v>
      </c>
      <c r="AC159" s="122" t="s">
        <v>64</v>
      </c>
      <c r="AD159" s="123">
        <v>812.5</v>
      </c>
      <c r="AE159" s="118">
        <f>MyGrid3[[#This Row],[يوليو]]/$AD$187</f>
        <v>1</v>
      </c>
      <c r="AF159" s="139" t="s">
        <v>64</v>
      </c>
      <c r="AG159" s="144">
        <v>812.5</v>
      </c>
      <c r="AH159" s="121">
        <f>MyGrid3[[#This Row],[أغسطس]]/$AG$187</f>
        <v>1</v>
      </c>
      <c r="AI159" s="122" t="s">
        <v>64</v>
      </c>
      <c r="AJ159" s="123">
        <v>812.5</v>
      </c>
      <c r="AK159" s="118">
        <f>MyGrid3[[#This Row],[سبتمبر]]/$AJ$187</f>
        <v>1</v>
      </c>
      <c r="AL159" s="119" t="s">
        <v>64</v>
      </c>
      <c r="AM159" s="123">
        <v>812.5</v>
      </c>
      <c r="AN159" s="121">
        <f>MyGrid3[[#This Row],[أكتوبر]]/$AM$187</f>
        <v>1</v>
      </c>
      <c r="AO159" s="122" t="s">
        <v>64</v>
      </c>
      <c r="AP159" s="123">
        <v>812.5</v>
      </c>
      <c r="AQ159" s="125">
        <f>MyGrid3[[#This Row],[نوفمبر]]/$AP$187</f>
        <v>1</v>
      </c>
      <c r="AR159" s="119" t="s">
        <v>64</v>
      </c>
      <c r="AS159" s="391">
        <v>812.5</v>
      </c>
      <c r="AT159" s="121">
        <f>MyGrid3[[#This Row],[ديسمبر]]/$AS$187</f>
        <v>1</v>
      </c>
      <c r="AU159" s="126">
        <f t="shared" si="3"/>
        <v>9939.59</v>
      </c>
      <c r="AV159" s="127">
        <f>MyGrid3[[#This Row],[الإجمالي]]/$AU$187</f>
        <v>0.8176519751963186</v>
      </c>
    </row>
    <row r="160" spans="1:48" s="128" customFormat="1" ht="33" hidden="1" customHeight="1">
      <c r="A160" s="110">
        <f>SUBTOTAL(3,$B$4:B160)</f>
        <v>1</v>
      </c>
      <c r="B160" s="111">
        <v>690274</v>
      </c>
      <c r="C160" s="112" t="s">
        <v>1110</v>
      </c>
      <c r="D160" s="113" t="s">
        <v>1099</v>
      </c>
      <c r="E160" s="160" t="s">
        <v>64</v>
      </c>
      <c r="F160" s="115">
        <f>RANK(G160,MyGrid3[الاساسي])</f>
        <v>47</v>
      </c>
      <c r="G160" s="116">
        <v>1200</v>
      </c>
      <c r="H160" s="148" t="s">
        <v>64</v>
      </c>
      <c r="I160" s="115">
        <f>RANK(J160,MyGrid3[يناير])</f>
        <v>81</v>
      </c>
      <c r="J160" s="117">
        <v>0</v>
      </c>
      <c r="K160" s="118">
        <f>MyGrid3[[#This Row],[يناير]]/$J$187</f>
        <v>0</v>
      </c>
      <c r="L160" s="149" t="s">
        <v>64</v>
      </c>
      <c r="M160" s="115">
        <f>RANK(N160,MyGrid3[فبراير])</f>
        <v>101</v>
      </c>
      <c r="N160" s="134">
        <v>0</v>
      </c>
      <c r="O160" s="121">
        <f>MyGrid3[[#This Row],[فبراير]]/$N$187</f>
        <v>0</v>
      </c>
      <c r="P160" s="122" t="s">
        <v>64</v>
      </c>
      <c r="Q160" s="115">
        <f>RANK(R160,MyGrid3[مارس])</f>
        <v>110</v>
      </c>
      <c r="R160" s="123">
        <v>0</v>
      </c>
      <c r="S160" s="118">
        <f>MyGrid3[[#This Row],[مارس]]/$R$187</f>
        <v>0</v>
      </c>
      <c r="T160" s="119" t="s">
        <v>64</v>
      </c>
      <c r="U160" s="397"/>
      <c r="V160" s="121">
        <f>MyGrid3[[#This Row],[أبريل]]/$U$187</f>
        <v>0</v>
      </c>
      <c r="W160" s="122" t="s">
        <v>64</v>
      </c>
      <c r="X160" s="397"/>
      <c r="Y160" s="118">
        <f>MyGrid3[[#This Row],[مايو]]/$X$187</f>
        <v>0</v>
      </c>
      <c r="Z160" s="119" t="s">
        <v>64</v>
      </c>
      <c r="AA160" s="123">
        <v>1440</v>
      </c>
      <c r="AB160" s="121">
        <f>MyGrid3[[#This Row],[يونيو]]/$AA$187</f>
        <v>6.6460515992061664</v>
      </c>
      <c r="AC160" s="122" t="s">
        <v>64</v>
      </c>
      <c r="AD160" s="123">
        <v>1500</v>
      </c>
      <c r="AE160" s="118">
        <f>MyGrid3[[#This Row],[يوليو]]/$AD$187</f>
        <v>1.8461538461538463</v>
      </c>
      <c r="AF160" s="139" t="s">
        <v>64</v>
      </c>
      <c r="AG160" s="124">
        <v>1500</v>
      </c>
      <c r="AH160" s="121">
        <f>MyGrid3[[#This Row],[أغسطس]]/$AG$187</f>
        <v>1.8461538461538463</v>
      </c>
      <c r="AI160" s="122" t="s">
        <v>64</v>
      </c>
      <c r="AJ160" s="123">
        <v>1500</v>
      </c>
      <c r="AK160" s="118">
        <f>MyGrid3[[#This Row],[سبتمبر]]/$AJ$187</f>
        <v>1.8461538461538463</v>
      </c>
      <c r="AL160" s="119" t="s">
        <v>64</v>
      </c>
      <c r="AM160" s="123">
        <v>1500</v>
      </c>
      <c r="AN160" s="121">
        <f>MyGrid3[[#This Row],[أكتوبر]]/$AM$187</f>
        <v>1.8461538461538463</v>
      </c>
      <c r="AO160" s="122" t="s">
        <v>64</v>
      </c>
      <c r="AP160" s="123">
        <v>1500</v>
      </c>
      <c r="AQ160" s="125">
        <f>MyGrid3[[#This Row],[نوفمبر]]/$AP$187</f>
        <v>1.8461538461538463</v>
      </c>
      <c r="AR160" s="119" t="s">
        <v>64</v>
      </c>
      <c r="AS160" s="391">
        <v>1500</v>
      </c>
      <c r="AT160" s="121">
        <f>MyGrid3[[#This Row],[ديسمبر]]/$AS$187</f>
        <v>1.8461538461538463</v>
      </c>
      <c r="AU160" s="126">
        <f t="shared" si="3"/>
        <v>10440</v>
      </c>
      <c r="AV160" s="127">
        <f>MyGrid3[[#This Row],[الإجمالي]]/$AU$187</f>
        <v>0.85881677423812919</v>
      </c>
    </row>
    <row r="161" spans="1:48" s="128" customFormat="1" ht="33" hidden="1" customHeight="1">
      <c r="A161" s="110">
        <f>SUBTOTAL(3,$B$4:B161)</f>
        <v>1</v>
      </c>
      <c r="B161" s="111">
        <v>690275</v>
      </c>
      <c r="C161" s="112" t="s">
        <v>1111</v>
      </c>
      <c r="D161" s="113"/>
      <c r="E161" s="160" t="s">
        <v>64</v>
      </c>
      <c r="F161" s="115">
        <f>RANK(G161,MyGrid3[الاساسي])</f>
        <v>6</v>
      </c>
      <c r="G161" s="130">
        <v>3000</v>
      </c>
      <c r="H161" s="114" t="s">
        <v>64</v>
      </c>
      <c r="I161" s="115">
        <f>RANK(J161,MyGrid3[يناير])</f>
        <v>6</v>
      </c>
      <c r="J161" s="141">
        <v>2133.34</v>
      </c>
      <c r="K161" s="118">
        <f>MyGrid3[[#This Row],[يناير]]/$J$187</f>
        <v>1.510329203539823</v>
      </c>
      <c r="L161" s="119" t="s">
        <v>64</v>
      </c>
      <c r="M161" s="115">
        <f>RANK(N161,MyGrid3[فبراير])</f>
        <v>3</v>
      </c>
      <c r="N161" s="120">
        <v>3766.66</v>
      </c>
      <c r="O161" s="121">
        <f>MyGrid3[[#This Row],[فبراير]]/$N$187</f>
        <v>2.6666619469026549</v>
      </c>
      <c r="P161" s="122" t="s">
        <v>64</v>
      </c>
      <c r="Q161" s="115">
        <f>RANK(R161,MyGrid3[مارس])</f>
        <v>3</v>
      </c>
      <c r="R161" s="123">
        <v>4000</v>
      </c>
      <c r="S161" s="118">
        <f>MyGrid3[[#This Row],[مارس]]/$R$187</f>
        <v>2.831858407079646</v>
      </c>
      <c r="T161" s="119" t="s">
        <v>64</v>
      </c>
      <c r="U161" s="397">
        <v>4000</v>
      </c>
      <c r="V161" s="121">
        <f>MyGrid3[[#This Row],[أبريل]]/$U$187</f>
        <v>2.831858407079646</v>
      </c>
      <c r="W161" s="122" t="s">
        <v>64</v>
      </c>
      <c r="X161" s="397">
        <v>4000</v>
      </c>
      <c r="Y161" s="118">
        <f>MyGrid3[[#This Row],[مايو]]/$X$187</f>
        <v>2.8276744498405901</v>
      </c>
      <c r="Z161" s="119" t="s">
        <v>64</v>
      </c>
      <c r="AA161" s="123"/>
      <c r="AB161" s="121">
        <f>MyGrid3[[#This Row],[يونيو]]/$AA$187</f>
        <v>0</v>
      </c>
      <c r="AC161" s="122" t="s">
        <v>64</v>
      </c>
      <c r="AD161" s="123"/>
      <c r="AE161" s="118">
        <f>MyGrid3[[#This Row],[يوليو]]/$AD$187</f>
        <v>0</v>
      </c>
      <c r="AF161" s="119" t="s">
        <v>64</v>
      </c>
      <c r="AG161" s="123"/>
      <c r="AH161" s="121">
        <f>MyGrid3[[#This Row],[أغسطس]]/$AG$187</f>
        <v>0</v>
      </c>
      <c r="AI161" s="122" t="s">
        <v>64</v>
      </c>
      <c r="AJ161" s="123"/>
      <c r="AK161" s="118">
        <f>MyGrid3[[#This Row],[سبتمبر]]/$AJ$187</f>
        <v>0</v>
      </c>
      <c r="AL161" s="119" t="s">
        <v>64</v>
      </c>
      <c r="AM161" s="123"/>
      <c r="AN161" s="121">
        <f>MyGrid3[[#This Row],[أكتوبر]]/$AM$187</f>
        <v>0</v>
      </c>
      <c r="AO161" s="122" t="s">
        <v>64</v>
      </c>
      <c r="AP161" s="123"/>
      <c r="AQ161" s="125">
        <f>MyGrid3[[#This Row],[نوفمبر]]/$AP$187</f>
        <v>0</v>
      </c>
      <c r="AR161" s="119" t="s">
        <v>64</v>
      </c>
      <c r="AS161" s="391"/>
      <c r="AT161" s="121">
        <f>MyGrid3[[#This Row],[ديسمبر]]/$AS$187</f>
        <v>0</v>
      </c>
      <c r="AU161" s="126">
        <f t="shared" si="3"/>
        <v>17900</v>
      </c>
      <c r="AV161" s="127">
        <f>MyGrid3[[#This Row],[الإجمالي]]/$AU$187</f>
        <v>1.4724923619600108</v>
      </c>
    </row>
    <row r="162" spans="1:48" s="128" customFormat="1" ht="33" hidden="1" customHeight="1">
      <c r="A162" s="110">
        <f>SUBTOTAL(3,$B$4:B162)</f>
        <v>1</v>
      </c>
      <c r="B162" s="111">
        <v>690276</v>
      </c>
      <c r="C162" s="112" t="s">
        <v>1112</v>
      </c>
      <c r="D162" s="113" t="s">
        <v>1099</v>
      </c>
      <c r="E162" s="160" t="s">
        <v>64</v>
      </c>
      <c r="F162" s="115">
        <f>RANK(G162,MyGrid3[الاساسي])</f>
        <v>49</v>
      </c>
      <c r="G162" s="130">
        <v>1000</v>
      </c>
      <c r="H162" s="114" t="s">
        <v>64</v>
      </c>
      <c r="I162" s="115">
        <f>RANK(J162,MyGrid3[يناير])</f>
        <v>9</v>
      </c>
      <c r="J162" s="141">
        <v>1700</v>
      </c>
      <c r="K162" s="118">
        <f>MyGrid3[[#This Row],[يناير]]/$J$187</f>
        <v>1.2035398230088497</v>
      </c>
      <c r="L162" s="119" t="s">
        <v>64</v>
      </c>
      <c r="M162" s="115">
        <f>RANK(N162,MyGrid3[فبراير])</f>
        <v>12</v>
      </c>
      <c r="N162" s="120">
        <v>1700</v>
      </c>
      <c r="O162" s="121">
        <f>MyGrid3[[#This Row],[فبراير]]/$N$187</f>
        <v>1.2035398230088497</v>
      </c>
      <c r="P162" s="122" t="s">
        <v>64</v>
      </c>
      <c r="Q162" s="115">
        <f>RANK(R162,MyGrid3[مارس])</f>
        <v>20</v>
      </c>
      <c r="R162" s="123">
        <v>1700</v>
      </c>
      <c r="S162" s="118">
        <f>MyGrid3[[#This Row],[مارس]]/$R$187</f>
        <v>1.2035398230088497</v>
      </c>
      <c r="T162" s="119" t="s">
        <v>64</v>
      </c>
      <c r="U162" s="397">
        <v>1700</v>
      </c>
      <c r="V162" s="121">
        <f>MyGrid3[[#This Row],[أبريل]]/$U$187</f>
        <v>1.2035398230088497</v>
      </c>
      <c r="W162" s="122" t="s">
        <v>64</v>
      </c>
      <c r="X162" s="138">
        <v>1658.33</v>
      </c>
      <c r="Y162" s="118">
        <f>MyGrid3[[#This Row],[مايو]]/$X$187</f>
        <v>1.1723043426010364</v>
      </c>
      <c r="Z162" s="119" t="s">
        <v>64</v>
      </c>
      <c r="AA162" s="123">
        <v>1658.33</v>
      </c>
      <c r="AB162" s="121">
        <f>MyGrid3[[#This Row],[يونيو]]/$AA$187</f>
        <v>7.6537130197996959</v>
      </c>
      <c r="AC162" s="122" t="s">
        <v>64</v>
      </c>
      <c r="AD162" s="123"/>
      <c r="AE162" s="118">
        <f>MyGrid3[[#This Row],[يوليو]]/$AD$187</f>
        <v>0</v>
      </c>
      <c r="AF162" s="119" t="s">
        <v>64</v>
      </c>
      <c r="AG162" s="123"/>
      <c r="AH162" s="121">
        <f>MyGrid3[[#This Row],[أغسطس]]/$AG$187</f>
        <v>0</v>
      </c>
      <c r="AI162" s="122" t="s">
        <v>64</v>
      </c>
      <c r="AJ162" s="123"/>
      <c r="AK162" s="118">
        <f>MyGrid3[[#This Row],[سبتمبر]]/$AJ$187</f>
        <v>0</v>
      </c>
      <c r="AL162" s="119" t="s">
        <v>64</v>
      </c>
      <c r="AM162" s="123"/>
      <c r="AN162" s="121">
        <f>MyGrid3[[#This Row],[أكتوبر]]/$AM$187</f>
        <v>0</v>
      </c>
      <c r="AO162" s="122" t="s">
        <v>64</v>
      </c>
      <c r="AP162" s="123">
        <v>620</v>
      </c>
      <c r="AQ162" s="125">
        <f>MyGrid3[[#This Row],[نوفمبر]]/$AP$187</f>
        <v>0.7630769230769231</v>
      </c>
      <c r="AR162" s="119" t="s">
        <v>64</v>
      </c>
      <c r="AS162" s="391">
        <v>1450</v>
      </c>
      <c r="AT162" s="121">
        <f>MyGrid3[[#This Row],[ديسمبر]]/$AS$187</f>
        <v>1.7846153846153847</v>
      </c>
      <c r="AU162" s="126">
        <f t="shared" si="3"/>
        <v>12186.66</v>
      </c>
      <c r="AV162" s="127">
        <f>MyGrid3[[#This Row],[الإجمالي]]/$AU$187</f>
        <v>1.0025007691510381</v>
      </c>
    </row>
    <row r="163" spans="1:48" s="128" customFormat="1" ht="33" hidden="1" customHeight="1">
      <c r="A163" s="110">
        <f>SUBTOTAL(3,$B$4:B163)</f>
        <v>1</v>
      </c>
      <c r="B163" s="111">
        <v>690277</v>
      </c>
      <c r="C163" s="112" t="s">
        <v>1113</v>
      </c>
      <c r="D163" s="113" t="s">
        <v>1099</v>
      </c>
      <c r="E163" s="160" t="s">
        <v>1007</v>
      </c>
      <c r="F163" s="115">
        <f>RANK(G163,MyGrid3[الاساسي])</f>
        <v>161</v>
      </c>
      <c r="G163" s="130">
        <v>250</v>
      </c>
      <c r="H163" s="157" t="s">
        <v>1007</v>
      </c>
      <c r="I163" s="115">
        <f>RANK(J163,MyGrid3[يناير])</f>
        <v>71</v>
      </c>
      <c r="J163" s="141">
        <v>412.5</v>
      </c>
      <c r="K163" s="118">
        <f>MyGrid3[[#This Row],[يناير]]/$J$187</f>
        <v>0.29203539823008851</v>
      </c>
      <c r="L163" s="158" t="s">
        <v>1007</v>
      </c>
      <c r="M163" s="115">
        <f>RANK(N163,MyGrid3[فبراير])</f>
        <v>81</v>
      </c>
      <c r="N163" s="120">
        <v>612.5</v>
      </c>
      <c r="O163" s="121">
        <f>MyGrid3[[#This Row],[فبراير]]/$N$187</f>
        <v>0.4336283185840708</v>
      </c>
      <c r="P163" s="159" t="s">
        <v>1007</v>
      </c>
      <c r="Q163" s="115">
        <f>RANK(R163,MyGrid3[مارس])</f>
        <v>94</v>
      </c>
      <c r="R163" s="123">
        <v>612.5</v>
      </c>
      <c r="S163" s="118">
        <f>MyGrid3[[#This Row],[مارس]]/$R$187</f>
        <v>0.4336283185840708</v>
      </c>
      <c r="T163" s="158" t="s">
        <v>1007</v>
      </c>
      <c r="U163" s="397">
        <v>687.5</v>
      </c>
      <c r="V163" s="121">
        <f>MyGrid3[[#This Row],[أبريل]]/$U$187</f>
        <v>0.48672566371681414</v>
      </c>
      <c r="W163" s="159" t="s">
        <v>1007</v>
      </c>
      <c r="X163" s="397"/>
      <c r="Y163" s="118">
        <f>MyGrid3[[#This Row],[مايو]]/$X$187</f>
        <v>0</v>
      </c>
      <c r="Z163" s="158" t="s">
        <v>1007</v>
      </c>
      <c r="AA163" s="123"/>
      <c r="AB163" s="121">
        <f>MyGrid3[[#This Row],[يونيو]]/$AA$187</f>
        <v>0</v>
      </c>
      <c r="AC163" s="159" t="s">
        <v>1007</v>
      </c>
      <c r="AD163" s="123"/>
      <c r="AE163" s="118">
        <f>MyGrid3[[#This Row],[يوليو]]/$AD$187</f>
        <v>0</v>
      </c>
      <c r="AF163" s="119" t="s">
        <v>1007</v>
      </c>
      <c r="AG163" s="123"/>
      <c r="AH163" s="121">
        <f>MyGrid3[[#This Row],[أغسطس]]/$AG$187</f>
        <v>0</v>
      </c>
      <c r="AI163" s="159" t="s">
        <v>1007</v>
      </c>
      <c r="AJ163" s="123"/>
      <c r="AK163" s="118">
        <f>MyGrid3[[#This Row],[سبتمبر]]/$AJ$187</f>
        <v>0</v>
      </c>
      <c r="AL163" s="158" t="s">
        <v>1007</v>
      </c>
      <c r="AM163" s="123"/>
      <c r="AN163" s="121">
        <f>MyGrid3[[#This Row],[أكتوبر]]/$AM$187</f>
        <v>0</v>
      </c>
      <c r="AO163" s="159" t="s">
        <v>1007</v>
      </c>
      <c r="AP163" s="123">
        <v>206.25</v>
      </c>
      <c r="AQ163" s="125">
        <f>MyGrid3[[#This Row],[نوفمبر]]/$AP$187</f>
        <v>0.25384615384615383</v>
      </c>
      <c r="AR163" s="158" t="s">
        <v>1007</v>
      </c>
      <c r="AS163" s="391">
        <v>687.5</v>
      </c>
      <c r="AT163" s="121">
        <f>MyGrid3[[#This Row],[ديسمبر]]/$AS$187</f>
        <v>0.84615384615384615</v>
      </c>
      <c r="AU163" s="126">
        <f t="shared" si="3"/>
        <v>3218.75</v>
      </c>
      <c r="AV163" s="127">
        <f>MyGrid3[[#This Row],[الإجمالي]]/$AU$187</f>
        <v>0.26478127318764161</v>
      </c>
    </row>
    <row r="164" spans="1:48" s="128" customFormat="1" ht="33" hidden="1" customHeight="1">
      <c r="A164" s="110">
        <f>SUBTOTAL(3,$B$4:B164)</f>
        <v>1</v>
      </c>
      <c r="B164" s="111">
        <v>690278</v>
      </c>
      <c r="C164" s="112" t="s">
        <v>1114</v>
      </c>
      <c r="D164" s="113" t="s">
        <v>1099</v>
      </c>
      <c r="E164" s="160" t="s">
        <v>64</v>
      </c>
      <c r="F164" s="115">
        <f>RANK(G164,MyGrid3[الاساسي])</f>
        <v>33</v>
      </c>
      <c r="G164" s="130">
        <v>1500</v>
      </c>
      <c r="H164" s="114" t="s">
        <v>64</v>
      </c>
      <c r="I164" s="115">
        <f>RANK(J164,MyGrid3[يناير])</f>
        <v>4</v>
      </c>
      <c r="J164" s="141">
        <v>3250</v>
      </c>
      <c r="K164" s="118">
        <f>MyGrid3[[#This Row],[يناير]]/$J$187</f>
        <v>2.3008849557522124</v>
      </c>
      <c r="L164" s="119" t="s">
        <v>64</v>
      </c>
      <c r="M164" s="115">
        <f>RANK(N164,MyGrid3[فبراير])</f>
        <v>5</v>
      </c>
      <c r="N164" s="120">
        <v>2500</v>
      </c>
      <c r="O164" s="121">
        <f>MyGrid3[[#This Row],[فبراير]]/$N$187</f>
        <v>1.7699115044247788</v>
      </c>
      <c r="P164" s="122" t="s">
        <v>64</v>
      </c>
      <c r="Q164" s="115">
        <f>RANK(R164,MyGrid3[مارس])</f>
        <v>6</v>
      </c>
      <c r="R164" s="123">
        <v>3250</v>
      </c>
      <c r="S164" s="118">
        <f>MyGrid3[[#This Row],[مارس]]/$R$187</f>
        <v>2.3008849557522124</v>
      </c>
      <c r="T164" s="119" t="s">
        <v>64</v>
      </c>
      <c r="U164" s="397">
        <v>3250</v>
      </c>
      <c r="V164" s="121">
        <f>MyGrid3[[#This Row],[أبريل]]/$U$187</f>
        <v>2.3008849557522124</v>
      </c>
      <c r="W164" s="122" t="s">
        <v>64</v>
      </c>
      <c r="X164" s="397">
        <v>3250</v>
      </c>
      <c r="Y164" s="118">
        <f>MyGrid3[[#This Row],[مايو]]/$X$187</f>
        <v>2.2974854904954793</v>
      </c>
      <c r="Z164" s="119" t="s">
        <v>64</v>
      </c>
      <c r="AA164" s="123">
        <v>3250</v>
      </c>
      <c r="AB164" s="121">
        <f>MyGrid3[[#This Row],[يونيو]]/$AA$187</f>
        <v>14.999769234319473</v>
      </c>
      <c r="AC164" s="122" t="s">
        <v>64</v>
      </c>
      <c r="AD164" s="123"/>
      <c r="AE164" s="118">
        <f>MyGrid3[[#This Row],[يوليو]]/$AD$187</f>
        <v>0</v>
      </c>
      <c r="AF164" s="119" t="s">
        <v>64</v>
      </c>
      <c r="AG164" s="123"/>
      <c r="AH164" s="121">
        <f>MyGrid3[[#This Row],[أغسطس]]/$AG$187</f>
        <v>0</v>
      </c>
      <c r="AI164" s="122" t="s">
        <v>64</v>
      </c>
      <c r="AJ164" s="123"/>
      <c r="AK164" s="118">
        <f>MyGrid3[[#This Row],[سبتمبر]]/$AJ$187</f>
        <v>0</v>
      </c>
      <c r="AL164" s="119" t="s">
        <v>64</v>
      </c>
      <c r="AM164" s="123"/>
      <c r="AN164" s="121">
        <f>MyGrid3[[#This Row],[أكتوبر]]/$AM$187</f>
        <v>0</v>
      </c>
      <c r="AO164" s="122" t="s">
        <v>64</v>
      </c>
      <c r="AP164" s="123"/>
      <c r="AQ164" s="125">
        <f>MyGrid3[[#This Row],[نوفمبر]]/$AP$187</f>
        <v>0</v>
      </c>
      <c r="AR164" s="119" t="s">
        <v>64</v>
      </c>
      <c r="AS164" s="391">
        <v>2856.25</v>
      </c>
      <c r="AT164" s="121">
        <f>MyGrid3[[#This Row],[ديسمبر]]/$AS$187</f>
        <v>3.5153846153846153</v>
      </c>
      <c r="AU164" s="126">
        <f t="shared" si="3"/>
        <v>21606.25</v>
      </c>
      <c r="AV164" s="127">
        <f>MyGrid3[[#This Row],[الإجمالي]]/$AU$187</f>
        <v>1.7773764299217027</v>
      </c>
    </row>
    <row r="165" spans="1:48" s="128" customFormat="1" ht="33" hidden="1" customHeight="1">
      <c r="A165" s="110">
        <f>SUBTOTAL(3,$B$4:B165)</f>
        <v>1</v>
      </c>
      <c r="B165" s="111">
        <v>690279</v>
      </c>
      <c r="C165" s="112" t="s">
        <v>974</v>
      </c>
      <c r="D165" s="113"/>
      <c r="E165" s="160" t="s">
        <v>64</v>
      </c>
      <c r="F165" s="115" t="e">
        <f>RANK(G165,MyGrid3[الاساسي])</f>
        <v>#N/A</v>
      </c>
      <c r="G165" s="130"/>
      <c r="H165" s="148" t="s">
        <v>64</v>
      </c>
      <c r="I165" s="115">
        <f>RANK(J165,MyGrid3[يناير])</f>
        <v>81</v>
      </c>
      <c r="J165" s="117">
        <v>0</v>
      </c>
      <c r="K165" s="118">
        <f>MyGrid3[[#This Row],[يناير]]/$J$187</f>
        <v>0</v>
      </c>
      <c r="L165" s="149" t="s">
        <v>64</v>
      </c>
      <c r="M165" s="115">
        <f>RANK(N165,MyGrid3[فبراير])</f>
        <v>101</v>
      </c>
      <c r="N165" s="134">
        <v>0</v>
      </c>
      <c r="O165" s="121">
        <f>MyGrid3[[#This Row],[فبراير]]/$N$187</f>
        <v>0</v>
      </c>
      <c r="P165" s="122" t="s">
        <v>64</v>
      </c>
      <c r="Q165" s="115">
        <f>RANK(R165,MyGrid3[مارس])</f>
        <v>110</v>
      </c>
      <c r="R165" s="123">
        <v>0</v>
      </c>
      <c r="S165" s="118">
        <f>MyGrid3[[#This Row],[مارس]]/$R$187</f>
        <v>0</v>
      </c>
      <c r="T165" s="119" t="s">
        <v>64</v>
      </c>
      <c r="U165" s="397"/>
      <c r="V165" s="121">
        <f>MyGrid3[[#This Row],[أبريل]]/$U$187</f>
        <v>0</v>
      </c>
      <c r="W165" s="122" t="s">
        <v>64</v>
      </c>
      <c r="X165" s="397"/>
      <c r="Y165" s="118">
        <f>MyGrid3[[#This Row],[مايو]]/$X$187</f>
        <v>0</v>
      </c>
      <c r="Z165" s="119" t="s">
        <v>64</v>
      </c>
      <c r="AA165" s="123"/>
      <c r="AB165" s="121">
        <f>MyGrid3[[#This Row],[يونيو]]/$AA$187</f>
        <v>0</v>
      </c>
      <c r="AC165" s="122" t="s">
        <v>64</v>
      </c>
      <c r="AD165" s="123"/>
      <c r="AE165" s="118">
        <f>MyGrid3[[#This Row],[يوليو]]/$AD$187</f>
        <v>0</v>
      </c>
      <c r="AF165" s="119" t="s">
        <v>64</v>
      </c>
      <c r="AG165" s="138"/>
      <c r="AH165" s="121">
        <f>MyGrid3[[#This Row],[أغسطس]]/$AG$187</f>
        <v>0</v>
      </c>
      <c r="AI165" s="122" t="s">
        <v>64</v>
      </c>
      <c r="AJ165" s="123"/>
      <c r="AK165" s="118">
        <f>MyGrid3[[#This Row],[سبتمبر]]/$AJ$187</f>
        <v>0</v>
      </c>
      <c r="AL165" s="119" t="s">
        <v>64</v>
      </c>
      <c r="AM165" s="123"/>
      <c r="AN165" s="121">
        <f>MyGrid3[[#This Row],[أكتوبر]]/$AM$187</f>
        <v>0</v>
      </c>
      <c r="AO165" s="122" t="s">
        <v>64</v>
      </c>
      <c r="AP165" s="123"/>
      <c r="AQ165" s="125">
        <f>MyGrid3[[#This Row],[نوفمبر]]/$AP$187</f>
        <v>0</v>
      </c>
      <c r="AR165" s="119" t="s">
        <v>64</v>
      </c>
      <c r="AS165" s="391"/>
      <c r="AT165" s="121">
        <f>MyGrid3[[#This Row],[ديسمبر]]/$AS$187</f>
        <v>0</v>
      </c>
      <c r="AU165" s="126">
        <f t="shared" si="3"/>
        <v>0</v>
      </c>
      <c r="AV165" s="127">
        <f>MyGrid3[[#This Row],[الإجمالي]]/$AU$187</f>
        <v>0</v>
      </c>
    </row>
    <row r="166" spans="1:48" s="128" customFormat="1" ht="33" hidden="1" customHeight="1">
      <c r="A166" s="110">
        <f>SUBTOTAL(3,$B$4:B166)</f>
        <v>1</v>
      </c>
      <c r="B166" s="111">
        <v>690280</v>
      </c>
      <c r="C166" s="112" t="s">
        <v>1115</v>
      </c>
      <c r="D166" s="113" t="s">
        <v>984</v>
      </c>
      <c r="E166" s="160" t="s">
        <v>994</v>
      </c>
      <c r="F166" s="115" t="e">
        <f>RANK(G166,MyGrid3[الاساسي])</f>
        <v>#N/A</v>
      </c>
      <c r="G166" s="130"/>
      <c r="H166" s="151" t="s">
        <v>994</v>
      </c>
      <c r="I166" s="115">
        <f>RANK(J166,MyGrid3[يناير])</f>
        <v>81</v>
      </c>
      <c r="J166" s="117">
        <v>0</v>
      </c>
      <c r="K166" s="118">
        <f>MyGrid3[[#This Row],[يناير]]/$J$187</f>
        <v>0</v>
      </c>
      <c r="L166" s="152" t="s">
        <v>994</v>
      </c>
      <c r="M166" s="115">
        <f>RANK(N166,MyGrid3[فبراير])</f>
        <v>101</v>
      </c>
      <c r="N166" s="134">
        <v>0</v>
      </c>
      <c r="O166" s="121">
        <f>MyGrid3[[#This Row],[فبراير]]/$N$187</f>
        <v>0</v>
      </c>
      <c r="P166" s="153" t="s">
        <v>994</v>
      </c>
      <c r="Q166" s="115">
        <f>RANK(R166,MyGrid3[مارس])</f>
        <v>81</v>
      </c>
      <c r="R166" s="123">
        <v>700</v>
      </c>
      <c r="S166" s="118">
        <f>MyGrid3[[#This Row],[مارس]]/$R$187</f>
        <v>0.49557522123893805</v>
      </c>
      <c r="T166" s="152" t="s">
        <v>994</v>
      </c>
      <c r="U166" s="397">
        <v>700</v>
      </c>
      <c r="V166" s="121">
        <f>MyGrid3[[#This Row],[أبريل]]/$U$187</f>
        <v>0.49557522123893805</v>
      </c>
      <c r="W166" s="153" t="s">
        <v>994</v>
      </c>
      <c r="X166" s="397">
        <v>700</v>
      </c>
      <c r="Y166" s="118">
        <f>MyGrid3[[#This Row],[مايو]]/$X$187</f>
        <v>0.49484302872210323</v>
      </c>
      <c r="Z166" s="152" t="s">
        <v>994</v>
      </c>
      <c r="AA166" s="123">
        <v>550</v>
      </c>
      <c r="AB166" s="121">
        <f>MyGrid3[[#This Row],[يونيو]]/$AA$187</f>
        <v>2.538422485807911</v>
      </c>
      <c r="AC166" s="153" t="s">
        <v>994</v>
      </c>
      <c r="AD166" s="123"/>
      <c r="AE166" s="118">
        <f>MyGrid3[[#This Row],[يوليو]]/$AD$187</f>
        <v>0</v>
      </c>
      <c r="AF166" s="119" t="s">
        <v>994</v>
      </c>
      <c r="AG166" s="138"/>
      <c r="AH166" s="121">
        <f>MyGrid3[[#This Row],[أغسطس]]/$AG$187</f>
        <v>0</v>
      </c>
      <c r="AI166" s="153" t="s">
        <v>994</v>
      </c>
      <c r="AJ166" s="123"/>
      <c r="AK166" s="118">
        <f>MyGrid3[[#This Row],[سبتمبر]]/$AJ$187</f>
        <v>0</v>
      </c>
      <c r="AL166" s="152" t="s">
        <v>994</v>
      </c>
      <c r="AM166" s="123"/>
      <c r="AN166" s="121">
        <f>MyGrid3[[#This Row],[أكتوبر]]/$AM$187</f>
        <v>0</v>
      </c>
      <c r="AO166" s="153" t="s">
        <v>994</v>
      </c>
      <c r="AP166" s="123"/>
      <c r="AQ166" s="125">
        <f>MyGrid3[[#This Row],[نوفمبر]]/$AP$187</f>
        <v>0</v>
      </c>
      <c r="AR166" s="152" t="s">
        <v>994</v>
      </c>
      <c r="AS166" s="391">
        <v>36.67</v>
      </c>
      <c r="AT166" s="121">
        <f>MyGrid3[[#This Row],[ديسمبر]]/$AS$187</f>
        <v>4.5132307692307694E-2</v>
      </c>
      <c r="AU166" s="126">
        <f t="shared" si="3"/>
        <v>2686.67</v>
      </c>
      <c r="AV166" s="127">
        <f>MyGrid3[[#This Row],[الإجمالي]]/$AU$187</f>
        <v>0.22101123207302245</v>
      </c>
    </row>
    <row r="167" spans="1:48" s="128" customFormat="1" ht="33" customHeight="1" thickBot="1">
      <c r="A167" s="110">
        <f>SUBTOTAL(3,$B$4:B167)</f>
        <v>2</v>
      </c>
      <c r="B167" s="111">
        <v>792273</v>
      </c>
      <c r="C167" s="112" t="s">
        <v>1116</v>
      </c>
      <c r="D167" s="113"/>
      <c r="E167" s="160" t="s">
        <v>64</v>
      </c>
      <c r="F167" s="115">
        <f>RANK(G167,MyGrid3[الاساسي])</f>
        <v>135</v>
      </c>
      <c r="G167" s="130">
        <v>350</v>
      </c>
      <c r="H167" s="114" t="s">
        <v>64</v>
      </c>
      <c r="I167" s="115">
        <f>RANK(J167,MyGrid3[يناير])</f>
        <v>69</v>
      </c>
      <c r="J167" s="141">
        <v>437.5</v>
      </c>
      <c r="K167" s="118">
        <f>MyGrid3[[#This Row],[يناير]]/$J$187</f>
        <v>0.30973451327433627</v>
      </c>
      <c r="L167" s="119" t="s">
        <v>64</v>
      </c>
      <c r="M167" s="115">
        <f>RANK(N167,MyGrid3[فبراير])</f>
        <v>88</v>
      </c>
      <c r="N167" s="120">
        <v>437.5</v>
      </c>
      <c r="O167" s="121">
        <f>MyGrid3[[#This Row],[فبراير]]/$N$187</f>
        <v>0.30973451327433627</v>
      </c>
      <c r="P167" s="122" t="s">
        <v>64</v>
      </c>
      <c r="Q167" s="115">
        <f>RANK(R167,MyGrid3[مارس])</f>
        <v>101</v>
      </c>
      <c r="R167" s="123">
        <v>437.5</v>
      </c>
      <c r="S167" s="118">
        <f>MyGrid3[[#This Row],[مارس]]/$R$187</f>
        <v>0.30973451327433627</v>
      </c>
      <c r="T167" s="119" t="s">
        <v>64</v>
      </c>
      <c r="U167" s="397">
        <v>437.5</v>
      </c>
      <c r="V167" s="121">
        <f>MyGrid3[[#This Row],[أبريل]]/$U$187</f>
        <v>0.30973451327433627</v>
      </c>
      <c r="W167" s="122" t="s">
        <v>64</v>
      </c>
      <c r="X167" s="397">
        <v>466.67</v>
      </c>
      <c r="Y167" s="118">
        <f>MyGrid3[[#This Row],[مايو]]/$X$187</f>
        <v>0.32989770887677705</v>
      </c>
      <c r="Z167" s="119" t="s">
        <v>64</v>
      </c>
      <c r="AA167" s="123"/>
      <c r="AB167" s="121">
        <f>MyGrid3[[#This Row],[يونيو]]/$AA$187</f>
        <v>0</v>
      </c>
      <c r="AC167" s="122" t="s">
        <v>64</v>
      </c>
      <c r="AD167" s="123"/>
      <c r="AE167" s="118">
        <f>MyGrid3[[#This Row],[يوليو]]/$AD$187</f>
        <v>0</v>
      </c>
      <c r="AF167" s="119" t="s">
        <v>64</v>
      </c>
      <c r="AG167" s="123"/>
      <c r="AH167" s="121">
        <f>MyGrid3[[#This Row],[أغسطس]]/$AG$187</f>
        <v>0</v>
      </c>
      <c r="AI167" s="122" t="s">
        <v>64</v>
      </c>
      <c r="AJ167" s="123"/>
      <c r="AK167" s="118">
        <f>MyGrid3[[#This Row],[سبتمبر]]/$AJ$187</f>
        <v>0</v>
      </c>
      <c r="AL167" s="119" t="s">
        <v>64</v>
      </c>
      <c r="AM167" s="123"/>
      <c r="AN167" s="121">
        <f>MyGrid3[[#This Row],[أكتوبر]]/$AM$187</f>
        <v>0</v>
      </c>
      <c r="AO167" s="122" t="s">
        <v>64</v>
      </c>
      <c r="AP167" s="123"/>
      <c r="AQ167" s="125">
        <f>MyGrid3[[#This Row],[نوفمبر]]/$AP$187</f>
        <v>0</v>
      </c>
      <c r="AR167" s="119" t="s">
        <v>64</v>
      </c>
      <c r="AS167" s="391"/>
      <c r="AT167" s="121">
        <f>MyGrid3[[#This Row],[ديسمبر]]/$AS$187</f>
        <v>0</v>
      </c>
      <c r="AU167" s="126">
        <f t="shared" si="3"/>
        <v>2216.67</v>
      </c>
      <c r="AV167" s="127">
        <f>MyGrid3[[#This Row],[الإجمالي]]/$AU$187</f>
        <v>0.1823480248036814</v>
      </c>
    </row>
    <row r="168" spans="1:48" s="128" customFormat="1" ht="33" hidden="1" customHeight="1">
      <c r="A168" s="110">
        <f>SUBTOTAL(3,$B$4:B168)</f>
        <v>2</v>
      </c>
      <c r="B168" s="111">
        <v>792345</v>
      </c>
      <c r="C168" s="112" t="s">
        <v>1117</v>
      </c>
      <c r="D168" s="113" t="s">
        <v>984</v>
      </c>
      <c r="E168" s="160" t="s">
        <v>63</v>
      </c>
      <c r="F168" s="115">
        <f>RANK(G168,MyGrid3[الاساسي])</f>
        <v>135</v>
      </c>
      <c r="G168" s="116">
        <v>350</v>
      </c>
      <c r="H168" s="161" t="s">
        <v>63</v>
      </c>
      <c r="I168" s="115">
        <f>RANK(J168,MyGrid3[يناير])</f>
        <v>69</v>
      </c>
      <c r="J168" s="141">
        <v>437.5</v>
      </c>
      <c r="K168" s="118">
        <f>MyGrid3[[#This Row],[يناير]]/$J$187</f>
        <v>0.30973451327433627</v>
      </c>
      <c r="L168" s="162" t="s">
        <v>63</v>
      </c>
      <c r="M168" s="115">
        <f>RANK(N168,MyGrid3[فبراير])</f>
        <v>88</v>
      </c>
      <c r="N168" s="120">
        <v>437.5</v>
      </c>
      <c r="O168" s="121">
        <f>MyGrid3[[#This Row],[فبراير]]/$N$187</f>
        <v>0.30973451327433627</v>
      </c>
      <c r="P168" s="163" t="s">
        <v>63</v>
      </c>
      <c r="Q168" s="115">
        <f>RANK(R168,MyGrid3[مارس])</f>
        <v>101</v>
      </c>
      <c r="R168" s="123">
        <v>437.5</v>
      </c>
      <c r="S168" s="118">
        <f>MyGrid3[[#This Row],[مارس]]/$R$187</f>
        <v>0.30973451327433627</v>
      </c>
      <c r="T168" s="162" t="s">
        <v>63</v>
      </c>
      <c r="U168" s="397">
        <v>437.5</v>
      </c>
      <c r="V168" s="121">
        <f>MyGrid3[[#This Row],[أبريل]]/$U$187</f>
        <v>0.30973451327433627</v>
      </c>
      <c r="W168" s="163" t="s">
        <v>63</v>
      </c>
      <c r="X168" s="138">
        <v>466.67</v>
      </c>
      <c r="Y168" s="118">
        <f>MyGrid3[[#This Row],[مايو]]/$X$187</f>
        <v>0.32989770887677705</v>
      </c>
      <c r="Z168" s="162" t="s">
        <v>63</v>
      </c>
      <c r="AA168" s="123">
        <v>466.67</v>
      </c>
      <c r="AB168" s="121">
        <f>MyGrid3[[#This Row],[يونيو]]/$AA$187</f>
        <v>2.1538284026399594</v>
      </c>
      <c r="AC168" s="163" t="s">
        <v>63</v>
      </c>
      <c r="AD168" s="123">
        <v>437.5</v>
      </c>
      <c r="AE168" s="118">
        <f>MyGrid3[[#This Row],[يوليو]]/$AD$187</f>
        <v>0.53846153846153844</v>
      </c>
      <c r="AF168" s="119" t="s">
        <v>63</v>
      </c>
      <c r="AG168" s="144">
        <v>437.5</v>
      </c>
      <c r="AH168" s="121">
        <f>MyGrid3[[#This Row],[أغسطس]]/$AG$187</f>
        <v>0.53846153846153844</v>
      </c>
      <c r="AI168" s="163" t="s">
        <v>63</v>
      </c>
      <c r="AJ168" s="123">
        <v>402.5</v>
      </c>
      <c r="AK168" s="118">
        <f>MyGrid3[[#This Row],[سبتمبر]]/$AJ$187</f>
        <v>0.49538461538461537</v>
      </c>
      <c r="AL168" s="162" t="s">
        <v>63</v>
      </c>
      <c r="AM168" s="123">
        <v>825</v>
      </c>
      <c r="AN168" s="121">
        <f>MyGrid3[[#This Row],[أكتوبر]]/$AM$187</f>
        <v>1.0153846153846153</v>
      </c>
      <c r="AO168" s="163" t="s">
        <v>63</v>
      </c>
      <c r="AP168" s="123"/>
      <c r="AQ168" s="125">
        <f>MyGrid3[[#This Row],[نوفمبر]]/$AP$187</f>
        <v>0</v>
      </c>
      <c r="AR168" s="162" t="s">
        <v>63</v>
      </c>
      <c r="AS168" s="391"/>
      <c r="AT168" s="121">
        <f>MyGrid3[[#This Row],[ديسمبر]]/$AS$187</f>
        <v>0</v>
      </c>
      <c r="AU168" s="126">
        <f t="shared" si="3"/>
        <v>4785.84</v>
      </c>
      <c r="AV168" s="127">
        <f>MyGrid3[[#This Row],[الإجمالي]]/$AU$187</f>
        <v>0.39369345505936859</v>
      </c>
    </row>
    <row r="169" spans="1:48" s="128" customFormat="1" ht="33" hidden="1" customHeight="1">
      <c r="A169" s="110">
        <f>SUBTOTAL(3,$B$4:B169)</f>
        <v>2</v>
      </c>
      <c r="B169" s="111">
        <v>793887</v>
      </c>
      <c r="C169" s="112" t="s">
        <v>1118</v>
      </c>
      <c r="D169" s="113"/>
      <c r="E169" s="114" t="s">
        <v>64</v>
      </c>
      <c r="F169" s="115">
        <f>RANK(G169,MyGrid3[الاساسي])</f>
        <v>107</v>
      </c>
      <c r="G169" s="130">
        <v>500</v>
      </c>
      <c r="H169" s="114" t="s">
        <v>64</v>
      </c>
      <c r="I169" s="115">
        <f>RANK(J169,MyGrid3[يناير])</f>
        <v>81</v>
      </c>
      <c r="J169" s="117">
        <v>0</v>
      </c>
      <c r="K169" s="118">
        <f>MyGrid3[[#This Row],[يناير]]/$J$187</f>
        <v>0</v>
      </c>
      <c r="L169" s="119" t="s">
        <v>64</v>
      </c>
      <c r="M169" s="115">
        <f>RANK(N169,MyGrid3[فبراير])</f>
        <v>96</v>
      </c>
      <c r="N169" s="120">
        <v>93.34</v>
      </c>
      <c r="O169" s="121">
        <f>MyGrid3[[#This Row],[فبراير]]/$N$187</f>
        <v>6.6081415929203538E-2</v>
      </c>
      <c r="P169" s="122" t="s">
        <v>64</v>
      </c>
      <c r="Q169" s="115">
        <f>RANK(R169,MyGrid3[مارس])</f>
        <v>60</v>
      </c>
      <c r="R169" s="123">
        <v>866.67</v>
      </c>
      <c r="S169" s="118">
        <f>MyGrid3[[#This Row],[مارس]]/$R$187</f>
        <v>0.61357168141592922</v>
      </c>
      <c r="T169" s="119" t="s">
        <v>64</v>
      </c>
      <c r="U169" s="397"/>
      <c r="V169" s="121">
        <f>MyGrid3[[#This Row],[أبريل]]/$U$187</f>
        <v>0</v>
      </c>
      <c r="W169" s="122" t="s">
        <v>64</v>
      </c>
      <c r="X169" s="397"/>
      <c r="Y169" s="118">
        <f>MyGrid3[[#This Row],[مايو]]/$X$187</f>
        <v>0</v>
      </c>
      <c r="Z169" s="119" t="s">
        <v>64</v>
      </c>
      <c r="AA169" s="123"/>
      <c r="AB169" s="121">
        <f>MyGrid3[[#This Row],[يونيو]]/$AA$187</f>
        <v>0</v>
      </c>
      <c r="AC169" s="122" t="s">
        <v>64</v>
      </c>
      <c r="AD169" s="123"/>
      <c r="AE169" s="118">
        <f>MyGrid3[[#This Row],[يوليو]]/$AD$187</f>
        <v>0</v>
      </c>
      <c r="AF169" s="119" t="s">
        <v>64</v>
      </c>
      <c r="AG169" s="138"/>
      <c r="AH169" s="121">
        <f>MyGrid3[[#This Row],[أغسطس]]/$AG$187</f>
        <v>0</v>
      </c>
      <c r="AI169" s="122" t="s">
        <v>64</v>
      </c>
      <c r="AJ169" s="123"/>
      <c r="AK169" s="118">
        <f>MyGrid3[[#This Row],[سبتمبر]]/$AJ$187</f>
        <v>0</v>
      </c>
      <c r="AL169" s="119" t="s">
        <v>64</v>
      </c>
      <c r="AM169" s="123"/>
      <c r="AN169" s="121">
        <f>MyGrid3[[#This Row],[أكتوبر]]/$AM$187</f>
        <v>0</v>
      </c>
      <c r="AO169" s="122" t="s">
        <v>64</v>
      </c>
      <c r="AP169" s="123"/>
      <c r="AQ169" s="125">
        <f>MyGrid3[[#This Row],[نوفمبر]]/$AP$187</f>
        <v>0</v>
      </c>
      <c r="AR169" s="119" t="s">
        <v>64</v>
      </c>
      <c r="AS169" s="391"/>
      <c r="AT169" s="121">
        <f>MyGrid3[[#This Row],[ديسمبر]]/$AS$187</f>
        <v>0</v>
      </c>
      <c r="AU169" s="126">
        <f t="shared" si="3"/>
        <v>960.01</v>
      </c>
      <c r="AV169" s="127">
        <f>MyGrid3[[#This Row],[الإجمالي]]/$AU$187</f>
        <v>7.8972480022638541E-2</v>
      </c>
    </row>
    <row r="170" spans="1:48" s="128" customFormat="1" ht="33" hidden="1" customHeight="1">
      <c r="A170" s="110">
        <f>SUBTOTAL(3,$B$4:B170)</f>
        <v>2</v>
      </c>
      <c r="B170" s="111">
        <v>793906</v>
      </c>
      <c r="C170" s="112" t="s">
        <v>1119</v>
      </c>
      <c r="D170" s="113"/>
      <c r="E170" s="114" t="s">
        <v>64</v>
      </c>
      <c r="F170" s="115">
        <f>RANK(G170,MyGrid3[الاساسي])</f>
        <v>107</v>
      </c>
      <c r="G170" s="130">
        <v>500</v>
      </c>
      <c r="H170" s="114" t="s">
        <v>64</v>
      </c>
      <c r="I170" s="115">
        <f>RANK(J170,MyGrid3[يناير])</f>
        <v>81</v>
      </c>
      <c r="J170" s="117">
        <v>0</v>
      </c>
      <c r="K170" s="118">
        <f>MyGrid3[[#This Row],[يناير]]/$J$187</f>
        <v>0</v>
      </c>
      <c r="L170" s="119" t="s">
        <v>64</v>
      </c>
      <c r="M170" s="115">
        <f>RANK(N170,MyGrid3[فبراير])</f>
        <v>96</v>
      </c>
      <c r="N170" s="120">
        <v>93.34</v>
      </c>
      <c r="O170" s="121">
        <f>MyGrid3[[#This Row],[فبراير]]/$N$187</f>
        <v>6.6081415929203538E-2</v>
      </c>
      <c r="P170" s="122" t="s">
        <v>64</v>
      </c>
      <c r="Q170" s="115">
        <f>RANK(R170,MyGrid3[مارس])</f>
        <v>60</v>
      </c>
      <c r="R170" s="123">
        <v>866.67</v>
      </c>
      <c r="S170" s="118">
        <f>MyGrid3[[#This Row],[مارس]]/$R$187</f>
        <v>0.61357168141592922</v>
      </c>
      <c r="T170" s="119" t="s">
        <v>64</v>
      </c>
      <c r="U170" s="397"/>
      <c r="V170" s="121">
        <f>MyGrid3[[#This Row],[أبريل]]/$U$187</f>
        <v>0</v>
      </c>
      <c r="W170" s="122" t="s">
        <v>64</v>
      </c>
      <c r="X170" s="397"/>
      <c r="Y170" s="118">
        <f>MyGrid3[[#This Row],[مايو]]/$X$187</f>
        <v>0</v>
      </c>
      <c r="Z170" s="119" t="s">
        <v>64</v>
      </c>
      <c r="AA170" s="123"/>
      <c r="AB170" s="121">
        <f>MyGrid3[[#This Row],[يونيو]]/$AA$187</f>
        <v>0</v>
      </c>
      <c r="AC170" s="122" t="s">
        <v>64</v>
      </c>
      <c r="AD170" s="123"/>
      <c r="AE170" s="118">
        <f>MyGrid3[[#This Row],[يوليو]]/$AD$187</f>
        <v>0</v>
      </c>
      <c r="AF170" s="119" t="s">
        <v>64</v>
      </c>
      <c r="AG170" s="138"/>
      <c r="AH170" s="121">
        <f>MyGrid3[[#This Row],[أغسطس]]/$AG$187</f>
        <v>0</v>
      </c>
      <c r="AI170" s="122" t="s">
        <v>64</v>
      </c>
      <c r="AJ170" s="123"/>
      <c r="AK170" s="118">
        <f>MyGrid3[[#This Row],[سبتمبر]]/$AJ$187</f>
        <v>0</v>
      </c>
      <c r="AL170" s="119" t="s">
        <v>64</v>
      </c>
      <c r="AM170" s="123"/>
      <c r="AN170" s="121">
        <f>MyGrid3[[#This Row],[أكتوبر]]/$AM$187</f>
        <v>0</v>
      </c>
      <c r="AO170" s="122" t="s">
        <v>64</v>
      </c>
      <c r="AP170" s="123"/>
      <c r="AQ170" s="125">
        <f>MyGrid3[[#This Row],[نوفمبر]]/$AP$187</f>
        <v>0</v>
      </c>
      <c r="AR170" s="119" t="s">
        <v>64</v>
      </c>
      <c r="AS170" s="391"/>
      <c r="AT170" s="121">
        <f>MyGrid3[[#This Row],[ديسمبر]]/$AS$187</f>
        <v>0</v>
      </c>
      <c r="AU170" s="126">
        <f t="shared" si="3"/>
        <v>960.01</v>
      </c>
      <c r="AV170" s="127">
        <f>MyGrid3[[#This Row],[الإجمالي]]/$AU$187</f>
        <v>7.8972480022638541E-2</v>
      </c>
    </row>
    <row r="171" spans="1:48" s="128" customFormat="1" ht="33" hidden="1" customHeight="1">
      <c r="A171" s="110">
        <f>SUBTOTAL(3,$B$4:B171)</f>
        <v>2</v>
      </c>
      <c r="B171" s="111">
        <v>793933</v>
      </c>
      <c r="C171" s="112" t="s">
        <v>1120</v>
      </c>
      <c r="D171" s="113"/>
      <c r="E171" s="114" t="s">
        <v>64</v>
      </c>
      <c r="F171" s="115">
        <f>RANK(G171,MyGrid3[الاساسي])</f>
        <v>107</v>
      </c>
      <c r="G171" s="130">
        <v>500</v>
      </c>
      <c r="H171" s="114" t="s">
        <v>64</v>
      </c>
      <c r="I171" s="115">
        <f>RANK(J171,MyGrid3[يناير])</f>
        <v>81</v>
      </c>
      <c r="J171" s="117">
        <v>0</v>
      </c>
      <c r="K171" s="118">
        <f>MyGrid3[[#This Row],[يناير]]/$J$187</f>
        <v>0</v>
      </c>
      <c r="L171" s="119" t="s">
        <v>64</v>
      </c>
      <c r="M171" s="115">
        <f>RANK(N171,MyGrid3[فبراير])</f>
        <v>96</v>
      </c>
      <c r="N171" s="120">
        <v>93.34</v>
      </c>
      <c r="O171" s="121">
        <f>MyGrid3[[#This Row],[فبراير]]/$N$187</f>
        <v>6.6081415929203538E-2</v>
      </c>
      <c r="P171" s="122" t="s">
        <v>64</v>
      </c>
      <c r="Q171" s="115">
        <f>RANK(R171,MyGrid3[مارس])</f>
        <v>60</v>
      </c>
      <c r="R171" s="123">
        <v>866.67</v>
      </c>
      <c r="S171" s="118">
        <f>MyGrid3[[#This Row],[مارس]]/$R$187</f>
        <v>0.61357168141592922</v>
      </c>
      <c r="T171" s="119" t="s">
        <v>64</v>
      </c>
      <c r="U171" s="397"/>
      <c r="V171" s="121">
        <f>MyGrid3[[#This Row],[أبريل]]/$U$187</f>
        <v>0</v>
      </c>
      <c r="W171" s="122" t="s">
        <v>64</v>
      </c>
      <c r="X171" s="397"/>
      <c r="Y171" s="118">
        <f>MyGrid3[[#This Row],[مايو]]/$X$187</f>
        <v>0</v>
      </c>
      <c r="Z171" s="119" t="s">
        <v>64</v>
      </c>
      <c r="AA171" s="123"/>
      <c r="AB171" s="121">
        <f>MyGrid3[[#This Row],[يونيو]]/$AA$187</f>
        <v>0</v>
      </c>
      <c r="AC171" s="122" t="s">
        <v>64</v>
      </c>
      <c r="AD171" s="123"/>
      <c r="AE171" s="118">
        <f>MyGrid3[[#This Row],[يوليو]]/$AD$187</f>
        <v>0</v>
      </c>
      <c r="AF171" s="119" t="s">
        <v>64</v>
      </c>
      <c r="AG171" s="138"/>
      <c r="AH171" s="121">
        <f>MyGrid3[[#This Row],[أغسطس]]/$AG$187</f>
        <v>0</v>
      </c>
      <c r="AI171" s="122" t="s">
        <v>64</v>
      </c>
      <c r="AJ171" s="123"/>
      <c r="AK171" s="118">
        <f>MyGrid3[[#This Row],[سبتمبر]]/$AJ$187</f>
        <v>0</v>
      </c>
      <c r="AL171" s="119" t="s">
        <v>64</v>
      </c>
      <c r="AM171" s="123"/>
      <c r="AN171" s="121">
        <f>MyGrid3[[#This Row],[أكتوبر]]/$AM$187</f>
        <v>0</v>
      </c>
      <c r="AO171" s="122" t="s">
        <v>64</v>
      </c>
      <c r="AP171" s="123"/>
      <c r="AQ171" s="125">
        <f>MyGrid3[[#This Row],[نوفمبر]]/$AP$187</f>
        <v>0</v>
      </c>
      <c r="AR171" s="119" t="s">
        <v>64</v>
      </c>
      <c r="AS171" s="391"/>
      <c r="AT171" s="121">
        <f>MyGrid3[[#This Row],[ديسمبر]]/$AS$187</f>
        <v>0</v>
      </c>
      <c r="AU171" s="126">
        <f t="shared" si="3"/>
        <v>960.01</v>
      </c>
      <c r="AV171" s="127">
        <f>MyGrid3[[#This Row],[الإجمالي]]/$AU$187</f>
        <v>7.8972480022638541E-2</v>
      </c>
    </row>
    <row r="172" spans="1:48" s="128" customFormat="1" ht="33" hidden="1" customHeight="1">
      <c r="A172" s="110">
        <f>SUBTOTAL(3,$B$4:B172)</f>
        <v>2</v>
      </c>
      <c r="B172" s="111">
        <v>794239</v>
      </c>
      <c r="C172" s="112" t="s">
        <v>1121</v>
      </c>
      <c r="D172" s="113"/>
      <c r="E172" s="114" t="s">
        <v>64</v>
      </c>
      <c r="F172" s="115">
        <f>RANK(G172,MyGrid3[الاساسي])</f>
        <v>107</v>
      </c>
      <c r="G172" s="130">
        <v>500</v>
      </c>
      <c r="H172" s="114" t="s">
        <v>64</v>
      </c>
      <c r="I172" s="115">
        <f>RANK(J172,MyGrid3[يناير])</f>
        <v>81</v>
      </c>
      <c r="J172" s="117">
        <v>0</v>
      </c>
      <c r="K172" s="118">
        <f>MyGrid3[[#This Row],[يناير]]/$J$187</f>
        <v>0</v>
      </c>
      <c r="L172" s="119" t="s">
        <v>64</v>
      </c>
      <c r="M172" s="115">
        <f>RANK(N172,MyGrid3[فبراير])</f>
        <v>49</v>
      </c>
      <c r="N172" s="120">
        <v>825</v>
      </c>
      <c r="O172" s="121">
        <f>MyGrid3[[#This Row],[فبراير]]/$N$187</f>
        <v>0.58407079646017701</v>
      </c>
      <c r="P172" s="122" t="s">
        <v>64</v>
      </c>
      <c r="Q172" s="115">
        <f>RANK(R172,MyGrid3[مارس])</f>
        <v>64</v>
      </c>
      <c r="R172" s="123">
        <v>825</v>
      </c>
      <c r="S172" s="118">
        <f>MyGrid3[[#This Row],[مارس]]/$R$187</f>
        <v>0.58407079646017701</v>
      </c>
      <c r="T172" s="119" t="s">
        <v>64</v>
      </c>
      <c r="U172" s="397">
        <v>825</v>
      </c>
      <c r="V172" s="121">
        <f>MyGrid3[[#This Row],[أبريل]]/$U$187</f>
        <v>0.58407079646017701</v>
      </c>
      <c r="W172" s="122" t="s">
        <v>64</v>
      </c>
      <c r="X172" s="397">
        <v>700</v>
      </c>
      <c r="Y172" s="118">
        <f>MyGrid3[[#This Row],[مايو]]/$X$187</f>
        <v>0.49484302872210323</v>
      </c>
      <c r="Z172" s="119" t="s">
        <v>64</v>
      </c>
      <c r="AA172" s="123"/>
      <c r="AB172" s="121">
        <f>MyGrid3[[#This Row],[يونيو]]/$AA$187</f>
        <v>0</v>
      </c>
      <c r="AC172" s="122" t="s">
        <v>64</v>
      </c>
      <c r="AD172" s="123"/>
      <c r="AE172" s="118">
        <f>MyGrid3[[#This Row],[يوليو]]/$AD$187</f>
        <v>0</v>
      </c>
      <c r="AF172" s="119" t="s">
        <v>64</v>
      </c>
      <c r="AG172" s="138"/>
      <c r="AH172" s="121">
        <f>MyGrid3[[#This Row],[أغسطس]]/$AG$187</f>
        <v>0</v>
      </c>
      <c r="AI172" s="122" t="s">
        <v>64</v>
      </c>
      <c r="AJ172" s="123"/>
      <c r="AK172" s="118">
        <f>MyGrid3[[#This Row],[سبتمبر]]/$AJ$187</f>
        <v>0</v>
      </c>
      <c r="AL172" s="119" t="s">
        <v>64</v>
      </c>
      <c r="AM172" s="123"/>
      <c r="AN172" s="121">
        <f>MyGrid3[[#This Row],[أكتوبر]]/$AM$187</f>
        <v>0</v>
      </c>
      <c r="AO172" s="122" t="s">
        <v>64</v>
      </c>
      <c r="AP172" s="123"/>
      <c r="AQ172" s="125">
        <f>MyGrid3[[#This Row],[نوفمبر]]/$AP$187</f>
        <v>0</v>
      </c>
      <c r="AR172" s="119" t="s">
        <v>64</v>
      </c>
      <c r="AS172" s="391"/>
      <c r="AT172" s="121">
        <f>MyGrid3[[#This Row],[ديسمبر]]/$AS$187</f>
        <v>0</v>
      </c>
      <c r="AU172" s="126">
        <f t="shared" si="3"/>
        <v>3175</v>
      </c>
      <c r="AV172" s="127">
        <f>MyGrid3[[#This Row],[الإجمالي]]/$AU$187</f>
        <v>0.26118230442586782</v>
      </c>
    </row>
    <row r="173" spans="1:48" s="128" customFormat="1" ht="33" hidden="1" customHeight="1">
      <c r="A173" s="110">
        <f>SUBTOTAL(3,$B$4:B173)</f>
        <v>2</v>
      </c>
      <c r="B173" s="111">
        <v>794726</v>
      </c>
      <c r="C173" s="112" t="s">
        <v>1122</v>
      </c>
      <c r="D173" s="113"/>
      <c r="E173" s="114" t="s">
        <v>64</v>
      </c>
      <c r="F173" s="115">
        <f>RANK(G173,MyGrid3[الاساسي])</f>
        <v>107</v>
      </c>
      <c r="G173" s="130">
        <v>500</v>
      </c>
      <c r="H173" s="114" t="s">
        <v>64</v>
      </c>
      <c r="I173" s="115">
        <f>RANK(J173,MyGrid3[يناير])</f>
        <v>81</v>
      </c>
      <c r="J173" s="117">
        <v>0</v>
      </c>
      <c r="K173" s="118">
        <f>MyGrid3[[#This Row],[يناير]]/$J$187</f>
        <v>0</v>
      </c>
      <c r="L173" s="119" t="s">
        <v>64</v>
      </c>
      <c r="M173" s="115">
        <f>RANK(N173,MyGrid3[فبراير])</f>
        <v>96</v>
      </c>
      <c r="N173" s="120">
        <v>93.34</v>
      </c>
      <c r="O173" s="121">
        <f>MyGrid3[[#This Row],[فبراير]]/$N$187</f>
        <v>6.6081415929203538E-2</v>
      </c>
      <c r="P173" s="122" t="s">
        <v>64</v>
      </c>
      <c r="Q173" s="115">
        <f>RANK(R173,MyGrid3[مارس])</f>
        <v>60</v>
      </c>
      <c r="R173" s="123">
        <v>866.67</v>
      </c>
      <c r="S173" s="118">
        <f>MyGrid3[[#This Row],[مارس]]/$R$187</f>
        <v>0.61357168141592922</v>
      </c>
      <c r="T173" s="119" t="s">
        <v>64</v>
      </c>
      <c r="U173" s="397"/>
      <c r="V173" s="121">
        <f>MyGrid3[[#This Row],[أبريل]]/$U$187</f>
        <v>0</v>
      </c>
      <c r="W173" s="122" t="s">
        <v>64</v>
      </c>
      <c r="X173" s="397"/>
      <c r="Y173" s="118">
        <f>MyGrid3[[#This Row],[مايو]]/$X$187</f>
        <v>0</v>
      </c>
      <c r="Z173" s="119" t="s">
        <v>64</v>
      </c>
      <c r="AA173" s="123"/>
      <c r="AB173" s="121">
        <f>MyGrid3[[#This Row],[يونيو]]/$AA$187</f>
        <v>0</v>
      </c>
      <c r="AC173" s="122" t="s">
        <v>64</v>
      </c>
      <c r="AD173" s="123"/>
      <c r="AE173" s="118">
        <f>MyGrid3[[#This Row],[يوليو]]/$AD$187</f>
        <v>0</v>
      </c>
      <c r="AF173" s="119" t="s">
        <v>64</v>
      </c>
      <c r="AG173" s="138"/>
      <c r="AH173" s="121">
        <f>MyGrid3[[#This Row],[أغسطس]]/$AG$187</f>
        <v>0</v>
      </c>
      <c r="AI173" s="122" t="s">
        <v>64</v>
      </c>
      <c r="AJ173" s="123"/>
      <c r="AK173" s="118">
        <f>MyGrid3[[#This Row],[سبتمبر]]/$AJ$187</f>
        <v>0</v>
      </c>
      <c r="AL173" s="119" t="s">
        <v>64</v>
      </c>
      <c r="AM173" s="123"/>
      <c r="AN173" s="121">
        <f>MyGrid3[[#This Row],[أكتوبر]]/$AM$187</f>
        <v>0</v>
      </c>
      <c r="AO173" s="122" t="s">
        <v>64</v>
      </c>
      <c r="AP173" s="123"/>
      <c r="AQ173" s="125">
        <f>MyGrid3[[#This Row],[نوفمبر]]/$AP$187</f>
        <v>0</v>
      </c>
      <c r="AR173" s="119" t="s">
        <v>64</v>
      </c>
      <c r="AS173" s="391"/>
      <c r="AT173" s="121">
        <f>MyGrid3[[#This Row],[ديسمبر]]/$AS$187</f>
        <v>0</v>
      </c>
      <c r="AU173" s="126">
        <f t="shared" si="3"/>
        <v>960.01</v>
      </c>
      <c r="AV173" s="127">
        <f>MyGrid3[[#This Row],[الإجمالي]]/$AU$187</f>
        <v>7.8972480022638541E-2</v>
      </c>
    </row>
    <row r="174" spans="1:48" s="128" customFormat="1" ht="33" hidden="1" customHeight="1">
      <c r="A174" s="110">
        <f>SUBTOTAL(3,$B$4:B174)</f>
        <v>2</v>
      </c>
      <c r="B174" s="111">
        <v>795008</v>
      </c>
      <c r="C174" s="112" t="s">
        <v>1123</v>
      </c>
      <c r="D174" s="113" t="s">
        <v>1084</v>
      </c>
      <c r="E174" s="114" t="s">
        <v>64</v>
      </c>
      <c r="F174" s="115">
        <f>RANK(G174,MyGrid3[الاساسي])</f>
        <v>107</v>
      </c>
      <c r="G174" s="116">
        <v>500</v>
      </c>
      <c r="H174" s="114" t="s">
        <v>64</v>
      </c>
      <c r="I174" s="115">
        <f>RANK(J174,MyGrid3[يناير])</f>
        <v>77</v>
      </c>
      <c r="J174" s="141">
        <v>326.66000000000003</v>
      </c>
      <c r="K174" s="118">
        <f>MyGrid3[[#This Row],[يناير]]/$J$187</f>
        <v>0.2312637168141593</v>
      </c>
      <c r="L174" s="119" t="s">
        <v>64</v>
      </c>
      <c r="M174" s="115">
        <f>RANK(N174,MyGrid3[فبراير])</f>
        <v>49</v>
      </c>
      <c r="N174" s="120">
        <v>825</v>
      </c>
      <c r="O174" s="121">
        <f>MyGrid3[[#This Row],[فبراير]]/$N$187</f>
        <v>0.58407079646017701</v>
      </c>
      <c r="P174" s="122" t="s">
        <v>64</v>
      </c>
      <c r="Q174" s="115">
        <f>RANK(R174,MyGrid3[مارس])</f>
        <v>64</v>
      </c>
      <c r="R174" s="123">
        <v>825</v>
      </c>
      <c r="S174" s="118">
        <f>MyGrid3[[#This Row],[مارس]]/$R$187</f>
        <v>0.58407079646017701</v>
      </c>
      <c r="T174" s="119" t="s">
        <v>64</v>
      </c>
      <c r="U174" s="397">
        <v>825</v>
      </c>
      <c r="V174" s="121">
        <f>MyGrid3[[#This Row],[أبريل]]/$U$187</f>
        <v>0.58407079646017701</v>
      </c>
      <c r="W174" s="122" t="s">
        <v>64</v>
      </c>
      <c r="X174" s="397">
        <v>866.67</v>
      </c>
      <c r="Y174" s="118">
        <f>MyGrid3[[#This Row],[مايو]]/$X$187</f>
        <v>0.61266515386083598</v>
      </c>
      <c r="Z174" s="119" t="s">
        <v>64</v>
      </c>
      <c r="AA174" s="123">
        <v>866.67</v>
      </c>
      <c r="AB174" s="121">
        <f>MyGrid3[[#This Row],[يونيو]]/$AA$187</f>
        <v>3.9999538468638947</v>
      </c>
      <c r="AC174" s="122" t="s">
        <v>64</v>
      </c>
      <c r="AD174" s="123">
        <v>825</v>
      </c>
      <c r="AE174" s="118">
        <f>MyGrid3[[#This Row],[يوليو]]/$AD$187</f>
        <v>1.0153846153846153</v>
      </c>
      <c r="AF174" s="139" t="s">
        <v>64</v>
      </c>
      <c r="AG174" s="144">
        <v>825</v>
      </c>
      <c r="AH174" s="121">
        <f>MyGrid3[[#This Row],[أغسطس]]/$AG$187</f>
        <v>1.0153846153846153</v>
      </c>
      <c r="AI174" s="122" t="s">
        <v>64</v>
      </c>
      <c r="AJ174" s="123">
        <v>825</v>
      </c>
      <c r="AK174" s="118">
        <f>MyGrid3[[#This Row],[سبتمبر]]/$AJ$187</f>
        <v>1.0153846153846153</v>
      </c>
      <c r="AL174" s="119" t="s">
        <v>64</v>
      </c>
      <c r="AM174" s="123"/>
      <c r="AN174" s="121">
        <f>MyGrid3[[#This Row],[أكتوبر]]/$AM$187</f>
        <v>0</v>
      </c>
      <c r="AO174" s="122" t="s">
        <v>64</v>
      </c>
      <c r="AP174" s="123"/>
      <c r="AQ174" s="125">
        <f>MyGrid3[[#This Row],[نوفمبر]]/$AP$187</f>
        <v>0</v>
      </c>
      <c r="AR174" s="119" t="s">
        <v>64</v>
      </c>
      <c r="AS174" s="391"/>
      <c r="AT174" s="121">
        <f>MyGrid3[[#This Row],[ديسمبر]]/$AS$187</f>
        <v>0</v>
      </c>
      <c r="AU174" s="126">
        <f t="shared" si="3"/>
        <v>7010</v>
      </c>
      <c r="AV174" s="127">
        <f>MyGrid3[[#This Row],[الإجمالي]]/$AU$187</f>
        <v>0.57665762331506565</v>
      </c>
    </row>
    <row r="175" spans="1:48" s="128" customFormat="1" ht="33" hidden="1" customHeight="1">
      <c r="A175" s="110">
        <f>SUBTOTAL(3,$B$4:B175)</f>
        <v>2</v>
      </c>
      <c r="B175" s="111">
        <v>798554</v>
      </c>
      <c r="C175" s="112"/>
      <c r="D175" s="113"/>
      <c r="E175" s="114" t="s">
        <v>64</v>
      </c>
      <c r="F175" s="115">
        <f>RANK(G175,MyGrid3[الاساسي])</f>
        <v>107</v>
      </c>
      <c r="G175" s="130">
        <v>500</v>
      </c>
      <c r="H175" s="114" t="s">
        <v>64</v>
      </c>
      <c r="I175" s="115">
        <f>RANK(J175,MyGrid3[يناير])</f>
        <v>42</v>
      </c>
      <c r="J175" s="141">
        <v>875</v>
      </c>
      <c r="K175" s="118">
        <f>MyGrid3[[#This Row],[يناير]]/$J$187</f>
        <v>0.61946902654867253</v>
      </c>
      <c r="L175" s="119" t="s">
        <v>64</v>
      </c>
      <c r="M175" s="115">
        <f>RANK(N175,MyGrid3[فبراير])</f>
        <v>101</v>
      </c>
      <c r="N175" s="134">
        <v>0</v>
      </c>
      <c r="O175" s="121">
        <f>MyGrid3[[#This Row],[فبراير]]/$N$187</f>
        <v>0</v>
      </c>
      <c r="P175" s="122" t="s">
        <v>64</v>
      </c>
      <c r="Q175" s="115">
        <f>RANK(R175,MyGrid3[مارس])</f>
        <v>110</v>
      </c>
      <c r="R175" s="123">
        <v>0</v>
      </c>
      <c r="S175" s="118">
        <f>MyGrid3[[#This Row],[مارس]]/$R$187</f>
        <v>0</v>
      </c>
      <c r="T175" s="119" t="s">
        <v>64</v>
      </c>
      <c r="U175" s="397"/>
      <c r="V175" s="121">
        <f>MyGrid3[[#This Row],[أبريل]]/$U$187</f>
        <v>0</v>
      </c>
      <c r="W175" s="122" t="s">
        <v>64</v>
      </c>
      <c r="X175" s="397"/>
      <c r="Y175" s="118">
        <f>MyGrid3[[#This Row],[مايو]]/$X$187</f>
        <v>0</v>
      </c>
      <c r="Z175" s="119" t="s">
        <v>64</v>
      </c>
      <c r="AA175" s="123"/>
      <c r="AB175" s="121">
        <f>MyGrid3[[#This Row],[يونيو]]/$AA$187</f>
        <v>0</v>
      </c>
      <c r="AC175" s="122" t="s">
        <v>64</v>
      </c>
      <c r="AD175" s="123"/>
      <c r="AE175" s="118">
        <f>MyGrid3[[#This Row],[يوليو]]/$AD$187</f>
        <v>0</v>
      </c>
      <c r="AF175" s="119" t="s">
        <v>64</v>
      </c>
      <c r="AG175" s="123"/>
      <c r="AH175" s="121">
        <f>MyGrid3[[#This Row],[أغسطس]]/$AG$187</f>
        <v>0</v>
      </c>
      <c r="AI175" s="122" t="s">
        <v>64</v>
      </c>
      <c r="AJ175" s="123"/>
      <c r="AK175" s="118">
        <f>MyGrid3[[#This Row],[سبتمبر]]/$AJ$187</f>
        <v>0</v>
      </c>
      <c r="AL175" s="119" t="s">
        <v>64</v>
      </c>
      <c r="AM175" s="123"/>
      <c r="AN175" s="121">
        <f>MyGrid3[[#This Row],[أكتوبر]]/$AM$187</f>
        <v>0</v>
      </c>
      <c r="AO175" s="122" t="s">
        <v>64</v>
      </c>
      <c r="AP175" s="123"/>
      <c r="AQ175" s="125">
        <f>MyGrid3[[#This Row],[نوفمبر]]/$AP$187</f>
        <v>0</v>
      </c>
      <c r="AR175" s="119" t="s">
        <v>64</v>
      </c>
      <c r="AS175" s="391"/>
      <c r="AT175" s="121">
        <f>MyGrid3[[#This Row],[ديسمبر]]/$AS$187</f>
        <v>0</v>
      </c>
      <c r="AU175" s="126">
        <f t="shared" si="3"/>
        <v>875</v>
      </c>
      <c r="AV175" s="127">
        <f>MyGrid3[[#This Row],[الإجمالي]]/$AU$187</f>
        <v>7.1979375235475387E-2</v>
      </c>
    </row>
    <row r="176" spans="1:48" s="128" customFormat="1" ht="33" hidden="1" customHeight="1">
      <c r="A176" s="110">
        <f>SUBTOTAL(3,$B$4:B176)</f>
        <v>2</v>
      </c>
      <c r="B176" s="111">
        <v>890713</v>
      </c>
      <c r="C176" s="112" t="s">
        <v>1124</v>
      </c>
      <c r="D176" s="113"/>
      <c r="E176" s="114" t="s">
        <v>64</v>
      </c>
      <c r="F176" s="115">
        <f>RANK(G176,MyGrid3[الاساسي])</f>
        <v>135</v>
      </c>
      <c r="G176" s="130">
        <v>350</v>
      </c>
      <c r="H176" s="114" t="s">
        <v>64</v>
      </c>
      <c r="I176" s="115">
        <f>RANK(J176,MyGrid3[يناير])</f>
        <v>52</v>
      </c>
      <c r="J176" s="141">
        <v>687.5</v>
      </c>
      <c r="K176" s="118">
        <f>MyGrid3[[#This Row],[يناير]]/$J$187</f>
        <v>0.48672566371681414</v>
      </c>
      <c r="L176" s="119" t="s">
        <v>64</v>
      </c>
      <c r="M176" s="115">
        <f>RANK(N176,MyGrid3[فبراير])</f>
        <v>69</v>
      </c>
      <c r="N176" s="120">
        <v>687.5</v>
      </c>
      <c r="O176" s="121">
        <f>MyGrid3[[#This Row],[فبراير]]/$N$187</f>
        <v>0.48672566371681414</v>
      </c>
      <c r="P176" s="122" t="s">
        <v>64</v>
      </c>
      <c r="Q176" s="115">
        <f>RANK(R176,MyGrid3[مارس])</f>
        <v>83</v>
      </c>
      <c r="R176" s="123">
        <v>687.5</v>
      </c>
      <c r="S176" s="118">
        <f>MyGrid3[[#This Row],[مارس]]/$R$187</f>
        <v>0.48672566371681414</v>
      </c>
      <c r="T176" s="119" t="s">
        <v>64</v>
      </c>
      <c r="U176" s="397">
        <v>687.5</v>
      </c>
      <c r="V176" s="121">
        <f>MyGrid3[[#This Row],[أبريل]]/$U$187</f>
        <v>0.48672566371681414</v>
      </c>
      <c r="W176" s="122" t="s">
        <v>64</v>
      </c>
      <c r="X176" s="397">
        <v>716.67</v>
      </c>
      <c r="Y176" s="118">
        <f>MyGrid3[[#This Row],[مايو]]/$X$187</f>
        <v>0.50662736199181391</v>
      </c>
      <c r="Z176" s="119" t="s">
        <v>64</v>
      </c>
      <c r="AA176" s="123"/>
      <c r="AB176" s="121">
        <f>MyGrid3[[#This Row],[يونيو]]/$AA$187</f>
        <v>0</v>
      </c>
      <c r="AC176" s="122" t="s">
        <v>64</v>
      </c>
      <c r="AD176" s="123"/>
      <c r="AE176" s="118">
        <f>MyGrid3[[#This Row],[يوليو]]/$AD$187</f>
        <v>0</v>
      </c>
      <c r="AF176" s="119" t="s">
        <v>64</v>
      </c>
      <c r="AG176" s="123"/>
      <c r="AH176" s="121">
        <f>MyGrid3[[#This Row],[أغسطس]]/$AG$187</f>
        <v>0</v>
      </c>
      <c r="AI176" s="122" t="s">
        <v>64</v>
      </c>
      <c r="AJ176" s="123"/>
      <c r="AK176" s="118">
        <f>MyGrid3[[#This Row],[سبتمبر]]/$AJ$187</f>
        <v>0</v>
      </c>
      <c r="AL176" s="119" t="s">
        <v>64</v>
      </c>
      <c r="AM176" s="123"/>
      <c r="AN176" s="121">
        <f>MyGrid3[[#This Row],[أكتوبر]]/$AM$187</f>
        <v>0</v>
      </c>
      <c r="AO176" s="122" t="s">
        <v>64</v>
      </c>
      <c r="AP176" s="123"/>
      <c r="AQ176" s="125">
        <f>MyGrid3[[#This Row],[نوفمبر]]/$AP$187</f>
        <v>0</v>
      </c>
      <c r="AR176" s="119" t="s">
        <v>64</v>
      </c>
      <c r="AS176" s="391"/>
      <c r="AT176" s="121">
        <f>MyGrid3[[#This Row],[ديسمبر]]/$AS$187</f>
        <v>0</v>
      </c>
      <c r="AU176" s="126">
        <f t="shared" si="3"/>
        <v>3466.67</v>
      </c>
      <c r="AV176" s="127">
        <f>MyGrid3[[#This Row],[الإجمالي]]/$AU$187</f>
        <v>0.28517570371150336</v>
      </c>
    </row>
    <row r="177" spans="1:48" s="128" customFormat="1" ht="33" hidden="1" customHeight="1">
      <c r="A177" s="110">
        <f>SUBTOTAL(3,$B$4:B177)</f>
        <v>2</v>
      </c>
      <c r="B177" s="111">
        <v>897859</v>
      </c>
      <c r="C177" s="112"/>
      <c r="D177" s="113"/>
      <c r="E177" s="114" t="s">
        <v>64</v>
      </c>
      <c r="F177" s="115">
        <f>RANK(G177,MyGrid3[الاساسي])</f>
        <v>135</v>
      </c>
      <c r="G177" s="130">
        <v>350</v>
      </c>
      <c r="H177" s="114" t="s">
        <v>64</v>
      </c>
      <c r="I177" s="115">
        <f>RANK(J177,MyGrid3[يناير])</f>
        <v>52</v>
      </c>
      <c r="J177" s="141">
        <v>687.5</v>
      </c>
      <c r="K177" s="118">
        <f>MyGrid3[[#This Row],[يناير]]/$J$187</f>
        <v>0.48672566371681414</v>
      </c>
      <c r="L177" s="119" t="s">
        <v>64</v>
      </c>
      <c r="M177" s="115">
        <f>RANK(N177,MyGrid3[فبراير])</f>
        <v>69</v>
      </c>
      <c r="N177" s="120">
        <v>687.5</v>
      </c>
      <c r="O177" s="121">
        <f>MyGrid3[[#This Row],[فبراير]]/$N$187</f>
        <v>0.48672566371681414</v>
      </c>
      <c r="P177" s="122" t="s">
        <v>64</v>
      </c>
      <c r="Q177" s="115">
        <f>RANK(R177,MyGrid3[مارس])</f>
        <v>110</v>
      </c>
      <c r="R177" s="123">
        <v>0</v>
      </c>
      <c r="S177" s="118">
        <f>MyGrid3[[#This Row],[مارس]]/$R$187</f>
        <v>0</v>
      </c>
      <c r="T177" s="119" t="s">
        <v>64</v>
      </c>
      <c r="U177" s="397"/>
      <c r="V177" s="121">
        <f>MyGrid3[[#This Row],[أبريل]]/$U$187</f>
        <v>0</v>
      </c>
      <c r="W177" s="122" t="s">
        <v>64</v>
      </c>
      <c r="X177" s="397"/>
      <c r="Y177" s="118">
        <f>MyGrid3[[#This Row],[مايو]]/$X$187</f>
        <v>0</v>
      </c>
      <c r="Z177" s="119" t="s">
        <v>64</v>
      </c>
      <c r="AA177" s="123"/>
      <c r="AB177" s="121">
        <f>MyGrid3[[#This Row],[يونيو]]/$AA$187</f>
        <v>0</v>
      </c>
      <c r="AC177" s="122" t="s">
        <v>64</v>
      </c>
      <c r="AD177" s="123"/>
      <c r="AE177" s="118">
        <f>MyGrid3[[#This Row],[يوليو]]/$AD$187</f>
        <v>0</v>
      </c>
      <c r="AF177" s="119" t="s">
        <v>64</v>
      </c>
      <c r="AG177" s="123"/>
      <c r="AH177" s="121">
        <f>MyGrid3[[#This Row],[أغسطس]]/$AG$187</f>
        <v>0</v>
      </c>
      <c r="AI177" s="122" t="s">
        <v>64</v>
      </c>
      <c r="AJ177" s="123"/>
      <c r="AK177" s="118">
        <f>MyGrid3[[#This Row],[سبتمبر]]/$AJ$187</f>
        <v>0</v>
      </c>
      <c r="AL177" s="119" t="s">
        <v>64</v>
      </c>
      <c r="AM177" s="123"/>
      <c r="AN177" s="121">
        <f>MyGrid3[[#This Row],[أكتوبر]]/$AM$187</f>
        <v>0</v>
      </c>
      <c r="AO177" s="122" t="s">
        <v>64</v>
      </c>
      <c r="AP177" s="123"/>
      <c r="AQ177" s="125">
        <f>MyGrid3[[#This Row],[نوفمبر]]/$AP$187</f>
        <v>0</v>
      </c>
      <c r="AR177" s="119" t="s">
        <v>64</v>
      </c>
      <c r="AS177" s="391"/>
      <c r="AT177" s="121">
        <f>MyGrid3[[#This Row],[ديسمبر]]/$AS$187</f>
        <v>0</v>
      </c>
      <c r="AU177" s="126">
        <f t="shared" si="3"/>
        <v>1375</v>
      </c>
      <c r="AV177" s="127">
        <f>MyGrid3[[#This Row],[الإجمالي]]/$AU$187</f>
        <v>0.11311044679860417</v>
      </c>
    </row>
    <row r="178" spans="1:48" s="128" customFormat="1" ht="33" hidden="1" customHeight="1">
      <c r="A178" s="110">
        <f>SUBTOTAL(3,$B$4:B178)</f>
        <v>2</v>
      </c>
      <c r="B178" s="111">
        <v>898845</v>
      </c>
      <c r="C178" s="112" t="s">
        <v>1125</v>
      </c>
      <c r="D178" s="113" t="s">
        <v>1126</v>
      </c>
      <c r="E178" s="114" t="s">
        <v>64</v>
      </c>
      <c r="F178" s="115">
        <f>RANK(G178,MyGrid3[الاساسي])</f>
        <v>107</v>
      </c>
      <c r="G178" s="130">
        <v>500</v>
      </c>
      <c r="H178" s="114" t="s">
        <v>64</v>
      </c>
      <c r="I178" s="115">
        <f>RANK(J178,MyGrid3[يناير])</f>
        <v>81</v>
      </c>
      <c r="J178" s="117">
        <v>0</v>
      </c>
      <c r="K178" s="118">
        <f>MyGrid3[[#This Row],[يناير]]/$J$187</f>
        <v>0</v>
      </c>
      <c r="L178" s="119" t="s">
        <v>64</v>
      </c>
      <c r="M178" s="115">
        <f>RANK(N178,MyGrid3[فبراير])</f>
        <v>90</v>
      </c>
      <c r="N178" s="120">
        <v>426.67</v>
      </c>
      <c r="O178" s="121">
        <f>MyGrid3[[#This Row],[فبراير]]/$N$187</f>
        <v>0.30206725663716816</v>
      </c>
      <c r="P178" s="122" t="s">
        <v>64</v>
      </c>
      <c r="Q178" s="115">
        <f>RANK(R178,MyGrid3[مارس])</f>
        <v>56</v>
      </c>
      <c r="R178" s="123">
        <v>966.67</v>
      </c>
      <c r="S178" s="118">
        <f>MyGrid3[[#This Row],[مارس]]/$R$187</f>
        <v>0.68436814159292036</v>
      </c>
      <c r="T178" s="119" t="s">
        <v>64</v>
      </c>
      <c r="U178" s="397">
        <v>966.67</v>
      </c>
      <c r="V178" s="121">
        <f>MyGrid3[[#This Row],[أبريل]]/$U$187</f>
        <v>0.68436814159292036</v>
      </c>
      <c r="W178" s="122" t="s">
        <v>64</v>
      </c>
      <c r="X178" s="397">
        <v>966.67</v>
      </c>
      <c r="Y178" s="118">
        <f>MyGrid3[[#This Row],[مايو]]/$X$187</f>
        <v>0.68335701510685076</v>
      </c>
      <c r="Z178" s="119" t="s">
        <v>64</v>
      </c>
      <c r="AA178" s="123">
        <v>966.67</v>
      </c>
      <c r="AB178" s="121">
        <f>MyGrid3[[#This Row],[يونيو]]/$AA$187</f>
        <v>4.4614852079198783</v>
      </c>
      <c r="AC178" s="122" t="s">
        <v>64</v>
      </c>
      <c r="AD178" s="123">
        <v>800</v>
      </c>
      <c r="AE178" s="118">
        <f>MyGrid3[[#This Row],[يوليو]]/$AD$187</f>
        <v>0.98461538461538467</v>
      </c>
      <c r="AF178" s="119" t="s">
        <v>64</v>
      </c>
      <c r="AG178" s="138"/>
      <c r="AH178" s="121">
        <f>MyGrid3[[#This Row],[أغسطس]]/$AG$187</f>
        <v>0</v>
      </c>
      <c r="AI178" s="122" t="s">
        <v>64</v>
      </c>
      <c r="AJ178" s="123">
        <v>925</v>
      </c>
      <c r="AK178" s="118">
        <f>MyGrid3[[#This Row],[سبتمبر]]/$AJ$187</f>
        <v>1.1384615384615384</v>
      </c>
      <c r="AL178" s="119" t="s">
        <v>64</v>
      </c>
      <c r="AM178" s="123">
        <v>925</v>
      </c>
      <c r="AN178" s="121">
        <f>MyGrid3[[#This Row],[أكتوبر]]/$AM$187</f>
        <v>1.1384615384615384</v>
      </c>
      <c r="AO178" s="122" t="s">
        <v>64</v>
      </c>
      <c r="AP178" s="123">
        <v>925</v>
      </c>
      <c r="AQ178" s="125">
        <f>MyGrid3[[#This Row],[نوفمبر]]/$AP$187</f>
        <v>1.1384615384615384</v>
      </c>
      <c r="AR178" s="119" t="s">
        <v>64</v>
      </c>
      <c r="AS178" s="391">
        <v>925</v>
      </c>
      <c r="AT178" s="121">
        <f>MyGrid3[[#This Row],[ديسمبر]]/$AS$187</f>
        <v>1.1384615384615384</v>
      </c>
      <c r="AU178" s="126">
        <f t="shared" si="3"/>
        <v>8793.3499999999985</v>
      </c>
      <c r="AV178" s="127">
        <f>MyGrid3[[#This Row],[الإجمالي]]/$AU$187</f>
        <v>0.72335981625927703</v>
      </c>
    </row>
    <row r="179" spans="1:48" s="128" customFormat="1" ht="33" hidden="1" customHeight="1">
      <c r="A179" s="110">
        <f>SUBTOTAL(3,$B$4:B179)</f>
        <v>2</v>
      </c>
      <c r="B179" s="111">
        <v>901586</v>
      </c>
      <c r="C179" s="112" t="s">
        <v>1127</v>
      </c>
      <c r="D179" s="113"/>
      <c r="E179" s="148" t="s">
        <v>994</v>
      </c>
      <c r="F179" s="115" t="e">
        <f>RANK(G179,MyGrid3[الاساسي])</f>
        <v>#N/A</v>
      </c>
      <c r="G179" s="130"/>
      <c r="H179" s="151" t="s">
        <v>994</v>
      </c>
      <c r="I179" s="115">
        <f>RANK(J179,MyGrid3[يناير])</f>
        <v>81</v>
      </c>
      <c r="J179" s="117">
        <v>0</v>
      </c>
      <c r="K179" s="118">
        <f>MyGrid3[[#This Row],[يناير]]/$J$187</f>
        <v>0</v>
      </c>
      <c r="L179" s="152" t="s">
        <v>994</v>
      </c>
      <c r="M179" s="115">
        <f>RANK(N179,MyGrid3[فبراير])</f>
        <v>101</v>
      </c>
      <c r="N179" s="134">
        <v>0</v>
      </c>
      <c r="O179" s="121">
        <f>MyGrid3[[#This Row],[فبراير]]/$N$187</f>
        <v>0</v>
      </c>
      <c r="P179" s="153" t="s">
        <v>994</v>
      </c>
      <c r="Q179" s="115">
        <f>RANK(R179,MyGrid3[مارس])</f>
        <v>110</v>
      </c>
      <c r="R179" s="123">
        <v>0</v>
      </c>
      <c r="S179" s="118">
        <f>MyGrid3[[#This Row],[مارس]]/$R$187</f>
        <v>0</v>
      </c>
      <c r="T179" s="152" t="s">
        <v>994</v>
      </c>
      <c r="U179" s="397"/>
      <c r="V179" s="121">
        <f>MyGrid3[[#This Row],[أبريل]]/$U$187</f>
        <v>0</v>
      </c>
      <c r="W179" s="153" t="s">
        <v>994</v>
      </c>
      <c r="X179" s="397"/>
      <c r="Y179" s="118">
        <f>MyGrid3[[#This Row],[مايو]]/$X$187</f>
        <v>0</v>
      </c>
      <c r="Z179" s="152" t="s">
        <v>994</v>
      </c>
      <c r="AA179" s="123"/>
      <c r="AB179" s="121">
        <f>MyGrid3[[#This Row],[يونيو]]/$AA$187</f>
        <v>0</v>
      </c>
      <c r="AC179" s="153" t="s">
        <v>994</v>
      </c>
      <c r="AD179" s="123"/>
      <c r="AE179" s="118">
        <f>MyGrid3[[#This Row],[يوليو]]/$AD$187</f>
        <v>0</v>
      </c>
      <c r="AF179" s="152" t="s">
        <v>994</v>
      </c>
      <c r="AG179" s="138"/>
      <c r="AH179" s="121">
        <f>MyGrid3[[#This Row],[أغسطس]]/$AG$187</f>
        <v>0</v>
      </c>
      <c r="AI179" s="153" t="s">
        <v>994</v>
      </c>
      <c r="AJ179" s="123"/>
      <c r="AK179" s="118">
        <f>MyGrid3[[#This Row],[سبتمبر]]/$AJ$187</f>
        <v>0</v>
      </c>
      <c r="AL179" s="152" t="s">
        <v>994</v>
      </c>
      <c r="AM179" s="123"/>
      <c r="AN179" s="121">
        <f>MyGrid3[[#This Row],[أكتوبر]]/$AM$187</f>
        <v>0</v>
      </c>
      <c r="AO179" s="153" t="s">
        <v>994</v>
      </c>
      <c r="AP179" s="123"/>
      <c r="AQ179" s="125">
        <f>MyGrid3[[#This Row],[نوفمبر]]/$AP$187</f>
        <v>0</v>
      </c>
      <c r="AR179" s="152" t="s">
        <v>994</v>
      </c>
      <c r="AS179" s="391"/>
      <c r="AT179" s="121">
        <f>MyGrid3[[#This Row],[ديسمبر]]/$AS$187</f>
        <v>0</v>
      </c>
      <c r="AU179" s="126">
        <f t="shared" si="3"/>
        <v>0</v>
      </c>
      <c r="AV179" s="127">
        <f>MyGrid3[[#This Row],[الإجمالي]]/$AU$187</f>
        <v>0</v>
      </c>
    </row>
    <row r="180" spans="1:48" s="128" customFormat="1" ht="33" hidden="1" customHeight="1">
      <c r="A180" s="110">
        <f>SUBTOTAL(3,$B$4:B180)</f>
        <v>2</v>
      </c>
      <c r="B180" s="111">
        <v>901587</v>
      </c>
      <c r="C180" s="112" t="s">
        <v>1128</v>
      </c>
      <c r="D180" s="113"/>
      <c r="E180" s="148" t="s">
        <v>996</v>
      </c>
      <c r="F180" s="115" t="e">
        <f>RANK(G180,MyGrid3[الاساسي])</f>
        <v>#N/A</v>
      </c>
      <c r="G180" s="130"/>
      <c r="H180" s="154" t="s">
        <v>996</v>
      </c>
      <c r="I180" s="115">
        <f>RANK(J180,MyGrid3[يناير])</f>
        <v>81</v>
      </c>
      <c r="J180" s="117">
        <v>0</v>
      </c>
      <c r="K180" s="118">
        <f>MyGrid3[[#This Row],[يناير]]/$J$187</f>
        <v>0</v>
      </c>
      <c r="L180" s="155" t="s">
        <v>996</v>
      </c>
      <c r="M180" s="115">
        <f>RANK(N180,MyGrid3[فبراير])</f>
        <v>101</v>
      </c>
      <c r="N180" s="134">
        <v>0</v>
      </c>
      <c r="O180" s="121">
        <f>MyGrid3[[#This Row],[فبراير]]/$N$187</f>
        <v>0</v>
      </c>
      <c r="P180" s="156" t="s">
        <v>996</v>
      </c>
      <c r="Q180" s="115">
        <f>RANK(R180,MyGrid3[مارس])</f>
        <v>110</v>
      </c>
      <c r="R180" s="123">
        <v>0</v>
      </c>
      <c r="S180" s="118">
        <f>MyGrid3[[#This Row],[مارس]]/$R$187</f>
        <v>0</v>
      </c>
      <c r="T180" s="155" t="s">
        <v>996</v>
      </c>
      <c r="U180" s="397"/>
      <c r="V180" s="121">
        <f>MyGrid3[[#This Row],[أبريل]]/$U$187</f>
        <v>0</v>
      </c>
      <c r="W180" s="156" t="s">
        <v>996</v>
      </c>
      <c r="X180" s="397"/>
      <c r="Y180" s="118">
        <f>MyGrid3[[#This Row],[مايو]]/$X$187</f>
        <v>0</v>
      </c>
      <c r="Z180" s="155" t="s">
        <v>996</v>
      </c>
      <c r="AA180" s="123"/>
      <c r="AB180" s="121">
        <f>MyGrid3[[#This Row],[يونيو]]/$AA$187</f>
        <v>0</v>
      </c>
      <c r="AC180" s="156" t="s">
        <v>996</v>
      </c>
      <c r="AD180" s="123"/>
      <c r="AE180" s="118">
        <f>MyGrid3[[#This Row],[يوليو]]/$AD$187</f>
        <v>0</v>
      </c>
      <c r="AF180" s="155" t="s">
        <v>996</v>
      </c>
      <c r="AG180" s="138"/>
      <c r="AH180" s="121">
        <f>MyGrid3[[#This Row],[أغسطس]]/$AG$187</f>
        <v>0</v>
      </c>
      <c r="AI180" s="156" t="s">
        <v>996</v>
      </c>
      <c r="AJ180" s="123"/>
      <c r="AK180" s="118">
        <f>MyGrid3[[#This Row],[سبتمبر]]/$AJ$187</f>
        <v>0</v>
      </c>
      <c r="AL180" s="155" t="s">
        <v>996</v>
      </c>
      <c r="AM180" s="123"/>
      <c r="AN180" s="121">
        <f>MyGrid3[[#This Row],[أكتوبر]]/$AM$187</f>
        <v>0</v>
      </c>
      <c r="AO180" s="156" t="s">
        <v>996</v>
      </c>
      <c r="AP180" s="123"/>
      <c r="AQ180" s="125">
        <f>MyGrid3[[#This Row],[نوفمبر]]/$AP$187</f>
        <v>0</v>
      </c>
      <c r="AR180" s="155" t="s">
        <v>996</v>
      </c>
      <c r="AS180" s="391"/>
      <c r="AT180" s="121">
        <f>MyGrid3[[#This Row],[ديسمبر]]/$AS$187</f>
        <v>0</v>
      </c>
      <c r="AU180" s="126">
        <f t="shared" si="3"/>
        <v>0</v>
      </c>
      <c r="AV180" s="127">
        <f>MyGrid3[[#This Row],[الإجمالي]]/$AU$187</f>
        <v>0</v>
      </c>
    </row>
    <row r="181" spans="1:48" s="128" customFormat="1" ht="33" hidden="1" customHeight="1">
      <c r="A181" s="110">
        <f>SUBTOTAL(3,$B$4:B181)</f>
        <v>2</v>
      </c>
      <c r="B181" s="111">
        <v>901590</v>
      </c>
      <c r="C181" s="112" t="s">
        <v>1129</v>
      </c>
      <c r="D181" s="113"/>
      <c r="E181" s="148" t="s">
        <v>994</v>
      </c>
      <c r="F181" s="115" t="e">
        <f>RANK(G181,MyGrid3[الاساسي])</f>
        <v>#N/A</v>
      </c>
      <c r="G181" s="130"/>
      <c r="H181" s="151" t="s">
        <v>994</v>
      </c>
      <c r="I181" s="115">
        <f>RANK(J181,MyGrid3[يناير])</f>
        <v>81</v>
      </c>
      <c r="J181" s="117">
        <v>0</v>
      </c>
      <c r="K181" s="118">
        <f>MyGrid3[[#This Row],[يناير]]/$J$187</f>
        <v>0</v>
      </c>
      <c r="L181" s="152" t="s">
        <v>994</v>
      </c>
      <c r="M181" s="115">
        <f>RANK(N181,MyGrid3[فبراير])</f>
        <v>101</v>
      </c>
      <c r="N181" s="134">
        <v>0</v>
      </c>
      <c r="O181" s="121">
        <f>MyGrid3[[#This Row],[فبراير]]/$N$187</f>
        <v>0</v>
      </c>
      <c r="P181" s="153" t="s">
        <v>994</v>
      </c>
      <c r="Q181" s="115">
        <f>RANK(R181,MyGrid3[مارس])</f>
        <v>110</v>
      </c>
      <c r="R181" s="123">
        <v>0</v>
      </c>
      <c r="S181" s="118">
        <f>MyGrid3[[#This Row],[مارس]]/$R$187</f>
        <v>0</v>
      </c>
      <c r="T181" s="152" t="s">
        <v>994</v>
      </c>
      <c r="U181" s="397"/>
      <c r="V181" s="121">
        <f>MyGrid3[[#This Row],[أبريل]]/$U$187</f>
        <v>0</v>
      </c>
      <c r="W181" s="153" t="s">
        <v>994</v>
      </c>
      <c r="X181" s="397"/>
      <c r="Y181" s="118">
        <f>MyGrid3[[#This Row],[مايو]]/$X$187</f>
        <v>0</v>
      </c>
      <c r="Z181" s="152" t="s">
        <v>994</v>
      </c>
      <c r="AA181" s="123"/>
      <c r="AB181" s="121">
        <f>MyGrid3[[#This Row],[يونيو]]/$AA$187</f>
        <v>0</v>
      </c>
      <c r="AC181" s="153" t="s">
        <v>994</v>
      </c>
      <c r="AD181" s="123"/>
      <c r="AE181" s="118">
        <f>MyGrid3[[#This Row],[يوليو]]/$AD$187</f>
        <v>0</v>
      </c>
      <c r="AF181" s="152" t="s">
        <v>994</v>
      </c>
      <c r="AG181" s="138"/>
      <c r="AH181" s="121">
        <f>MyGrid3[[#This Row],[أغسطس]]/$AG$187</f>
        <v>0</v>
      </c>
      <c r="AI181" s="153" t="s">
        <v>994</v>
      </c>
      <c r="AJ181" s="123"/>
      <c r="AK181" s="118">
        <f>MyGrid3[[#This Row],[سبتمبر]]/$AJ$187</f>
        <v>0</v>
      </c>
      <c r="AL181" s="152" t="s">
        <v>994</v>
      </c>
      <c r="AM181" s="123"/>
      <c r="AN181" s="121">
        <f>MyGrid3[[#This Row],[أكتوبر]]/$AM$187</f>
        <v>0</v>
      </c>
      <c r="AO181" s="153" t="s">
        <v>994</v>
      </c>
      <c r="AP181" s="123"/>
      <c r="AQ181" s="125">
        <f>MyGrid3[[#This Row],[نوفمبر]]/$AP$187</f>
        <v>0</v>
      </c>
      <c r="AR181" s="152" t="s">
        <v>994</v>
      </c>
      <c r="AS181" s="391"/>
      <c r="AT181" s="121">
        <f>MyGrid3[[#This Row],[ديسمبر]]/$AS$187</f>
        <v>0</v>
      </c>
      <c r="AU181" s="126">
        <f t="shared" si="3"/>
        <v>0</v>
      </c>
      <c r="AV181" s="127">
        <f>MyGrid3[[#This Row],[الإجمالي]]/$AU$187</f>
        <v>0</v>
      </c>
    </row>
    <row r="182" spans="1:48" s="128" customFormat="1" ht="33" hidden="1" customHeight="1">
      <c r="A182" s="110">
        <f>SUBTOTAL(3,$B$4:B182)</f>
        <v>2</v>
      </c>
      <c r="B182" s="111">
        <v>901592</v>
      </c>
      <c r="C182" s="112" t="s">
        <v>1130</v>
      </c>
      <c r="D182" s="113"/>
      <c r="E182" s="148" t="s">
        <v>994</v>
      </c>
      <c r="F182" s="115" t="e">
        <f>RANK(G182,MyGrid3[الاساسي])</f>
        <v>#N/A</v>
      </c>
      <c r="G182" s="130"/>
      <c r="H182" s="151" t="s">
        <v>994</v>
      </c>
      <c r="I182" s="115">
        <f>RANK(J182,MyGrid3[يناير])</f>
        <v>81</v>
      </c>
      <c r="J182" s="117">
        <v>0</v>
      </c>
      <c r="K182" s="118">
        <f>MyGrid3[[#This Row],[يناير]]/$J$187</f>
        <v>0</v>
      </c>
      <c r="L182" s="152" t="s">
        <v>994</v>
      </c>
      <c r="M182" s="115">
        <f>RANK(N182,MyGrid3[فبراير])</f>
        <v>101</v>
      </c>
      <c r="N182" s="134">
        <v>0</v>
      </c>
      <c r="O182" s="121">
        <f>MyGrid3[[#This Row],[فبراير]]/$N$187</f>
        <v>0</v>
      </c>
      <c r="P182" s="153" t="s">
        <v>994</v>
      </c>
      <c r="Q182" s="115">
        <f>RANK(R182,MyGrid3[مارس])</f>
        <v>110</v>
      </c>
      <c r="R182" s="123">
        <v>0</v>
      </c>
      <c r="S182" s="118">
        <f>MyGrid3[[#This Row],[مارس]]/$R$187</f>
        <v>0</v>
      </c>
      <c r="T182" s="152" t="s">
        <v>994</v>
      </c>
      <c r="U182" s="397"/>
      <c r="V182" s="121">
        <f>MyGrid3[[#This Row],[أبريل]]/$U$187</f>
        <v>0</v>
      </c>
      <c r="W182" s="153" t="s">
        <v>994</v>
      </c>
      <c r="X182" s="397"/>
      <c r="Y182" s="118">
        <f>MyGrid3[[#This Row],[مايو]]/$X$187</f>
        <v>0</v>
      </c>
      <c r="Z182" s="152" t="s">
        <v>994</v>
      </c>
      <c r="AA182" s="123"/>
      <c r="AB182" s="121">
        <f>MyGrid3[[#This Row],[يونيو]]/$AA$187</f>
        <v>0</v>
      </c>
      <c r="AC182" s="153" t="s">
        <v>994</v>
      </c>
      <c r="AD182" s="123"/>
      <c r="AE182" s="118">
        <f>MyGrid3[[#This Row],[يوليو]]/$AD$187</f>
        <v>0</v>
      </c>
      <c r="AF182" s="152" t="s">
        <v>994</v>
      </c>
      <c r="AG182" s="138"/>
      <c r="AH182" s="121">
        <f>MyGrid3[[#This Row],[أغسطس]]/$AG$187</f>
        <v>0</v>
      </c>
      <c r="AI182" s="153" t="s">
        <v>994</v>
      </c>
      <c r="AJ182" s="123"/>
      <c r="AK182" s="118">
        <f>MyGrid3[[#This Row],[سبتمبر]]/$AJ$187</f>
        <v>0</v>
      </c>
      <c r="AL182" s="152" t="s">
        <v>994</v>
      </c>
      <c r="AM182" s="123"/>
      <c r="AN182" s="121">
        <f>MyGrid3[[#This Row],[أكتوبر]]/$AM$187</f>
        <v>0</v>
      </c>
      <c r="AO182" s="153" t="s">
        <v>994</v>
      </c>
      <c r="AP182" s="123"/>
      <c r="AQ182" s="125">
        <f>MyGrid3[[#This Row],[نوفمبر]]/$AP$187</f>
        <v>0</v>
      </c>
      <c r="AR182" s="152" t="s">
        <v>994</v>
      </c>
      <c r="AS182" s="391"/>
      <c r="AT182" s="121">
        <f>MyGrid3[[#This Row],[ديسمبر]]/$AS$187</f>
        <v>0</v>
      </c>
      <c r="AU182" s="126">
        <f t="shared" si="3"/>
        <v>0</v>
      </c>
      <c r="AV182" s="127">
        <f>MyGrid3[[#This Row],[الإجمالي]]/$AU$187</f>
        <v>0</v>
      </c>
    </row>
    <row r="183" spans="1:48" s="128" customFormat="1" ht="33" hidden="1" customHeight="1">
      <c r="A183" s="110">
        <f>SUBTOTAL(3,$B$4:B183)</f>
        <v>2</v>
      </c>
      <c r="B183" s="111">
        <v>901593</v>
      </c>
      <c r="C183" s="112" t="s">
        <v>1131</v>
      </c>
      <c r="D183" s="113"/>
      <c r="E183" s="148" t="s">
        <v>996</v>
      </c>
      <c r="F183" s="115" t="e">
        <f>RANK(G183,MyGrid3[الاساسي])</f>
        <v>#N/A</v>
      </c>
      <c r="G183" s="130"/>
      <c r="H183" s="154" t="s">
        <v>996</v>
      </c>
      <c r="I183" s="115">
        <f>RANK(J183,MyGrid3[يناير])</f>
        <v>81</v>
      </c>
      <c r="J183" s="117">
        <v>0</v>
      </c>
      <c r="K183" s="118">
        <f>MyGrid3[[#This Row],[يناير]]/$J$187</f>
        <v>0</v>
      </c>
      <c r="L183" s="155" t="s">
        <v>996</v>
      </c>
      <c r="M183" s="115">
        <f>RANK(N183,MyGrid3[فبراير])</f>
        <v>101</v>
      </c>
      <c r="N183" s="134">
        <v>0</v>
      </c>
      <c r="O183" s="121">
        <f>MyGrid3[[#This Row],[فبراير]]/$N$187</f>
        <v>0</v>
      </c>
      <c r="P183" s="156" t="s">
        <v>996</v>
      </c>
      <c r="Q183" s="115">
        <f>RANK(R183,MyGrid3[مارس])</f>
        <v>110</v>
      </c>
      <c r="R183" s="123">
        <v>0</v>
      </c>
      <c r="S183" s="118">
        <f>MyGrid3[[#This Row],[مارس]]/$R$187</f>
        <v>0</v>
      </c>
      <c r="T183" s="155" t="s">
        <v>996</v>
      </c>
      <c r="U183" s="397"/>
      <c r="V183" s="121">
        <f>MyGrid3[[#This Row],[أبريل]]/$U$187</f>
        <v>0</v>
      </c>
      <c r="W183" s="156" t="s">
        <v>996</v>
      </c>
      <c r="X183" s="397"/>
      <c r="Y183" s="118">
        <f>MyGrid3[[#This Row],[مايو]]/$X$187</f>
        <v>0</v>
      </c>
      <c r="Z183" s="155" t="s">
        <v>996</v>
      </c>
      <c r="AA183" s="123"/>
      <c r="AB183" s="121">
        <f>MyGrid3[[#This Row],[يونيو]]/$AA$187</f>
        <v>0</v>
      </c>
      <c r="AC183" s="156" t="s">
        <v>996</v>
      </c>
      <c r="AD183" s="123"/>
      <c r="AE183" s="118">
        <f>MyGrid3[[#This Row],[يوليو]]/$AD$187</f>
        <v>0</v>
      </c>
      <c r="AF183" s="155" t="s">
        <v>996</v>
      </c>
      <c r="AG183" s="138"/>
      <c r="AH183" s="121">
        <f>MyGrid3[[#This Row],[أغسطس]]/$AG$187</f>
        <v>0</v>
      </c>
      <c r="AI183" s="156" t="s">
        <v>996</v>
      </c>
      <c r="AJ183" s="123"/>
      <c r="AK183" s="118">
        <f>MyGrid3[[#This Row],[سبتمبر]]/$AJ$187</f>
        <v>0</v>
      </c>
      <c r="AL183" s="155" t="s">
        <v>996</v>
      </c>
      <c r="AM183" s="123"/>
      <c r="AN183" s="121">
        <f>MyGrid3[[#This Row],[أكتوبر]]/$AM$187</f>
        <v>0</v>
      </c>
      <c r="AO183" s="156" t="s">
        <v>996</v>
      </c>
      <c r="AP183" s="123"/>
      <c r="AQ183" s="125">
        <f>MyGrid3[[#This Row],[نوفمبر]]/$AP$187</f>
        <v>0</v>
      </c>
      <c r="AR183" s="155" t="s">
        <v>996</v>
      </c>
      <c r="AS183" s="391"/>
      <c r="AT183" s="121">
        <f>MyGrid3[[#This Row],[ديسمبر]]/$AS$187</f>
        <v>0</v>
      </c>
      <c r="AU183" s="126">
        <f t="shared" si="3"/>
        <v>0</v>
      </c>
      <c r="AV183" s="127">
        <f>MyGrid3[[#This Row],[الإجمالي]]/$AU$187</f>
        <v>0</v>
      </c>
    </row>
    <row r="184" spans="1:48" ht="32.25" hidden="1" customHeight="1">
      <c r="A184" s="110">
        <f>SUBTOTAL(3,$B$4:B184)</f>
        <v>2</v>
      </c>
      <c r="B184" s="111">
        <v>901594</v>
      </c>
      <c r="C184" s="112" t="s">
        <v>1132</v>
      </c>
      <c r="D184" s="113"/>
      <c r="E184" s="148" t="s">
        <v>64</v>
      </c>
      <c r="F184" s="115" t="e">
        <f>RANK(G184,MyGrid3[الاساسي])</f>
        <v>#N/A</v>
      </c>
      <c r="G184" s="130"/>
      <c r="H184" s="148" t="s">
        <v>64</v>
      </c>
      <c r="I184" s="115">
        <f>RANK(J184,MyGrid3[يناير])</f>
        <v>81</v>
      </c>
      <c r="J184" s="117">
        <v>0</v>
      </c>
      <c r="K184" s="118">
        <f>MyGrid3[[#This Row],[يناير]]/$J$187</f>
        <v>0</v>
      </c>
      <c r="L184" s="149" t="s">
        <v>64</v>
      </c>
      <c r="M184" s="115">
        <f>RANK(N184,MyGrid3[فبراير])</f>
        <v>101</v>
      </c>
      <c r="N184" s="134">
        <v>0</v>
      </c>
      <c r="O184" s="121">
        <f>MyGrid3[[#This Row],[فبراير]]/$N$187</f>
        <v>0</v>
      </c>
      <c r="P184" s="122" t="s">
        <v>64</v>
      </c>
      <c r="Q184" s="115">
        <f>RANK(R184,MyGrid3[مارس])</f>
        <v>110</v>
      </c>
      <c r="R184" s="123">
        <v>0</v>
      </c>
      <c r="S184" s="118">
        <f>MyGrid3[[#This Row],[مارس]]/$R$187</f>
        <v>0</v>
      </c>
      <c r="T184" s="119" t="s">
        <v>64</v>
      </c>
      <c r="U184" s="397"/>
      <c r="V184" s="121">
        <f>MyGrid3[[#This Row],[أبريل]]/$U$187</f>
        <v>0</v>
      </c>
      <c r="W184" s="122" t="s">
        <v>64</v>
      </c>
      <c r="X184" s="397"/>
      <c r="Y184" s="118">
        <f>MyGrid3[[#This Row],[مايو]]/$X$187</f>
        <v>0</v>
      </c>
      <c r="Z184" s="119" t="s">
        <v>64</v>
      </c>
      <c r="AA184" s="123"/>
      <c r="AB184" s="121">
        <f>MyGrid3[[#This Row],[يونيو]]/$AA$187</f>
        <v>0</v>
      </c>
      <c r="AC184" s="122" t="s">
        <v>64</v>
      </c>
      <c r="AD184" s="123"/>
      <c r="AE184" s="118">
        <f>MyGrid3[[#This Row],[يوليو]]/$AD$187</f>
        <v>0</v>
      </c>
      <c r="AF184" s="119" t="s">
        <v>64</v>
      </c>
      <c r="AG184" s="138"/>
      <c r="AH184" s="121">
        <f>MyGrid3[[#This Row],[أغسطس]]/$AG$187</f>
        <v>0</v>
      </c>
      <c r="AI184" s="122" t="s">
        <v>64</v>
      </c>
      <c r="AJ184" s="123"/>
      <c r="AK184" s="118">
        <f>MyGrid3[[#This Row],[سبتمبر]]/$AJ$187</f>
        <v>0</v>
      </c>
      <c r="AL184" s="119" t="s">
        <v>64</v>
      </c>
      <c r="AM184" s="123"/>
      <c r="AN184" s="121">
        <f>MyGrid3[[#This Row],[أكتوبر]]/$AM$187</f>
        <v>0</v>
      </c>
      <c r="AO184" s="122" t="s">
        <v>64</v>
      </c>
      <c r="AP184" s="123"/>
      <c r="AQ184" s="125">
        <f>MyGrid3[[#This Row],[نوفمبر]]/$AP$187</f>
        <v>0</v>
      </c>
      <c r="AR184" s="119" t="s">
        <v>64</v>
      </c>
      <c r="AS184" s="391"/>
      <c r="AT184" s="121">
        <f>MyGrid3[[#This Row],[ديسمبر]]/$AS$187</f>
        <v>0</v>
      </c>
      <c r="AU184" s="126">
        <f t="shared" si="3"/>
        <v>0</v>
      </c>
      <c r="AV184" s="127">
        <f>MyGrid3[[#This Row],[الإجمالي]]/$AU$187</f>
        <v>0</v>
      </c>
    </row>
    <row r="185" spans="1:48" s="225" customFormat="1" ht="51" hidden="1" customHeight="1" thickBot="1">
      <c r="A185" s="534">
        <f>SUBTOTAL(3,$B$3:B185)</f>
        <v>2</v>
      </c>
      <c r="B185" s="174"/>
      <c r="C185" s="175"/>
      <c r="D185" s="176"/>
      <c r="E185" s="177"/>
      <c r="F185" s="178" t="e">
        <f>RANK(G185,MyGrid3[الاساسي])</f>
        <v>#N/A</v>
      </c>
      <c r="G185" s="179"/>
      <c r="H185" s="180"/>
      <c r="I185" s="181">
        <f>RANK(J185,MyGrid3[يناير])</f>
        <v>81</v>
      </c>
      <c r="J185" s="182"/>
      <c r="K185" s="183">
        <f>MyGrid3[[#This Row],[يناير]]/$J$187</f>
        <v>0</v>
      </c>
      <c r="L185" s="184"/>
      <c r="M185" s="181">
        <f>RANK(N185,MyGrid3[فبراير])</f>
        <v>101</v>
      </c>
      <c r="N185" s="185"/>
      <c r="O185" s="186">
        <f>MyGrid3[[#This Row],[فبراير]]/$N$187</f>
        <v>0</v>
      </c>
      <c r="P185" s="187"/>
      <c r="Q185" s="181">
        <f>RANK(R185,MyGrid3[مارس])</f>
        <v>110</v>
      </c>
      <c r="R185" s="188"/>
      <c r="S185" s="183">
        <f>MyGrid3[[#This Row],[مارس]]/$R$187</f>
        <v>0</v>
      </c>
      <c r="T185" s="184"/>
      <c r="U185" s="524"/>
      <c r="V185" s="186">
        <f>MyGrid3[[#This Row],[أبريل]]/$U$187</f>
        <v>0</v>
      </c>
      <c r="W185" s="187"/>
      <c r="X185" s="524"/>
      <c r="Y185" s="183">
        <f>MyGrid3[[#This Row],[مايو]]/$X$187</f>
        <v>0</v>
      </c>
      <c r="Z185" s="184"/>
      <c r="AA185" s="188"/>
      <c r="AB185" s="186">
        <f>MyGrid3[[#This Row],[يونيو]]/$AA$187</f>
        <v>0</v>
      </c>
      <c r="AC185" s="187"/>
      <c r="AD185" s="188"/>
      <c r="AE185" s="183">
        <f>MyGrid3[[#This Row],[يوليو]]/$AD$187</f>
        <v>0</v>
      </c>
      <c r="AF185" s="184"/>
      <c r="AG185" s="189"/>
      <c r="AH185" s="186">
        <f>MyGrid3[[#This Row],[أغسطس]]/$AG$187</f>
        <v>0</v>
      </c>
      <c r="AI185" s="187"/>
      <c r="AJ185" s="188"/>
      <c r="AK185" s="183">
        <f>MyGrid3[[#This Row],[سبتمبر]]/$AJ$187</f>
        <v>0</v>
      </c>
      <c r="AL185" s="184"/>
      <c r="AM185" s="188"/>
      <c r="AN185" s="186">
        <f>MyGrid3[[#This Row],[أكتوبر]]/$AM$187</f>
        <v>0</v>
      </c>
      <c r="AO185" s="187"/>
      <c r="AP185" s="188"/>
      <c r="AQ185" s="190">
        <f>MyGrid3[[#This Row],[نوفمبر]]/$AP$187</f>
        <v>0</v>
      </c>
      <c r="AR185" s="184"/>
      <c r="AS185" s="571"/>
      <c r="AT185" s="186">
        <f>MyGrid3[[#This Row],[ديسمبر]]/$AS$187</f>
        <v>0</v>
      </c>
      <c r="AU185" s="191">
        <f t="shared" si="3"/>
        <v>0</v>
      </c>
      <c r="AV185" s="192">
        <f>MyGrid3[[#This Row],[الإجمالي]]/$AU$187</f>
        <v>0</v>
      </c>
    </row>
    <row r="186" spans="1:48" ht="30.75" thickTop="1" thickBot="1">
      <c r="A186" s="193"/>
      <c r="B186" s="194"/>
      <c r="C186" s="195"/>
      <c r="D186" s="196"/>
      <c r="E186" s="197"/>
      <c r="F186" s="198"/>
      <c r="G186" s="199"/>
      <c r="H186" s="199"/>
      <c r="I186" s="199"/>
      <c r="J186" s="200"/>
      <c r="K186" s="201"/>
      <c r="L186" s="202"/>
      <c r="M186" s="199"/>
      <c r="N186" s="203"/>
      <c r="O186" s="201"/>
      <c r="P186" s="202"/>
      <c r="Q186" s="199"/>
      <c r="R186" s="203"/>
      <c r="S186" s="201"/>
      <c r="T186" s="202"/>
      <c r="U186" s="516"/>
      <c r="V186" s="201"/>
      <c r="W186" s="202"/>
      <c r="X186" s="204"/>
      <c r="Y186" s="205"/>
      <c r="Z186" s="199"/>
      <c r="AA186" s="203"/>
      <c r="AB186" s="205"/>
      <c r="AC186" s="199"/>
      <c r="AD186" s="200"/>
      <c r="AE186" s="205"/>
      <c r="AF186" s="199"/>
      <c r="AG186" s="199"/>
      <c r="AH186" s="206"/>
      <c r="AI186" s="202"/>
      <c r="AJ186" s="203"/>
      <c r="AK186" s="201"/>
      <c r="AL186" s="202"/>
      <c r="AM186" s="203"/>
      <c r="AN186" s="201"/>
      <c r="AO186" s="202"/>
      <c r="AP186" s="200"/>
      <c r="AQ186" s="201"/>
      <c r="AR186" s="202"/>
      <c r="AS186" s="200"/>
      <c r="AT186" s="201"/>
    </row>
    <row r="187" spans="1:48" ht="47.25" customHeight="1" thickBot="1">
      <c r="A187" s="772" t="s">
        <v>1133</v>
      </c>
      <c r="B187" s="773"/>
      <c r="C187" s="773"/>
      <c r="D187" s="773"/>
      <c r="E187" s="773"/>
      <c r="F187" s="207"/>
      <c r="G187" s="208">
        <f>SUBTOTAL(9,MyGrid3[الاساسي])</f>
        <v>1000</v>
      </c>
      <c r="H187" s="209"/>
      <c r="I187" s="210"/>
      <c r="J187" s="211">
        <f>SUBTOTAL(9,MyGrid3[يناير])</f>
        <v>1412.5</v>
      </c>
      <c r="K187" s="212">
        <f>SUBTOTAL(9,MyGrid3[نسب يناير])</f>
        <v>1</v>
      </c>
      <c r="L187" s="213"/>
      <c r="M187" s="214"/>
      <c r="N187" s="211">
        <f>SUBTOTAL(9,MyGrid3[فبراير])</f>
        <v>1412.5</v>
      </c>
      <c r="O187" s="212">
        <f>SUBTOTAL(9,MyGrid3[نسب فبراير])</f>
        <v>1</v>
      </c>
      <c r="P187" s="213"/>
      <c r="Q187" s="214"/>
      <c r="R187" s="215">
        <f>SUBTOTAL(9,MyGrid3[مارس])</f>
        <v>1412.5</v>
      </c>
      <c r="S187" s="216">
        <f>SUBTOTAL(9,MyGrid3[نسب مارس])</f>
        <v>1</v>
      </c>
      <c r="T187" s="214"/>
      <c r="U187" s="218">
        <f>SUBTOTAL(109,MyGrid3[أبريل])</f>
        <v>1412.5</v>
      </c>
      <c r="V187" s="217">
        <f>SUM(MyGrid3[نسب إبريل])</f>
        <v>107.15399646017698</v>
      </c>
      <c r="W187" s="214"/>
      <c r="X187" s="218">
        <f>SUBTOTAL(109,MyGrid3[مايو])</f>
        <v>1414.59</v>
      </c>
      <c r="Y187" s="217">
        <f>SUM(MyGrid3[نسب مايو])</f>
        <v>118.55869898698559</v>
      </c>
      <c r="Z187" s="214"/>
      <c r="AA187" s="218">
        <f>SUBTOTAL(109,MyGrid3[يونيو])</f>
        <v>216.67</v>
      </c>
      <c r="AB187" s="217">
        <f>SUBTOTAL(109,MyGrid3[نسب يونيو])</f>
        <v>1</v>
      </c>
      <c r="AC187" s="214"/>
      <c r="AD187" s="218">
        <f>SUBTOTAL(9,MyGrid3[يوليو])</f>
        <v>812.5</v>
      </c>
      <c r="AE187" s="217">
        <f>SUBTOTAL(9,MyGrid3[نسب يوليو])</f>
        <v>1</v>
      </c>
      <c r="AF187" s="214"/>
      <c r="AG187" s="219">
        <f>SUBTOTAL(9,MyGrid3[أغسطس])</f>
        <v>812.5</v>
      </c>
      <c r="AH187" s="220">
        <f>SUM(MyGrid3[نسب أغسطس])</f>
        <v>183.85934769230761</v>
      </c>
      <c r="AI187" s="213"/>
      <c r="AJ187" s="221">
        <f>SUBTOTAL(9,MyGrid3[سبتمبر])</f>
        <v>812.5</v>
      </c>
      <c r="AK187" s="222">
        <f>SUBTOTAL(9,MyGrid3[نسب سبتمبر])</f>
        <v>1</v>
      </c>
      <c r="AL187" s="213"/>
      <c r="AM187" s="221">
        <f>SUBTOTAL(9,MyGrid3[أكتوبر])</f>
        <v>812.5</v>
      </c>
      <c r="AN187" s="222">
        <f>SUBTOTAL(9,MyGrid3[نسب أكتوبر])</f>
        <v>1</v>
      </c>
      <c r="AO187" s="213"/>
      <c r="AP187" s="221">
        <f>SUBTOTAL(9,MyGrid3[نوفمبر])</f>
        <v>812.5</v>
      </c>
      <c r="AQ187" s="222">
        <f>SUBTOTAL(9,MyGrid3[نسب نوفمبر])</f>
        <v>1</v>
      </c>
      <c r="AR187" s="213"/>
      <c r="AS187" s="572">
        <f>SUBTOTAL(9,MyGrid3[ديسمبر])</f>
        <v>812.5</v>
      </c>
      <c r="AT187" s="224">
        <f>SUBTOTAL(9,MyGrid3[نسب ديسمبر])</f>
        <v>1</v>
      </c>
      <c r="AU187" s="223">
        <f>SUBTOTAL(9,MyGrid3[الإجمالي])</f>
        <v>12156.26</v>
      </c>
      <c r="AV187" s="222">
        <f>SUBTOTAL(9,MyGrid3[نسب الإجمالي])</f>
        <v>1</v>
      </c>
    </row>
    <row r="188" spans="1:48" ht="47.25" customHeight="1">
      <c r="C188" s="227"/>
      <c r="D188" s="228"/>
      <c r="E188" s="229"/>
      <c r="F188" s="230"/>
      <c r="G188" s="230"/>
      <c r="H188" s="230"/>
      <c r="I188" s="230"/>
      <c r="J188" s="230"/>
      <c r="K188" s="230"/>
      <c r="L188" s="230"/>
      <c r="M188" s="230"/>
      <c r="N188" s="231"/>
    </row>
    <row r="189" spans="1:48" ht="47.25" customHeight="1">
      <c r="C189" s="235"/>
      <c r="J189" s="240"/>
      <c r="K189" s="240"/>
      <c r="L189" s="240"/>
      <c r="M189" s="240"/>
      <c r="N189" s="241"/>
      <c r="O189" s="240"/>
      <c r="Z189" s="242"/>
      <c r="AA189" s="243"/>
    </row>
    <row r="190" spans="1:48">
      <c r="J190" s="240"/>
      <c r="K190" s="240"/>
      <c r="L190" s="240"/>
      <c r="M190" s="240"/>
      <c r="N190" s="241"/>
      <c r="O190" s="240"/>
      <c r="Z190" s="242"/>
    </row>
    <row r="191" spans="1:48" s="249" customFormat="1" ht="56.25" customHeight="1">
      <c r="A191" s="92"/>
      <c r="B191" s="226"/>
      <c r="C191" s="244"/>
      <c r="D191" s="236"/>
      <c r="E191" s="237"/>
      <c r="F191" s="238"/>
      <c r="G191" s="239"/>
      <c r="H191" s="239"/>
      <c r="I191" s="239"/>
      <c r="J191" s="240"/>
      <c r="K191" s="240"/>
      <c r="L191" s="240"/>
      <c r="M191" s="240"/>
      <c r="N191" s="241"/>
      <c r="O191" s="240"/>
      <c r="P191" s="232"/>
      <c r="Q191" s="232"/>
      <c r="R191" s="233"/>
      <c r="S191" s="232"/>
      <c r="T191" s="232"/>
      <c r="U191" s="517"/>
      <c r="V191" s="232"/>
      <c r="W191" s="92"/>
      <c r="X191" s="92"/>
      <c r="Y191" s="92"/>
      <c r="Z191" s="242"/>
      <c r="AA191" s="234"/>
      <c r="AB191" s="92"/>
      <c r="AC191" s="92"/>
      <c r="AD191" s="92"/>
      <c r="AE191" s="92"/>
      <c r="AF191" s="92"/>
      <c r="AG191" s="92"/>
      <c r="AH191" s="92"/>
      <c r="AI191" s="92"/>
      <c r="AJ191" s="234"/>
      <c r="AK191" s="92"/>
      <c r="AL191" s="92"/>
      <c r="AM191" s="234"/>
      <c r="AN191" s="92"/>
      <c r="AO191" s="92"/>
      <c r="AP191" s="92"/>
      <c r="AQ191" s="92"/>
      <c r="AR191" s="92"/>
      <c r="AS191" s="92"/>
      <c r="AT191" s="92"/>
      <c r="AU191" s="92"/>
      <c r="AV191" s="92"/>
    </row>
    <row r="192" spans="1:48" s="249" customFormat="1" ht="56.25" customHeight="1" thickBot="1">
      <c r="A192" s="92"/>
      <c r="B192" s="226"/>
      <c r="C192" s="244"/>
      <c r="D192" s="236"/>
      <c r="E192" s="237"/>
      <c r="F192" s="238"/>
      <c r="G192" s="239"/>
      <c r="H192" s="239"/>
      <c r="I192" s="239"/>
      <c r="J192" s="239"/>
      <c r="K192" s="239"/>
      <c r="L192" s="239"/>
      <c r="M192" s="239"/>
      <c r="N192" s="245"/>
      <c r="O192" s="232"/>
      <c r="P192" s="232"/>
      <c r="Q192" s="232"/>
      <c r="R192" s="233"/>
      <c r="S192" s="232"/>
      <c r="T192" s="232"/>
      <c r="U192" s="517"/>
      <c r="V192" s="232"/>
      <c r="W192" s="92"/>
      <c r="X192" s="92"/>
      <c r="Y192" s="92"/>
      <c r="Z192" s="92"/>
      <c r="AA192" s="234"/>
      <c r="AB192" s="92"/>
      <c r="AC192" s="92"/>
      <c r="AD192" s="92"/>
      <c r="AE192" s="92"/>
      <c r="AF192" s="92"/>
      <c r="AG192" s="92"/>
      <c r="AH192" s="92"/>
      <c r="AI192" s="92"/>
      <c r="AJ192" s="234"/>
      <c r="AK192" s="92"/>
      <c r="AL192" s="92"/>
      <c r="AM192" s="234"/>
      <c r="AN192" s="92"/>
      <c r="AO192" s="92"/>
      <c r="AP192" s="92"/>
      <c r="AQ192" s="92"/>
      <c r="AR192" s="92"/>
      <c r="AS192" s="92"/>
      <c r="AT192" s="92"/>
      <c r="AU192" s="92"/>
      <c r="AV192" s="92"/>
    </row>
    <row r="193" spans="1:48" ht="76.5" customHeight="1">
      <c r="A193" s="249"/>
      <c r="B193" s="246"/>
      <c r="C193" s="247"/>
      <c r="D193" s="247"/>
      <c r="E193" s="248"/>
      <c r="F193" s="774" t="s">
        <v>1134</v>
      </c>
      <c r="G193" s="776" t="s">
        <v>927</v>
      </c>
      <c r="H193" s="777"/>
      <c r="I193" s="778"/>
      <c r="J193" s="779" t="s">
        <v>908</v>
      </c>
      <c r="K193" s="778"/>
      <c r="L193" s="777" t="s">
        <v>909</v>
      </c>
      <c r="M193" s="777"/>
      <c r="N193" s="777"/>
      <c r="O193" s="779" t="s">
        <v>910</v>
      </c>
      <c r="P193" s="778"/>
      <c r="Q193" s="779" t="s">
        <v>911</v>
      </c>
      <c r="R193" s="778"/>
      <c r="S193" s="779" t="s">
        <v>912</v>
      </c>
      <c r="T193" s="778"/>
      <c r="U193" s="779" t="s">
        <v>913</v>
      </c>
      <c r="V193" s="778"/>
      <c r="W193" s="779" t="s">
        <v>944</v>
      </c>
      <c r="X193" s="778"/>
      <c r="Y193" s="781" t="s">
        <v>915</v>
      </c>
      <c r="Z193" s="782"/>
      <c r="AA193" s="781" t="s">
        <v>916</v>
      </c>
      <c r="AB193" s="782"/>
      <c r="AC193" s="781" t="s">
        <v>917</v>
      </c>
      <c r="AD193" s="782"/>
      <c r="AE193" s="781" t="s">
        <v>918</v>
      </c>
      <c r="AF193" s="782"/>
      <c r="AG193" s="781" t="s">
        <v>954</v>
      </c>
      <c r="AH193" s="782"/>
      <c r="AI193" s="249"/>
      <c r="AJ193" s="250"/>
      <c r="AK193" s="249"/>
      <c r="AL193" s="249"/>
      <c r="AM193" s="250"/>
      <c r="AN193" s="249"/>
      <c r="AO193" s="249"/>
      <c r="AP193" s="249"/>
      <c r="AQ193" s="249"/>
      <c r="AR193" s="249"/>
      <c r="AS193" s="249"/>
      <c r="AT193" s="249"/>
      <c r="AU193" s="249"/>
      <c r="AV193" s="249"/>
    </row>
    <row r="194" spans="1:48" ht="76.5" customHeight="1" thickBot="1">
      <c r="A194" s="249"/>
      <c r="B194" s="246"/>
      <c r="C194" s="247"/>
      <c r="D194" s="247"/>
      <c r="E194" s="248"/>
      <c r="F194" s="775"/>
      <c r="G194" s="251" t="s">
        <v>1135</v>
      </c>
      <c r="H194" s="251" t="s">
        <v>1136</v>
      </c>
      <c r="I194" s="251"/>
      <c r="J194" s="252" t="s">
        <v>1135</v>
      </c>
      <c r="K194" s="253" t="s">
        <v>1136</v>
      </c>
      <c r="L194" s="251" t="s">
        <v>1135</v>
      </c>
      <c r="M194" s="251" t="s">
        <v>1137</v>
      </c>
      <c r="N194" s="254" t="s">
        <v>1138</v>
      </c>
      <c r="O194" s="252" t="s">
        <v>1135</v>
      </c>
      <c r="P194" s="253" t="s">
        <v>1136</v>
      </c>
      <c r="Q194" s="255" t="s">
        <v>1135</v>
      </c>
      <c r="R194" s="253" t="s">
        <v>1136</v>
      </c>
      <c r="S194" s="252" t="s">
        <v>1135</v>
      </c>
      <c r="T194" s="253" t="s">
        <v>1136</v>
      </c>
      <c r="U194" s="518" t="s">
        <v>1135</v>
      </c>
      <c r="V194" s="253" t="s">
        <v>1136</v>
      </c>
      <c r="W194" s="252" t="s">
        <v>1135</v>
      </c>
      <c r="X194" s="253" t="s">
        <v>1136</v>
      </c>
      <c r="Y194" s="256" t="s">
        <v>1135</v>
      </c>
      <c r="Z194" s="257" t="s">
        <v>1136</v>
      </c>
      <c r="AA194" s="258" t="s">
        <v>1135</v>
      </c>
      <c r="AB194" s="257" t="s">
        <v>1136</v>
      </c>
      <c r="AC194" s="256" t="s">
        <v>1135</v>
      </c>
      <c r="AD194" s="257" t="s">
        <v>1136</v>
      </c>
      <c r="AE194" s="256" t="s">
        <v>1135</v>
      </c>
      <c r="AF194" s="257" t="s">
        <v>1136</v>
      </c>
      <c r="AG194" s="256" t="s">
        <v>1135</v>
      </c>
      <c r="AH194" s="257" t="s">
        <v>1136</v>
      </c>
      <c r="AI194" s="249"/>
      <c r="AJ194" s="250"/>
      <c r="AK194" s="249"/>
      <c r="AL194" s="249"/>
      <c r="AM194" s="250"/>
      <c r="AN194" s="249"/>
      <c r="AO194" s="249"/>
      <c r="AP194" s="249"/>
      <c r="AQ194" s="249"/>
      <c r="AR194" s="249"/>
      <c r="AS194" s="249"/>
      <c r="AT194" s="249"/>
      <c r="AU194" s="249"/>
      <c r="AV194" s="249"/>
    </row>
    <row r="195" spans="1:48" ht="76.5" customHeight="1">
      <c r="F195" s="259" t="s">
        <v>64</v>
      </c>
      <c r="G195" s="260">
        <f>SUMIFS(MyGrid3[يناير],MyGrid3[المشروع2],F195)</f>
        <v>52227.119999999995</v>
      </c>
      <c r="H195" s="261">
        <f t="shared" ref="H195:H203" si="4">G195/$G$204</f>
        <v>0.53712010001289656</v>
      </c>
      <c r="I195" s="261"/>
      <c r="J195" s="262">
        <f>SUMIFS(MyGrid3[فبراير],MyGrid3[المشروع22],F195)</f>
        <v>66456.859999999986</v>
      </c>
      <c r="K195" s="263">
        <f t="shared" ref="K195:K203" si="5">J195/$J$204</f>
        <v>0.57314172051371659</v>
      </c>
      <c r="L195" s="262">
        <f>SUMIFS(MyGrid3[مارس],MyGrid3[المشروع222],F195)</f>
        <v>88177.689999999988</v>
      </c>
      <c r="M195" s="264">
        <f>(L195-J195)/J195</f>
        <v>0.32684105147309106</v>
      </c>
      <c r="N195" s="265">
        <f t="shared" ref="N195:N203" si="6">L195/$L$204</f>
        <v>0.62019353245973174</v>
      </c>
      <c r="O195" s="525">
        <f>SUMIFS(MyGrid3[أبريل],MyGrid3[المشروع223],F195)</f>
        <v>93773.759999999995</v>
      </c>
      <c r="P195" s="263">
        <f t="shared" ref="P195:P203" si="7">O195/$O$204</f>
        <v>0.61956161084052586</v>
      </c>
      <c r="Q195" s="260">
        <f>SUMIFS(MyGrid3[مايو],MyGrid3[المشروع224],F195)</f>
        <v>103815.26999999997</v>
      </c>
      <c r="R195" s="263">
        <f t="shared" ref="R195:R203" si="8">Q195/$Q$204</f>
        <v>0.61900937887848784</v>
      </c>
      <c r="S195" s="262">
        <f>SUMIFS(MyGrid3[يونيو],MyGrid3[المشروع225],F195)</f>
        <v>83420.88999999997</v>
      </c>
      <c r="T195" s="263">
        <f t="shared" ref="T195:T203" si="9">S195/$S$204</f>
        <v>0.55742107500935301</v>
      </c>
      <c r="U195" s="519">
        <f>SUMIFS(MyGrid3[يوليو],MyGrid3[المشروع226],F195)</f>
        <v>76641.67</v>
      </c>
      <c r="V195" s="263">
        <f t="shared" ref="V195:V203" si="10">U195/$U$204</f>
        <v>0.53807699935936248</v>
      </c>
      <c r="W195" s="266">
        <f>SUMIFS(MyGrid3[أغسطس],MyGrid3[المشروع227],F195)</f>
        <v>81293.64</v>
      </c>
      <c r="X195" s="263">
        <f t="shared" ref="X195:X203" si="11">W195/$W$204</f>
        <v>0.54418615112609159</v>
      </c>
      <c r="Y195" s="267">
        <f>SUMIFS(MyGrid3[سبتمبر],MyGrid3[المشروع228],F195)</f>
        <v>90075</v>
      </c>
      <c r="Z195" s="268">
        <f t="shared" ref="Z195:Z203" si="12">Y195/$Y$204</f>
        <v>0.57385404389513583</v>
      </c>
      <c r="AA195" s="269">
        <f>SUMIFS(MyGrid3[أكتوبر],MyGrid3[المشروع229],F195)</f>
        <v>90095.83</v>
      </c>
      <c r="AB195" s="270">
        <f t="shared" ref="AB195:AB203" si="13">AA195/$AA$204</f>
        <v>0.57172694022073878</v>
      </c>
      <c r="AC195" s="271">
        <f>SUMIFS(MyGrid3[نوفمبر],MyGrid3[المشروع2210],F195)</f>
        <v>96931.88</v>
      </c>
      <c r="AD195" s="272">
        <f t="shared" ref="AD195:AD203" si="14">AC195/$AC$204</f>
        <v>0.55738940954210547</v>
      </c>
      <c r="AE195" s="575">
        <f>SUMIFS(MyGrid3[ديسمبر],MyGrid3[المشروع22102],F195)</f>
        <v>100864.58</v>
      </c>
      <c r="AF195" s="273">
        <f t="shared" ref="AF195:AF203" si="15">AE195/$AE$204</f>
        <v>0.50443849208046021</v>
      </c>
      <c r="AG195" s="614">
        <f t="shared" ref="AG195:AG203" si="16">G195+J195+L195+O195+Q195+S195+U195+W195+Y195+AA195+AC195+AE195</f>
        <v>1023774.1899999998</v>
      </c>
      <c r="AH195" s="273">
        <f t="shared" ref="AH195:AH203" si="17">AG195/$AG$204</f>
        <v>0.56740262456544632</v>
      </c>
    </row>
    <row r="196" spans="1:48" ht="76.5" customHeight="1">
      <c r="F196" s="274" t="s">
        <v>1014</v>
      </c>
      <c r="G196" s="275">
        <f>SUMIFS(MyGrid3[يناير],MyGrid3[المشروع2],F196)</f>
        <v>3604.17</v>
      </c>
      <c r="H196" s="276">
        <f t="shared" si="4"/>
        <v>3.7066415893954742E-2</v>
      </c>
      <c r="I196" s="276"/>
      <c r="J196" s="277">
        <f>SUMIFS(MyGrid3[فبراير],MyGrid3[المشروع22],F196)</f>
        <v>6014.17</v>
      </c>
      <c r="K196" s="278">
        <f t="shared" si="5"/>
        <v>5.1867809301582704E-2</v>
      </c>
      <c r="L196" s="277">
        <f>SUMIFS(MyGrid3[مارس],MyGrid3[المشروع222],F196)</f>
        <v>6454.17</v>
      </c>
      <c r="M196" s="279">
        <f t="shared" ref="M196:M203" si="18">(L196-J196)/J196</f>
        <v>7.3160552495190517E-2</v>
      </c>
      <c r="N196" s="280">
        <f t="shared" si="6"/>
        <v>4.5395093604693286E-2</v>
      </c>
      <c r="O196" s="526">
        <f>SUMIFS(MyGrid3[أبريل],MyGrid3[المشروع223],F196)</f>
        <v>6454.17</v>
      </c>
      <c r="P196" s="278">
        <f t="shared" si="7"/>
        <v>4.2642589588373088E-2</v>
      </c>
      <c r="Q196" s="275">
        <f>SUMIFS(MyGrid3[مايو],MyGrid3[المشروع224],F196)</f>
        <v>6816.68</v>
      </c>
      <c r="R196" s="278">
        <f t="shared" si="8"/>
        <v>4.0645165714190329E-2</v>
      </c>
      <c r="S196" s="277">
        <f>SUMIFS(MyGrid3[يونيو],MyGrid3[المشروع225],F196)</f>
        <v>6804.18</v>
      </c>
      <c r="T196" s="278">
        <f t="shared" si="9"/>
        <v>4.5465750007667644E-2</v>
      </c>
      <c r="U196" s="520">
        <f>SUMIFS(MyGrid3[يوليو],MyGrid3[المشروع226],F196)</f>
        <v>6733.33</v>
      </c>
      <c r="V196" s="278">
        <f t="shared" si="10"/>
        <v>4.7272586859033426E-2</v>
      </c>
      <c r="W196" s="281">
        <f>SUMIFS(MyGrid3[أغسطس],MyGrid3[المشروع227],F196)</f>
        <v>7687.5</v>
      </c>
      <c r="X196" s="278">
        <f t="shared" si="11"/>
        <v>5.1460742030764388E-2</v>
      </c>
      <c r="Y196" s="282">
        <f>SUMIFS(MyGrid3[سبتمبر],MyGrid3[المشروع228],F196)</f>
        <v>8312.5</v>
      </c>
      <c r="Z196" s="283">
        <f t="shared" si="12"/>
        <v>5.2957665721657693E-2</v>
      </c>
      <c r="AA196" s="284">
        <f>SUMIFS(MyGrid3[أكتوبر],MyGrid3[المشروع229],F196)</f>
        <v>8312.5</v>
      </c>
      <c r="AB196" s="285">
        <f t="shared" si="13"/>
        <v>5.2749169307668188E-2</v>
      </c>
      <c r="AC196" s="286">
        <f>SUMIFS(MyGrid3[نوفمبر],MyGrid3[المشروع2210],F196)</f>
        <v>8312.5</v>
      </c>
      <c r="AD196" s="287">
        <f t="shared" si="14"/>
        <v>4.7799541975444518E-2</v>
      </c>
      <c r="AE196" s="573">
        <f>SUMIFS(MyGrid3[ديسمبر],MyGrid3[المشروع22102],F196)</f>
        <v>8312.5</v>
      </c>
      <c r="AF196" s="288">
        <f t="shared" si="15"/>
        <v>4.1572026229810558E-2</v>
      </c>
      <c r="AG196" s="573">
        <f t="shared" si="16"/>
        <v>83818.37</v>
      </c>
      <c r="AH196" s="288">
        <f t="shared" si="17"/>
        <v>4.6454348614510074E-2</v>
      </c>
    </row>
    <row r="197" spans="1:48" ht="76.5" customHeight="1">
      <c r="F197" s="289" t="s">
        <v>113</v>
      </c>
      <c r="G197" s="290">
        <f>SUMIFS(MyGrid3[يناير],MyGrid3[المشروع2],F197)</f>
        <v>5116.67</v>
      </c>
      <c r="H197" s="291">
        <f t="shared" si="4"/>
        <v>5.2621440778909262E-2</v>
      </c>
      <c r="I197" s="291"/>
      <c r="J197" s="292">
        <f>SUMIFS(MyGrid3[فبراير],MyGrid3[المشروع22],F197)</f>
        <v>5116.67</v>
      </c>
      <c r="K197" s="293">
        <f t="shared" si="5"/>
        <v>4.4127529454459913E-2</v>
      </c>
      <c r="L197" s="292">
        <f>SUMIFS(MyGrid3[مارس],MyGrid3[المشروع222],F197)</f>
        <v>5116.67</v>
      </c>
      <c r="M197" s="294">
        <f t="shared" si="18"/>
        <v>0</v>
      </c>
      <c r="N197" s="295">
        <f t="shared" si="6"/>
        <v>3.5987851822050859E-2</v>
      </c>
      <c r="O197" s="527">
        <f>SUMIFS(MyGrid3[أبريل],MyGrid3[المشروع223],F197)</f>
        <v>5116.67</v>
      </c>
      <c r="P197" s="293">
        <f t="shared" si="7"/>
        <v>3.3805750215618886E-2</v>
      </c>
      <c r="Q197" s="290">
        <f>SUMIFS(MyGrid3[مايو],MyGrid3[المشروع224],F197)</f>
        <v>5116.67</v>
      </c>
      <c r="R197" s="293">
        <f t="shared" si="8"/>
        <v>3.0508678719673832E-2</v>
      </c>
      <c r="S197" s="292">
        <f>SUMIFS(MyGrid3[يونيو],MyGrid3[المشروع225],F197)</f>
        <v>5116.67</v>
      </c>
      <c r="T197" s="293">
        <f t="shared" si="9"/>
        <v>3.4189753811882224E-2</v>
      </c>
      <c r="U197" s="521">
        <f>SUMIFS(MyGrid3[يوليو],MyGrid3[المشروع226],F197)</f>
        <v>5893.75</v>
      </c>
      <c r="V197" s="293">
        <f t="shared" si="10"/>
        <v>4.1378160405093505E-2</v>
      </c>
      <c r="W197" s="296">
        <f>SUMIFS(MyGrid3[أغسطس],MyGrid3[المشروع227],F197)</f>
        <v>4318.75</v>
      </c>
      <c r="X197" s="293">
        <f t="shared" si="11"/>
        <v>2.8910059140860318E-2</v>
      </c>
      <c r="Y197" s="297">
        <f>SUMIFS(MyGrid3[سبتمبر],MyGrid3[المشروع228],F197)</f>
        <v>4318.75</v>
      </c>
      <c r="Z197" s="298">
        <f t="shared" si="12"/>
        <v>2.7514095498996593E-2</v>
      </c>
      <c r="AA197" s="299">
        <f>SUMIFS(MyGrid3[أكتوبر],MyGrid3[المشروع229],F197)</f>
        <v>5122.09</v>
      </c>
      <c r="AB197" s="300">
        <f t="shared" si="13"/>
        <v>3.2503578059442303E-2</v>
      </c>
      <c r="AC197" s="301">
        <f>SUMIFS(MyGrid3[نوفمبر],MyGrid3[المشروع2210],F197)</f>
        <v>5893.75</v>
      </c>
      <c r="AD197" s="302">
        <f t="shared" si="14"/>
        <v>3.3890953445747503E-2</v>
      </c>
      <c r="AE197" s="574">
        <f>SUMIFS(MyGrid3[ديسمبر],MyGrid3[المشروع22102],F197)</f>
        <v>5893.75</v>
      </c>
      <c r="AF197" s="303">
        <f t="shared" si="15"/>
        <v>2.9475504311813051E-2</v>
      </c>
      <c r="AG197" s="574">
        <f t="shared" si="16"/>
        <v>62140.86</v>
      </c>
      <c r="AH197" s="303">
        <f t="shared" si="17"/>
        <v>3.4440101539143085E-2</v>
      </c>
    </row>
    <row r="198" spans="1:48" ht="76.5" customHeight="1">
      <c r="F198" s="274" t="s">
        <v>967</v>
      </c>
      <c r="G198" s="275">
        <f>SUMIFS(MyGrid3[يناير],MyGrid3[المشروع2],F198)</f>
        <v>6375</v>
      </c>
      <c r="H198" s="276">
        <f t="shared" si="4"/>
        <v>6.5562501581213281E-2</v>
      </c>
      <c r="I198" s="276"/>
      <c r="J198" s="277">
        <f>SUMIFS(MyGrid3[فبراير],MyGrid3[المشروع22],F198)</f>
        <v>6375</v>
      </c>
      <c r="K198" s="278">
        <f t="shared" si="5"/>
        <v>5.4979703649479433E-2</v>
      </c>
      <c r="L198" s="277">
        <f>SUMIFS(MyGrid3[مارس],MyGrid3[المشروع222],F198)</f>
        <v>5575</v>
      </c>
      <c r="M198" s="279">
        <f t="shared" si="18"/>
        <v>-0.12549019607843137</v>
      </c>
      <c r="N198" s="280">
        <f t="shared" si="6"/>
        <v>3.9211493785593667E-2</v>
      </c>
      <c r="O198" s="526">
        <f>SUMIFS(MyGrid3[أبريل],MyGrid3[المشروع223],F198)</f>
        <v>5875</v>
      </c>
      <c r="P198" s="278">
        <f t="shared" si="7"/>
        <v>3.8816023413032488E-2</v>
      </c>
      <c r="Q198" s="275">
        <f>SUMIFS(MyGrid3[مايو],MyGrid3[المشروع224],F198)</f>
        <v>6116.66</v>
      </c>
      <c r="R198" s="278">
        <f t="shared" si="8"/>
        <v>3.6471223428026459E-2</v>
      </c>
      <c r="S198" s="277">
        <f>SUMIFS(MyGrid3[يونيو],MyGrid3[المشروع225],F198)</f>
        <v>6116.66</v>
      </c>
      <c r="T198" s="278">
        <f t="shared" si="9"/>
        <v>4.0871719214056704E-2</v>
      </c>
      <c r="U198" s="520">
        <f>SUMIFS(MyGrid3[يوليو],MyGrid3[المشروع226],F198)</f>
        <v>6375</v>
      </c>
      <c r="V198" s="278">
        <f t="shared" si="10"/>
        <v>4.4756864913250663E-2</v>
      </c>
      <c r="W198" s="281">
        <f>SUMIFS(MyGrid3[أغسطس],MyGrid3[المشروع227],F198)</f>
        <v>6375</v>
      </c>
      <c r="X198" s="278">
        <f t="shared" si="11"/>
        <v>4.2674761684048518E-2</v>
      </c>
      <c r="Y198" s="282">
        <f>SUMIFS(MyGrid3[سبتمبر],MyGrid3[المشروع228],F198)</f>
        <v>6651.25</v>
      </c>
      <c r="Z198" s="283">
        <f t="shared" si="12"/>
        <v>4.2374096136081292E-2</v>
      </c>
      <c r="AA198" s="284">
        <f>SUMIFS(MyGrid3[أكتوبر],MyGrid3[المشروع229],F198)</f>
        <v>5925</v>
      </c>
      <c r="AB198" s="285">
        <f t="shared" si="13"/>
        <v>3.7598656017796571E-2</v>
      </c>
      <c r="AC198" s="286">
        <f>SUMIFS(MyGrid3[نوفمبر],MyGrid3[المشروع2210],F198)</f>
        <v>5925</v>
      </c>
      <c r="AD198" s="287">
        <f t="shared" si="14"/>
        <v>3.4070650971970984E-2</v>
      </c>
      <c r="AE198" s="573">
        <f>SUMIFS(MyGrid3[ديسمبر],MyGrid3[المشروع22102],F198)</f>
        <v>5925</v>
      </c>
      <c r="AF198" s="288">
        <f t="shared" si="15"/>
        <v>2.9631790124707076E-2</v>
      </c>
      <c r="AG198" s="573">
        <f t="shared" si="16"/>
        <v>73609.570000000007</v>
      </c>
      <c r="AH198" s="288">
        <f t="shared" si="17"/>
        <v>4.0796362732229016E-2</v>
      </c>
    </row>
    <row r="199" spans="1:48" ht="76.5" customHeight="1">
      <c r="F199" s="289" t="s">
        <v>994</v>
      </c>
      <c r="G199" s="290">
        <f>SUMIFS(MyGrid3[يناير],MyGrid3[المشروع2],F199)</f>
        <v>2625</v>
      </c>
      <c r="H199" s="291">
        <f t="shared" si="4"/>
        <v>2.6996324180499586E-2</v>
      </c>
      <c r="I199" s="291"/>
      <c r="J199" s="292">
        <f>SUMIFS(MyGrid3[فبراير],MyGrid3[المشروع22],F199)</f>
        <v>3450</v>
      </c>
      <c r="K199" s="293">
        <f t="shared" si="5"/>
        <v>2.9753721975012401E-2</v>
      </c>
      <c r="L199" s="292">
        <f>SUMIFS(MyGrid3[مارس],MyGrid3[المشروع222],F199)</f>
        <v>4150</v>
      </c>
      <c r="M199" s="294">
        <f t="shared" si="18"/>
        <v>0.20289855072463769</v>
      </c>
      <c r="N199" s="295">
        <f t="shared" si="6"/>
        <v>2.9188824970441923E-2</v>
      </c>
      <c r="O199" s="527">
        <f>SUMIFS(MyGrid3[أبريل],MyGrid3[المشروع223],F199)</f>
        <v>5618.75</v>
      </c>
      <c r="P199" s="293">
        <f t="shared" si="7"/>
        <v>3.7122984093953412E-2</v>
      </c>
      <c r="Q199" s="290">
        <f>SUMIFS(MyGrid3[مايو],MyGrid3[المشروع224],F199)</f>
        <v>5795.84</v>
      </c>
      <c r="R199" s="293">
        <f t="shared" si="8"/>
        <v>3.455830070546554E-2</v>
      </c>
      <c r="S199" s="292">
        <f>SUMIFS(MyGrid3[يونيو],MyGrid3[المشروع225],F199)</f>
        <v>8145.84</v>
      </c>
      <c r="T199" s="293">
        <f t="shared" si="9"/>
        <v>5.4430765359302573E-2</v>
      </c>
      <c r="U199" s="521">
        <f>SUMIFS(MyGrid3[يوليو],MyGrid3[المشروع226],F199)</f>
        <v>7093.75</v>
      </c>
      <c r="V199" s="293">
        <f t="shared" si="10"/>
        <v>4.9802982035823042E-2</v>
      </c>
      <c r="W199" s="296">
        <f>SUMIFS(MyGrid3[أغسطس],MyGrid3[المشروع227],F199)</f>
        <v>7265.83</v>
      </c>
      <c r="X199" s="293">
        <f t="shared" si="11"/>
        <v>4.863804920577415E-2</v>
      </c>
      <c r="Y199" s="297">
        <f>SUMIFS(MyGrid3[سبتمبر],MyGrid3[المشروع228],F199)</f>
        <v>8287.5</v>
      </c>
      <c r="Z199" s="298">
        <f t="shared" si="12"/>
        <v>5.2798394546554966E-2</v>
      </c>
      <c r="AA199" s="299">
        <f>SUMIFS(MyGrid3[أكتوبر],MyGrid3[المشروع229],F199)</f>
        <v>8287.5</v>
      </c>
      <c r="AB199" s="300">
        <f t="shared" si="13"/>
        <v>5.2590525189449636E-2</v>
      </c>
      <c r="AC199" s="301">
        <f>SUMIFS(MyGrid3[نوفمبر],MyGrid3[المشروع2210],F199)</f>
        <v>8283.119999999999</v>
      </c>
      <c r="AD199" s="302">
        <f t="shared" si="14"/>
        <v>4.7630597549190253E-2</v>
      </c>
      <c r="AE199" s="574">
        <f>SUMIFS(MyGrid3[ديسمبر],MyGrid3[المشروع22102],F199)</f>
        <v>8324.17</v>
      </c>
      <c r="AF199" s="303">
        <f t="shared" si="15"/>
        <v>4.1630389603777705E-2</v>
      </c>
      <c r="AG199" s="574">
        <f t="shared" si="16"/>
        <v>77327.3</v>
      </c>
      <c r="AH199" s="303">
        <f t="shared" si="17"/>
        <v>4.2856826631427036E-2</v>
      </c>
    </row>
    <row r="200" spans="1:48" ht="76.5" customHeight="1">
      <c r="F200" s="274" t="s">
        <v>63</v>
      </c>
      <c r="G200" s="275">
        <f>SUMIFS(MyGrid3[يناير],MyGrid3[المشروع2],F200)</f>
        <v>8300</v>
      </c>
      <c r="H200" s="276">
        <f t="shared" si="4"/>
        <v>8.5359805980246312E-2</v>
      </c>
      <c r="I200" s="276"/>
      <c r="J200" s="277">
        <f>SUMIFS(MyGrid3[فبراير],MyGrid3[المشروع22],F200)</f>
        <v>9351.68</v>
      </c>
      <c r="K200" s="278">
        <f t="shared" si="5"/>
        <v>8.0651387454864915E-2</v>
      </c>
      <c r="L200" s="277">
        <f>SUMIFS(MyGrid3[مارس],MyGrid3[المشروع222],F200)</f>
        <v>9916.67</v>
      </c>
      <c r="M200" s="279">
        <f t="shared" si="18"/>
        <v>6.0415882493840653E-2</v>
      </c>
      <c r="N200" s="280">
        <f t="shared" si="6"/>
        <v>6.9748420462561994E-2</v>
      </c>
      <c r="O200" s="526">
        <f>SUMIFS(MyGrid3[أبريل],MyGrid3[المشروع223],F200)</f>
        <v>8741.67</v>
      </c>
      <c r="P200" s="278">
        <f t="shared" si="7"/>
        <v>5.7756062534298505E-2</v>
      </c>
      <c r="Q200" s="275">
        <f>SUMIFS(MyGrid3[مايو],MyGrid3[المشروع224],F200)</f>
        <v>9366.67</v>
      </c>
      <c r="R200" s="278">
        <f t="shared" si="8"/>
        <v>5.5849747140856706E-2</v>
      </c>
      <c r="S200" s="277">
        <f>SUMIFS(MyGrid3[يونيو],MyGrid3[المشروع225],F200)</f>
        <v>9366.67</v>
      </c>
      <c r="T200" s="278">
        <f t="shared" si="9"/>
        <v>6.2588390757493229E-2</v>
      </c>
      <c r="U200" s="520">
        <f>SUMIFS(MyGrid3[يوليو],MyGrid3[المشروع226],F200)</f>
        <v>8825</v>
      </c>
      <c r="V200" s="278">
        <f t="shared" si="10"/>
        <v>6.1957542409323468E-2</v>
      </c>
      <c r="W200" s="281">
        <f>SUMIFS(MyGrid3[أغسطس],MyGrid3[المشروع227],F200)</f>
        <v>10786.67</v>
      </c>
      <c r="X200" s="278">
        <f t="shared" si="11"/>
        <v>7.2206834763054992E-2</v>
      </c>
      <c r="Y200" s="282">
        <f>SUMIFS(MyGrid3[سبتمبر],MyGrid3[المشروع228],F200)</f>
        <v>10865</v>
      </c>
      <c r="Z200" s="283">
        <f t="shared" si="12"/>
        <v>6.9219252699646419E-2</v>
      </c>
      <c r="AA200" s="284">
        <f>SUMIFS(MyGrid3[أكتوبر],MyGrid3[المشروع229],F200)</f>
        <v>11287.5</v>
      </c>
      <c r="AB200" s="285">
        <f t="shared" si="13"/>
        <v>7.162781937567575E-2</v>
      </c>
      <c r="AC200" s="286">
        <f>SUMIFS(MyGrid3[نوفمبر],MyGrid3[المشروع2210],F200)</f>
        <v>10462.5</v>
      </c>
      <c r="AD200" s="287">
        <f t="shared" si="14"/>
        <v>6.0162731779619644E-2</v>
      </c>
      <c r="AE200" s="573">
        <f>SUMIFS(MyGrid3[ديسمبر],MyGrid3[المشروع22102],F200)</f>
        <v>9711.67</v>
      </c>
      <c r="AF200" s="288">
        <f t="shared" si="15"/>
        <v>4.85694796962724E-2</v>
      </c>
      <c r="AG200" s="573">
        <f t="shared" si="16"/>
        <v>116981.7</v>
      </c>
      <c r="AH200" s="288">
        <f t="shared" si="17"/>
        <v>6.4834339695678089E-2</v>
      </c>
    </row>
    <row r="201" spans="1:48" ht="76.5" customHeight="1">
      <c r="F201" s="289" t="s">
        <v>1007</v>
      </c>
      <c r="G201" s="290">
        <f>SUMIFS(MyGrid3[يناير],MyGrid3[المشروع2],F201)</f>
        <v>3287.5</v>
      </c>
      <c r="H201" s="291">
        <f t="shared" si="4"/>
        <v>3.3809682187959003E-2</v>
      </c>
      <c r="I201" s="291"/>
      <c r="J201" s="292">
        <f>SUMIFS(MyGrid3[فبراير],MyGrid3[المشروع22],F201)</f>
        <v>3487.5</v>
      </c>
      <c r="K201" s="293">
        <f t="shared" si="5"/>
        <v>3.0077131996479926E-2</v>
      </c>
      <c r="L201" s="292">
        <f>SUMIFS(MyGrid3[مارس],MyGrid3[المشروع222],F201)</f>
        <v>3487.5</v>
      </c>
      <c r="M201" s="294">
        <f t="shared" si="18"/>
        <v>0</v>
      </c>
      <c r="N201" s="295">
        <f t="shared" si="6"/>
        <v>2.4529163152871375E-2</v>
      </c>
      <c r="O201" s="527">
        <f>SUMIFS(MyGrid3[أبريل],MyGrid3[المشروع223],F201)</f>
        <v>4075</v>
      </c>
      <c r="P201" s="293">
        <f t="shared" si="7"/>
        <v>2.6923454537550195E-2</v>
      </c>
      <c r="Q201" s="290">
        <f>SUMIFS(MyGrid3[مايو],MyGrid3[المشروع224],F201)</f>
        <v>3775.83</v>
      </c>
      <c r="R201" s="293">
        <f t="shared" si="8"/>
        <v>2.2513780323942335E-2</v>
      </c>
      <c r="S201" s="292">
        <f>SUMIFS(MyGrid3[يونيو],MyGrid3[المشروع225],F201)</f>
        <v>3775.83</v>
      </c>
      <c r="T201" s="293">
        <f t="shared" si="9"/>
        <v>2.5230217726669737E-2</v>
      </c>
      <c r="U201" s="521">
        <f>SUMIFS(MyGrid3[يوليو],MyGrid3[المشروع226],F201)</f>
        <v>4323.75</v>
      </c>
      <c r="V201" s="293">
        <f t="shared" si="10"/>
        <v>3.0355685438222361E-2</v>
      </c>
      <c r="W201" s="296">
        <f>SUMIFS(MyGrid3[أغسطس],MyGrid3[المشروع227],F201)</f>
        <v>4936.25</v>
      </c>
      <c r="X201" s="293">
        <f t="shared" si="11"/>
        <v>3.3043653703981879E-2</v>
      </c>
      <c r="Y201" s="297">
        <f>SUMIFS(MyGrid3[سبتمبر],MyGrid3[المشروع228],F201)</f>
        <v>6711.25</v>
      </c>
      <c r="Z201" s="298">
        <f t="shared" si="12"/>
        <v>4.2756346956327844E-2</v>
      </c>
      <c r="AA201" s="299">
        <f>SUMIFS(MyGrid3[أكتوبر],MyGrid3[المشروع229],F201)</f>
        <v>6811.25</v>
      </c>
      <c r="AB201" s="300">
        <f t="shared" si="13"/>
        <v>4.3222590008644209E-2</v>
      </c>
      <c r="AC201" s="301">
        <f>SUMIFS(MyGrid3[نوفمبر],MyGrid3[المشروع2210],F201)</f>
        <v>7017.5</v>
      </c>
      <c r="AD201" s="302">
        <f t="shared" si="14"/>
        <v>4.0352876488743687E-2</v>
      </c>
      <c r="AE201" s="574">
        <f>SUMIFS(MyGrid3[ديسمبر],MyGrid3[المشروع22102],F201)</f>
        <v>7498.75</v>
      </c>
      <c r="AF201" s="303">
        <f t="shared" si="15"/>
        <v>3.7502343662050158E-2</v>
      </c>
      <c r="AG201" s="574">
        <f t="shared" si="16"/>
        <v>59187.91</v>
      </c>
      <c r="AH201" s="303">
        <f t="shared" si="17"/>
        <v>3.2803498861935003E-2</v>
      </c>
    </row>
    <row r="202" spans="1:48" ht="76.5" customHeight="1">
      <c r="F202" s="274" t="s">
        <v>996</v>
      </c>
      <c r="G202" s="275">
        <f>SUMIFS(MyGrid3[يناير],MyGrid3[المشروع2],F202)</f>
        <v>5000</v>
      </c>
      <c r="H202" s="276">
        <f t="shared" si="4"/>
        <v>5.1421569867618255E-2</v>
      </c>
      <c r="I202" s="276"/>
      <c r="J202" s="277">
        <f>SUMIFS(MyGrid3[فبراير],MyGrid3[المشروع22],F202)</f>
        <v>5000</v>
      </c>
      <c r="K202" s="278">
        <f t="shared" si="5"/>
        <v>4.3121336195670143E-2</v>
      </c>
      <c r="L202" s="277">
        <f>SUMIFS(MyGrid3[مارس],MyGrid3[المشروع222],F202)</f>
        <v>8600</v>
      </c>
      <c r="M202" s="279">
        <f t="shared" si="18"/>
        <v>0.72</v>
      </c>
      <c r="N202" s="280">
        <f t="shared" si="6"/>
        <v>6.0487685480915793E-2</v>
      </c>
      <c r="O202" s="526">
        <f>SUMIFS(MyGrid3[أبريل],MyGrid3[المشروع223],F202)</f>
        <v>11000</v>
      </c>
      <c r="P202" s="278">
        <f t="shared" si="7"/>
        <v>7.2676809794614022E-2</v>
      </c>
      <c r="Q202" s="275">
        <f>SUMIFS(MyGrid3[مايو],MyGrid3[المشروع224],F202)</f>
        <v>11208.33</v>
      </c>
      <c r="R202" s="278">
        <f t="shared" si="8"/>
        <v>6.6830837039340382E-2</v>
      </c>
      <c r="S202" s="277">
        <f>SUMIFS(MyGrid3[يونيو],MyGrid3[المشروع225],F202)</f>
        <v>11208.33</v>
      </c>
      <c r="T202" s="278">
        <f t="shared" si="9"/>
        <v>7.4894422220376511E-2</v>
      </c>
      <c r="U202" s="520">
        <f>SUMIFS(MyGrid3[يوليو],MyGrid3[المشروع226],F202)</f>
        <v>10850</v>
      </c>
      <c r="V202" s="278">
        <f t="shared" si="10"/>
        <v>7.6174428911179565E-2</v>
      </c>
      <c r="W202" s="281">
        <f>SUMIFS(MyGrid3[أغسطس],MyGrid3[المشروع227],F202)</f>
        <v>11022.08</v>
      </c>
      <c r="X202" s="278">
        <f t="shared" si="11"/>
        <v>7.3782688198041957E-2</v>
      </c>
      <c r="Y202" s="282">
        <f>SUMIFS(MyGrid3[سبتمبر],MyGrid3[المشروع228],F202)</f>
        <v>6043.75</v>
      </c>
      <c r="Z202" s="283">
        <f t="shared" si="12"/>
        <v>3.8503806581084953E-2</v>
      </c>
      <c r="AA202" s="284">
        <f>SUMIFS(MyGrid3[أكتوبر],MyGrid3[المشروع229],F202)</f>
        <v>6043.75</v>
      </c>
      <c r="AB202" s="285">
        <f t="shared" si="13"/>
        <v>3.8352215579334693E-2</v>
      </c>
      <c r="AC202" s="286">
        <f>SUMIFS(MyGrid3[نوفمبر],MyGrid3[المشروع2210],F202)</f>
        <v>6043.75</v>
      </c>
      <c r="AD202" s="287">
        <f t="shared" si="14"/>
        <v>3.4753501571620188E-2</v>
      </c>
      <c r="AE202" s="573">
        <f>SUMIFS(MyGrid3[ديسمبر],MyGrid3[المشروع22102],F202)</f>
        <v>6043.75</v>
      </c>
      <c r="AF202" s="288">
        <f t="shared" si="15"/>
        <v>3.022567621370437E-2</v>
      </c>
      <c r="AG202" s="573">
        <f t="shared" si="16"/>
        <v>98063.74</v>
      </c>
      <c r="AH202" s="288">
        <f t="shared" si="17"/>
        <v>5.4349507922937135E-2</v>
      </c>
    </row>
    <row r="203" spans="1:48" s="238" customFormat="1" ht="64.5" thickBot="1">
      <c r="A203" s="92"/>
      <c r="B203" s="226"/>
      <c r="C203" s="244"/>
      <c r="D203" s="236"/>
      <c r="E203" s="237"/>
      <c r="F203" s="304" t="s">
        <v>990</v>
      </c>
      <c r="G203" s="305">
        <f>SUMIFS(MyGrid3[يناير],MyGrid3[المشروع2],F203)</f>
        <v>10700</v>
      </c>
      <c r="H203" s="306">
        <f t="shared" si="4"/>
        <v>0.11004215951670307</v>
      </c>
      <c r="I203" s="306"/>
      <c r="J203" s="307">
        <f>SUMIFS(MyGrid3[فبراير],MyGrid3[المشروع22],F203)</f>
        <v>10700</v>
      </c>
      <c r="K203" s="308">
        <f t="shared" si="5"/>
        <v>9.2279659458734106E-2</v>
      </c>
      <c r="L203" s="307">
        <f>SUMIFS(MyGrid3[مارس],MyGrid3[المشروع222],F203)</f>
        <v>10700</v>
      </c>
      <c r="M203" s="309">
        <f t="shared" si="18"/>
        <v>0</v>
      </c>
      <c r="N203" s="310">
        <f t="shared" si="6"/>
        <v>7.5257934261139414E-2</v>
      </c>
      <c r="O203" s="528">
        <f>SUMIFS(MyGrid3[أبريل],MyGrid3[المشروع223],F203)</f>
        <v>10700</v>
      </c>
      <c r="P203" s="308">
        <f t="shared" si="7"/>
        <v>7.0694714982033641E-2</v>
      </c>
      <c r="Q203" s="305">
        <f>SUMIFS(MyGrid3[مايو],MyGrid3[المشروع224],F203)</f>
        <v>15700</v>
      </c>
      <c r="R203" s="308">
        <f t="shared" si="8"/>
        <v>9.3612888050016732E-2</v>
      </c>
      <c r="S203" s="307">
        <f>SUMIFS(MyGrid3[يونيو],MyGrid3[المشروع225],F203)</f>
        <v>15700</v>
      </c>
      <c r="T203" s="308">
        <f t="shared" si="9"/>
        <v>0.10490790589319829</v>
      </c>
      <c r="U203" s="522">
        <f>SUMIFS(MyGrid3[يوليو],MyGrid3[المشروع226],F203)</f>
        <v>15700</v>
      </c>
      <c r="V203" s="308">
        <f t="shared" si="10"/>
        <v>0.11022474966871144</v>
      </c>
      <c r="W203" s="311">
        <f>SUMIFS(MyGrid3[أغسطس],MyGrid3[المشروع227],F203)</f>
        <v>15700</v>
      </c>
      <c r="X203" s="308">
        <f t="shared" si="11"/>
        <v>0.10509706014738222</v>
      </c>
      <c r="Y203" s="312">
        <f>SUMIFS(MyGrid3[سبتمبر],MyGrid3[المشروع228],F203)</f>
        <v>15700</v>
      </c>
      <c r="Z203" s="313">
        <f t="shared" si="12"/>
        <v>0.10002229796451438</v>
      </c>
      <c r="AA203" s="314">
        <f>SUMIFS(MyGrid3[أكتوبر],MyGrid3[المشروع229],F203)</f>
        <v>15700</v>
      </c>
      <c r="AB203" s="315">
        <f t="shared" si="13"/>
        <v>9.9628506241249998E-2</v>
      </c>
      <c r="AC203" s="316">
        <f>SUMIFS(MyGrid3[نوفمبر],MyGrid3[المشروع2210],F203)</f>
        <v>25033.34</v>
      </c>
      <c r="AD203" s="317">
        <f t="shared" si="14"/>
        <v>0.14394973667555783</v>
      </c>
      <c r="AE203" s="576">
        <f>SUMIFS(MyGrid3[ديسمبر],MyGrid3[المشروع22102],F203)</f>
        <v>47380</v>
      </c>
      <c r="AF203" s="318">
        <f t="shared" si="15"/>
        <v>0.23695429807740442</v>
      </c>
      <c r="AG203" s="615">
        <f t="shared" si="16"/>
        <v>209413.34</v>
      </c>
      <c r="AH203" s="318">
        <f t="shared" si="17"/>
        <v>0.11606238943669421</v>
      </c>
      <c r="AI203" s="92"/>
      <c r="AJ203" s="234"/>
      <c r="AK203" s="92"/>
      <c r="AL203" s="92"/>
      <c r="AM203" s="234"/>
      <c r="AN203" s="92"/>
      <c r="AO203" s="92"/>
      <c r="AP203" s="92"/>
      <c r="AQ203" s="92"/>
      <c r="AR203" s="92"/>
      <c r="AS203" s="92"/>
      <c r="AT203" s="92"/>
      <c r="AU203" s="92"/>
      <c r="AV203" s="92"/>
    </row>
    <row r="204" spans="1:48" s="238" customFormat="1" ht="93" thickBot="1">
      <c r="A204" s="92"/>
      <c r="B204" s="226"/>
      <c r="C204" s="244"/>
      <c r="D204" s="236"/>
      <c r="E204" s="237"/>
      <c r="F204" s="319" t="s">
        <v>954</v>
      </c>
      <c r="G204" s="320">
        <f>SUM(G195:G203)</f>
        <v>97235.459999999992</v>
      </c>
      <c r="H204" s="321">
        <f>SUM(H195:H203)</f>
        <v>1</v>
      </c>
      <c r="I204" s="321"/>
      <c r="J204" s="322">
        <f t="shared" ref="J204:AH204" si="19">SUM(J195:J203)</f>
        <v>115951.87999999998</v>
      </c>
      <c r="K204" s="323">
        <f t="shared" si="19"/>
        <v>1</v>
      </c>
      <c r="L204" s="322">
        <f t="shared" si="19"/>
        <v>142177.69999999998</v>
      </c>
      <c r="M204" s="324">
        <f>(L204-J204)/J204</f>
        <v>0.22617848024542606</v>
      </c>
      <c r="N204" s="325">
        <f t="shared" si="19"/>
        <v>1</v>
      </c>
      <c r="O204" s="523">
        <f t="shared" si="19"/>
        <v>151355.01999999999</v>
      </c>
      <c r="P204" s="326">
        <f t="shared" si="19"/>
        <v>1.0000000000000002</v>
      </c>
      <c r="Q204" s="320">
        <f t="shared" si="19"/>
        <v>167711.94999999995</v>
      </c>
      <c r="R204" s="323">
        <f t="shared" si="19"/>
        <v>1</v>
      </c>
      <c r="S204" s="322">
        <f t="shared" si="19"/>
        <v>149655.06999999998</v>
      </c>
      <c r="T204" s="326">
        <f t="shared" si="19"/>
        <v>1</v>
      </c>
      <c r="U204" s="523">
        <f t="shared" si="19"/>
        <v>142436.25</v>
      </c>
      <c r="V204" s="323">
        <f t="shared" si="19"/>
        <v>0.99999999999999989</v>
      </c>
      <c r="W204" s="327">
        <f t="shared" si="19"/>
        <v>149385.72</v>
      </c>
      <c r="X204" s="323">
        <f t="shared" si="19"/>
        <v>1</v>
      </c>
      <c r="Y204" s="328">
        <f t="shared" si="19"/>
        <v>156965</v>
      </c>
      <c r="Z204" s="329">
        <f t="shared" si="19"/>
        <v>1.0000000000000002</v>
      </c>
      <c r="AA204" s="330">
        <f t="shared" si="19"/>
        <v>157585.41999999998</v>
      </c>
      <c r="AB204" s="331">
        <f t="shared" si="19"/>
        <v>1</v>
      </c>
      <c r="AC204" s="332">
        <f t="shared" si="19"/>
        <v>173903.34</v>
      </c>
      <c r="AD204" s="333">
        <f t="shared" si="19"/>
        <v>1.0000000000000002</v>
      </c>
      <c r="AE204" s="577">
        <f t="shared" si="19"/>
        <v>199954.17</v>
      </c>
      <c r="AF204" s="334">
        <f t="shared" si="19"/>
        <v>1</v>
      </c>
      <c r="AG204" s="616">
        <f t="shared" si="19"/>
        <v>1804316.98</v>
      </c>
      <c r="AH204" s="334">
        <f t="shared" si="19"/>
        <v>1</v>
      </c>
      <c r="AI204" s="92"/>
      <c r="AJ204" s="234"/>
      <c r="AK204" s="92"/>
      <c r="AL204" s="92"/>
      <c r="AM204" s="234"/>
      <c r="AN204" s="92"/>
      <c r="AO204" s="92"/>
      <c r="AP204" s="92"/>
      <c r="AQ204" s="92"/>
      <c r="AR204" s="92"/>
      <c r="AS204" s="92"/>
      <c r="AT204" s="92"/>
      <c r="AU204" s="92"/>
      <c r="AV204" s="92"/>
    </row>
    <row r="205" spans="1:48" s="238" customFormat="1">
      <c r="A205" s="92"/>
      <c r="B205" s="226"/>
      <c r="C205" s="244"/>
      <c r="D205" s="236"/>
      <c r="E205" s="92"/>
      <c r="G205" s="239"/>
      <c r="H205" s="239"/>
      <c r="I205" s="239"/>
      <c r="J205" s="239"/>
      <c r="K205" s="239"/>
      <c r="L205" s="239"/>
      <c r="M205" s="239"/>
      <c r="N205" s="245"/>
      <c r="O205" s="232"/>
      <c r="P205" s="232"/>
      <c r="Q205" s="232"/>
      <c r="R205" s="233"/>
      <c r="S205" s="232"/>
      <c r="T205" s="232"/>
      <c r="U205" s="517"/>
      <c r="V205" s="232"/>
      <c r="W205" s="92"/>
      <c r="X205" s="92"/>
      <c r="Y205" s="92"/>
      <c r="Z205" s="92"/>
      <c r="AA205" s="234"/>
      <c r="AB205" s="92"/>
      <c r="AC205" s="92"/>
      <c r="AD205" s="92"/>
      <c r="AE205" s="92"/>
      <c r="AF205" s="92"/>
      <c r="AG205" s="92"/>
      <c r="AH205" s="92"/>
      <c r="AI205" s="92"/>
      <c r="AJ205" s="234"/>
      <c r="AK205" s="92"/>
      <c r="AL205" s="92"/>
      <c r="AM205" s="234"/>
      <c r="AN205" s="92"/>
      <c r="AO205" s="92"/>
      <c r="AP205" s="92"/>
      <c r="AQ205" s="92"/>
      <c r="AR205" s="92"/>
      <c r="AS205" s="92"/>
      <c r="AT205" s="92"/>
      <c r="AU205" s="92"/>
      <c r="AV205" s="92"/>
    </row>
    <row r="206" spans="1:48" s="238" customFormat="1">
      <c r="A206" s="92"/>
      <c r="B206" s="226"/>
      <c r="C206" s="244"/>
      <c r="D206" s="236"/>
      <c r="E206" s="92"/>
      <c r="G206" s="239"/>
      <c r="H206" s="239"/>
      <c r="I206" s="239"/>
      <c r="J206" s="239"/>
      <c r="K206" s="239"/>
      <c r="L206" s="239"/>
      <c r="M206" s="239"/>
      <c r="N206" s="245"/>
      <c r="O206" s="232"/>
      <c r="P206" s="232"/>
      <c r="Q206" s="232"/>
      <c r="R206" s="233"/>
      <c r="S206" s="232"/>
      <c r="T206" s="232"/>
      <c r="U206" s="517"/>
      <c r="V206" s="232"/>
      <c r="W206" s="92"/>
      <c r="X206" s="92"/>
      <c r="Y206" s="92"/>
      <c r="Z206" s="92"/>
      <c r="AA206" s="234"/>
      <c r="AB206" s="92"/>
      <c r="AC206" s="92"/>
      <c r="AD206" s="92"/>
      <c r="AE206" s="92"/>
      <c r="AF206" s="92"/>
      <c r="AG206" s="92"/>
      <c r="AH206" s="92"/>
      <c r="AI206" s="92"/>
      <c r="AJ206" s="234"/>
      <c r="AK206" s="92"/>
      <c r="AL206" s="92"/>
      <c r="AM206" s="234"/>
      <c r="AN206" s="92"/>
      <c r="AO206" s="92"/>
      <c r="AP206" s="92"/>
      <c r="AQ206" s="92"/>
      <c r="AR206" s="92"/>
      <c r="AS206" s="92"/>
      <c r="AT206" s="92"/>
      <c r="AU206" s="92"/>
      <c r="AV206" s="92"/>
    </row>
    <row r="207" spans="1:48" s="238" customFormat="1">
      <c r="A207" s="92"/>
      <c r="B207" s="226"/>
      <c r="C207" s="244"/>
      <c r="D207" s="236"/>
      <c r="E207" s="92"/>
      <c r="G207" s="239"/>
      <c r="H207" s="239"/>
      <c r="I207" s="239"/>
      <c r="J207" s="239"/>
      <c r="K207" s="239"/>
      <c r="L207" s="239"/>
      <c r="M207" s="239"/>
      <c r="N207" s="245"/>
      <c r="O207" s="232"/>
      <c r="P207" s="232"/>
      <c r="Q207" s="232"/>
      <c r="R207" s="233"/>
      <c r="S207" s="232"/>
      <c r="T207" s="232"/>
      <c r="U207" s="517"/>
      <c r="V207" s="232"/>
      <c r="W207" s="92"/>
      <c r="X207" s="92"/>
      <c r="Y207" s="92"/>
      <c r="Z207" s="92"/>
      <c r="AA207" s="234"/>
      <c r="AB207" s="92"/>
      <c r="AC207" s="92"/>
      <c r="AD207" s="92"/>
      <c r="AE207" s="92"/>
      <c r="AF207" s="92"/>
      <c r="AG207" s="92"/>
      <c r="AH207" s="92"/>
      <c r="AI207" s="92"/>
      <c r="AJ207" s="234"/>
      <c r="AK207" s="92"/>
      <c r="AL207" s="92"/>
      <c r="AM207" s="234"/>
      <c r="AN207" s="92"/>
      <c r="AO207" s="92"/>
      <c r="AP207" s="92"/>
      <c r="AQ207" s="92"/>
      <c r="AR207" s="92"/>
      <c r="AS207" s="92"/>
      <c r="AT207" s="92"/>
      <c r="AU207" s="92"/>
      <c r="AV207" s="92"/>
    </row>
    <row r="208" spans="1:48" s="238" customFormat="1">
      <c r="A208" s="92"/>
      <c r="B208" s="226"/>
      <c r="C208" s="244"/>
      <c r="D208" s="236"/>
      <c r="E208" s="92"/>
      <c r="G208" s="239"/>
      <c r="H208" s="239"/>
      <c r="I208" s="239"/>
      <c r="J208" s="239"/>
      <c r="K208" s="239"/>
      <c r="L208" s="239"/>
      <c r="M208" s="239"/>
      <c r="N208" s="245"/>
      <c r="O208" s="232"/>
      <c r="P208" s="232"/>
      <c r="Q208" s="232"/>
      <c r="R208" s="233"/>
      <c r="S208" s="232"/>
      <c r="T208" s="232"/>
      <c r="U208" s="517"/>
      <c r="V208" s="232"/>
      <c r="W208" s="92"/>
      <c r="X208" s="92"/>
      <c r="Y208" s="92"/>
      <c r="Z208" s="92"/>
      <c r="AA208" s="234"/>
      <c r="AB208" s="92"/>
      <c r="AC208" s="92"/>
      <c r="AD208" s="92"/>
      <c r="AE208" s="92"/>
      <c r="AF208" s="92"/>
      <c r="AG208" s="92"/>
      <c r="AH208" s="92"/>
      <c r="AI208" s="92"/>
      <c r="AJ208" s="234"/>
      <c r="AK208" s="92"/>
      <c r="AL208" s="92"/>
      <c r="AM208" s="234"/>
      <c r="AN208" s="92"/>
      <c r="AO208" s="92"/>
      <c r="AP208" s="92"/>
      <c r="AQ208" s="92"/>
      <c r="AR208" s="92"/>
      <c r="AS208" s="92"/>
      <c r="AT208" s="92"/>
      <c r="AU208" s="92"/>
      <c r="AV208" s="92"/>
    </row>
    <row r="209" spans="1:48" s="238" customFormat="1">
      <c r="A209" s="92"/>
      <c r="B209" s="226"/>
      <c r="C209" s="244"/>
      <c r="D209" s="236"/>
      <c r="E209" s="92"/>
      <c r="G209" s="239"/>
      <c r="H209" s="239"/>
      <c r="I209" s="239"/>
      <c r="J209" s="239"/>
      <c r="K209" s="239"/>
      <c r="L209" s="239"/>
      <c r="M209" s="239"/>
      <c r="N209" s="245"/>
      <c r="O209" s="232"/>
      <c r="P209" s="232"/>
      <c r="Q209" s="232"/>
      <c r="R209" s="233"/>
      <c r="S209" s="232"/>
      <c r="T209" s="232"/>
      <c r="U209" s="517"/>
      <c r="V209" s="232"/>
      <c r="W209" s="92"/>
      <c r="X209" s="92"/>
      <c r="Y209" s="92"/>
      <c r="Z209" s="92"/>
      <c r="AA209" s="234"/>
      <c r="AB209" s="92"/>
      <c r="AC209" s="92"/>
      <c r="AD209" s="92"/>
      <c r="AE209" s="92"/>
      <c r="AF209" s="92"/>
      <c r="AG209" s="92"/>
      <c r="AH209" s="92"/>
      <c r="AI209" s="92"/>
      <c r="AJ209" s="234"/>
      <c r="AK209" s="92"/>
      <c r="AL209" s="92"/>
      <c r="AM209" s="234"/>
      <c r="AN209" s="92"/>
      <c r="AO209" s="92"/>
      <c r="AP209" s="92"/>
      <c r="AQ209" s="92"/>
      <c r="AR209" s="92"/>
      <c r="AS209" s="92"/>
      <c r="AT209" s="92"/>
      <c r="AU209" s="92"/>
      <c r="AV209" s="92"/>
    </row>
    <row r="210" spans="1:48" s="238" customFormat="1">
      <c r="A210" s="92"/>
      <c r="B210" s="226"/>
      <c r="C210" s="244"/>
      <c r="D210" s="236"/>
      <c r="E210" s="92"/>
      <c r="G210" s="239"/>
      <c r="H210" s="239"/>
      <c r="I210" s="239"/>
      <c r="J210" s="239"/>
      <c r="K210" s="239"/>
      <c r="L210" s="239"/>
      <c r="M210" s="239"/>
      <c r="N210" s="245"/>
      <c r="O210" s="232"/>
      <c r="P210" s="232"/>
      <c r="Q210" s="232"/>
      <c r="R210" s="233"/>
      <c r="S210" s="232"/>
      <c r="T210" s="232"/>
      <c r="U210" s="517"/>
      <c r="V210" s="232"/>
      <c r="W210" s="92"/>
      <c r="X210" s="92"/>
      <c r="Y210" s="92"/>
      <c r="Z210" s="92"/>
      <c r="AA210" s="234"/>
      <c r="AB210" s="92"/>
      <c r="AC210" s="92"/>
      <c r="AD210" s="92"/>
      <c r="AE210" s="92"/>
      <c r="AF210" s="92"/>
      <c r="AG210" s="92"/>
      <c r="AH210" s="92"/>
      <c r="AI210" s="92"/>
      <c r="AJ210" s="234"/>
      <c r="AK210" s="92"/>
      <c r="AL210" s="92"/>
      <c r="AM210" s="234"/>
      <c r="AN210" s="92"/>
      <c r="AO210" s="92"/>
      <c r="AP210" s="92"/>
      <c r="AQ210" s="92"/>
      <c r="AR210" s="92"/>
      <c r="AS210" s="92"/>
      <c r="AT210" s="92"/>
      <c r="AU210" s="92"/>
      <c r="AV210" s="92"/>
    </row>
    <row r="211" spans="1:48" s="238" customFormat="1">
      <c r="A211" s="92"/>
      <c r="B211" s="226"/>
      <c r="C211" s="244"/>
      <c r="D211" s="236"/>
      <c r="E211" s="92"/>
      <c r="G211" s="239"/>
      <c r="H211" s="239"/>
      <c r="I211" s="239"/>
      <c r="J211" s="239"/>
      <c r="K211" s="239"/>
      <c r="L211" s="239"/>
      <c r="M211" s="239"/>
      <c r="N211" s="245"/>
      <c r="O211" s="232"/>
      <c r="P211" s="232"/>
      <c r="Q211" s="232"/>
      <c r="R211" s="233"/>
      <c r="S211" s="232"/>
      <c r="T211" s="232"/>
      <c r="U211" s="517"/>
      <c r="V211" s="232"/>
      <c r="W211" s="92"/>
      <c r="X211" s="92"/>
      <c r="Y211" s="92"/>
      <c r="Z211" s="92"/>
      <c r="AA211" s="234"/>
      <c r="AB211" s="92"/>
      <c r="AC211" s="92"/>
      <c r="AD211" s="92"/>
      <c r="AE211" s="92"/>
      <c r="AF211" s="92"/>
      <c r="AG211" s="92"/>
      <c r="AH211" s="92"/>
      <c r="AI211" s="92"/>
      <c r="AJ211" s="234"/>
      <c r="AK211" s="92"/>
      <c r="AL211" s="92"/>
      <c r="AM211" s="234"/>
      <c r="AN211" s="92"/>
      <c r="AO211" s="92"/>
      <c r="AP211" s="92"/>
      <c r="AQ211" s="92"/>
      <c r="AR211" s="92"/>
      <c r="AS211" s="92"/>
      <c r="AT211" s="92"/>
      <c r="AU211" s="92"/>
      <c r="AV211" s="92"/>
    </row>
    <row r="212" spans="1:48" s="238" customFormat="1">
      <c r="A212" s="92"/>
      <c r="B212" s="226"/>
      <c r="C212" s="244"/>
      <c r="D212" s="236"/>
      <c r="E212" s="92"/>
      <c r="G212" s="239"/>
      <c r="H212" s="239"/>
      <c r="I212" s="239"/>
      <c r="J212" s="239"/>
      <c r="K212" s="239"/>
      <c r="L212" s="239"/>
      <c r="M212" s="239"/>
      <c r="N212" s="245"/>
      <c r="O212" s="232"/>
      <c r="P212" s="232"/>
      <c r="Q212" s="232"/>
      <c r="R212" s="233"/>
      <c r="S212" s="232"/>
      <c r="T212" s="232"/>
      <c r="U212" s="517"/>
      <c r="V212" s="232"/>
      <c r="W212" s="92"/>
      <c r="X212" s="92"/>
      <c r="Y212" s="92"/>
      <c r="Z212" s="92"/>
      <c r="AA212" s="234"/>
      <c r="AB212" s="92"/>
      <c r="AC212" s="92"/>
      <c r="AD212" s="92"/>
      <c r="AE212" s="92"/>
      <c r="AF212" s="92"/>
      <c r="AG212" s="92"/>
      <c r="AH212" s="92"/>
      <c r="AI212" s="92"/>
      <c r="AJ212" s="234"/>
      <c r="AK212" s="92"/>
      <c r="AL212" s="92"/>
      <c r="AM212" s="234"/>
      <c r="AN212" s="92"/>
      <c r="AO212" s="92"/>
      <c r="AP212" s="92"/>
      <c r="AQ212" s="92"/>
      <c r="AR212" s="92"/>
      <c r="AS212" s="92"/>
      <c r="AT212" s="92"/>
      <c r="AU212" s="92"/>
      <c r="AV212" s="92"/>
    </row>
    <row r="213" spans="1:48" s="238" customFormat="1">
      <c r="A213" s="92"/>
      <c r="B213" s="226"/>
      <c r="C213" s="244"/>
      <c r="D213" s="236"/>
      <c r="E213" s="92"/>
      <c r="G213" s="239"/>
      <c r="H213" s="239"/>
      <c r="I213" s="239"/>
      <c r="J213" s="239"/>
      <c r="K213" s="239"/>
      <c r="L213" s="239"/>
      <c r="M213" s="239"/>
      <c r="N213" s="245"/>
      <c r="O213" s="232"/>
      <c r="P213" s="232"/>
      <c r="Q213" s="232"/>
      <c r="R213" s="233"/>
      <c r="S213" s="232"/>
      <c r="T213" s="232"/>
      <c r="U213" s="517"/>
      <c r="V213" s="232"/>
      <c r="W213" s="92"/>
      <c r="X213" s="92"/>
      <c r="Y213" s="92"/>
      <c r="Z213" s="92"/>
      <c r="AA213" s="234"/>
      <c r="AB213" s="92"/>
      <c r="AC213" s="92"/>
      <c r="AD213" s="92"/>
      <c r="AE213" s="92"/>
      <c r="AF213" s="92"/>
      <c r="AG213" s="92"/>
      <c r="AH213" s="92"/>
      <c r="AI213" s="92"/>
      <c r="AJ213" s="234"/>
      <c r="AK213" s="92"/>
      <c r="AL213" s="92"/>
      <c r="AM213" s="234"/>
      <c r="AN213" s="92"/>
      <c r="AO213" s="92"/>
      <c r="AP213" s="92"/>
      <c r="AQ213" s="92"/>
      <c r="AR213" s="92"/>
      <c r="AS213" s="92"/>
      <c r="AT213" s="92"/>
      <c r="AU213" s="92"/>
      <c r="AV213" s="92"/>
    </row>
    <row r="214" spans="1:48" s="238" customFormat="1">
      <c r="A214" s="92"/>
      <c r="B214" s="226"/>
      <c r="C214" s="244"/>
      <c r="D214" s="236"/>
      <c r="E214" s="92"/>
      <c r="G214" s="239"/>
      <c r="H214" s="239"/>
      <c r="I214" s="239"/>
      <c r="J214" s="239"/>
      <c r="K214" s="239"/>
      <c r="L214" s="239"/>
      <c r="M214" s="239"/>
      <c r="N214" s="245"/>
      <c r="O214" s="232"/>
      <c r="P214" s="232"/>
      <c r="Q214" s="232"/>
      <c r="R214" s="233"/>
      <c r="S214" s="232"/>
      <c r="T214" s="232"/>
      <c r="U214" s="517"/>
      <c r="V214" s="232"/>
      <c r="W214" s="92"/>
      <c r="X214" s="92"/>
      <c r="Y214" s="92"/>
      <c r="Z214" s="92"/>
      <c r="AA214" s="234"/>
      <c r="AB214" s="92"/>
      <c r="AC214" s="92"/>
      <c r="AD214" s="92"/>
      <c r="AE214" s="92"/>
      <c r="AF214" s="92"/>
      <c r="AG214" s="92"/>
      <c r="AH214" s="92"/>
      <c r="AI214" s="92"/>
      <c r="AJ214" s="234"/>
      <c r="AK214" s="92"/>
      <c r="AL214" s="92"/>
      <c r="AM214" s="234"/>
      <c r="AN214" s="92"/>
      <c r="AO214" s="92"/>
      <c r="AP214" s="92"/>
      <c r="AQ214" s="92"/>
      <c r="AR214" s="92"/>
      <c r="AS214" s="92"/>
      <c r="AT214" s="92"/>
      <c r="AU214" s="92"/>
      <c r="AV214" s="92"/>
    </row>
    <row r="215" spans="1:48" s="238" customFormat="1">
      <c r="A215" s="92"/>
      <c r="B215" s="226"/>
      <c r="C215" s="244"/>
      <c r="D215" s="236"/>
      <c r="E215" s="92"/>
      <c r="G215" s="239"/>
      <c r="H215" s="239"/>
      <c r="I215" s="239"/>
      <c r="J215" s="239"/>
      <c r="K215" s="239"/>
      <c r="L215" s="239"/>
      <c r="M215" s="239"/>
      <c r="N215" s="245"/>
      <c r="O215" s="232"/>
      <c r="P215" s="232"/>
      <c r="Q215" s="232"/>
      <c r="R215" s="233"/>
      <c r="S215" s="232"/>
      <c r="T215" s="232"/>
      <c r="U215" s="517"/>
      <c r="V215" s="232"/>
      <c r="W215" s="92"/>
      <c r="X215" s="92"/>
      <c r="Y215" s="92"/>
      <c r="Z215" s="92"/>
      <c r="AA215" s="234"/>
      <c r="AB215" s="92"/>
      <c r="AC215" s="92"/>
      <c r="AD215" s="92"/>
      <c r="AE215" s="92"/>
      <c r="AF215" s="92"/>
      <c r="AG215" s="92"/>
      <c r="AH215" s="92"/>
      <c r="AI215" s="92"/>
      <c r="AJ215" s="234"/>
      <c r="AK215" s="92"/>
      <c r="AL215" s="92"/>
      <c r="AM215" s="234"/>
      <c r="AN215" s="92"/>
      <c r="AO215" s="92"/>
      <c r="AP215" s="92"/>
      <c r="AQ215" s="92"/>
      <c r="AR215" s="92"/>
      <c r="AS215" s="92"/>
      <c r="AT215" s="92"/>
      <c r="AU215" s="92"/>
      <c r="AV215" s="92"/>
    </row>
    <row r="216" spans="1:48" s="238" customFormat="1">
      <c r="A216" s="92"/>
      <c r="B216" s="226"/>
      <c r="C216" s="244"/>
      <c r="D216" s="236"/>
      <c r="E216" s="92"/>
      <c r="G216" s="239"/>
      <c r="H216" s="239"/>
      <c r="I216" s="239"/>
      <c r="J216" s="239"/>
      <c r="K216" s="239"/>
      <c r="L216" s="239"/>
      <c r="M216" s="239"/>
      <c r="N216" s="245"/>
      <c r="O216" s="232"/>
      <c r="P216" s="232"/>
      <c r="Q216" s="232"/>
      <c r="R216" s="233"/>
      <c r="S216" s="232"/>
      <c r="T216" s="232"/>
      <c r="U216" s="517"/>
      <c r="V216" s="232"/>
      <c r="W216" s="92"/>
      <c r="X216" s="92"/>
      <c r="Y216" s="92"/>
      <c r="Z216" s="92"/>
      <c r="AA216" s="234"/>
      <c r="AB216" s="92"/>
      <c r="AC216" s="92"/>
      <c r="AD216" s="92"/>
      <c r="AE216" s="92"/>
      <c r="AF216" s="92"/>
      <c r="AG216" s="92"/>
      <c r="AH216" s="92"/>
      <c r="AI216" s="92"/>
      <c r="AJ216" s="234"/>
      <c r="AK216" s="92"/>
      <c r="AL216" s="92"/>
      <c r="AM216" s="234"/>
      <c r="AN216" s="92"/>
      <c r="AO216" s="92"/>
      <c r="AP216" s="92"/>
      <c r="AQ216" s="92"/>
      <c r="AR216" s="92"/>
      <c r="AS216" s="92"/>
      <c r="AT216" s="92"/>
      <c r="AU216" s="92"/>
      <c r="AV216" s="92"/>
    </row>
    <row r="217" spans="1:48" s="238" customFormat="1">
      <c r="A217" s="92"/>
      <c r="B217" s="226"/>
      <c r="C217" s="244"/>
      <c r="D217" s="236"/>
      <c r="E217" s="92"/>
      <c r="G217" s="239"/>
      <c r="H217" s="239"/>
      <c r="I217" s="239"/>
      <c r="J217" s="239"/>
      <c r="K217" s="239"/>
      <c r="L217" s="239"/>
      <c r="M217" s="239"/>
      <c r="N217" s="245"/>
      <c r="O217" s="232"/>
      <c r="P217" s="232"/>
      <c r="Q217" s="232"/>
      <c r="R217" s="233"/>
      <c r="S217" s="232"/>
      <c r="T217" s="232"/>
      <c r="U217" s="517"/>
      <c r="V217" s="232"/>
      <c r="W217" s="92"/>
      <c r="X217" s="92"/>
      <c r="Y217" s="92"/>
      <c r="Z217" s="92"/>
      <c r="AA217" s="234"/>
      <c r="AB217" s="92"/>
      <c r="AC217" s="92"/>
      <c r="AD217" s="92"/>
      <c r="AE217" s="92"/>
      <c r="AF217" s="92"/>
      <c r="AG217" s="92"/>
      <c r="AH217" s="92"/>
      <c r="AI217" s="92"/>
      <c r="AJ217" s="234"/>
      <c r="AK217" s="92"/>
      <c r="AL217" s="92"/>
      <c r="AM217" s="234"/>
      <c r="AN217" s="92"/>
      <c r="AO217" s="92"/>
      <c r="AP217" s="92"/>
      <c r="AQ217" s="92"/>
      <c r="AR217" s="92"/>
      <c r="AS217" s="92"/>
      <c r="AT217" s="92"/>
      <c r="AU217" s="92"/>
      <c r="AV217" s="92"/>
    </row>
    <row r="218" spans="1:48" s="238" customFormat="1">
      <c r="A218" s="92"/>
      <c r="B218" s="226"/>
      <c r="C218" s="244"/>
      <c r="D218" s="236"/>
      <c r="E218" s="92"/>
      <c r="G218" s="239"/>
      <c r="H218" s="239"/>
      <c r="I218" s="239"/>
      <c r="J218" s="239"/>
      <c r="K218" s="239"/>
      <c r="L218" s="239"/>
      <c r="M218" s="239"/>
      <c r="N218" s="245"/>
      <c r="O218" s="232"/>
      <c r="P218" s="232"/>
      <c r="Q218" s="232"/>
      <c r="R218" s="233"/>
      <c r="S218" s="232"/>
      <c r="T218" s="232"/>
      <c r="U218" s="517"/>
      <c r="V218" s="232"/>
      <c r="W218" s="92"/>
      <c r="X218" s="92"/>
      <c r="Y218" s="92"/>
      <c r="Z218" s="92"/>
      <c r="AA218" s="234"/>
      <c r="AB218" s="92"/>
      <c r="AC218" s="92"/>
      <c r="AD218" s="92"/>
      <c r="AE218" s="92"/>
      <c r="AF218" s="92"/>
      <c r="AG218" s="92"/>
      <c r="AH218" s="92"/>
      <c r="AI218" s="92"/>
      <c r="AJ218" s="234"/>
      <c r="AK218" s="92"/>
      <c r="AL218" s="92"/>
      <c r="AM218" s="234"/>
      <c r="AN218" s="92"/>
      <c r="AO218" s="92"/>
      <c r="AP218" s="92"/>
      <c r="AQ218" s="92"/>
      <c r="AR218" s="92"/>
      <c r="AS218" s="92"/>
      <c r="AT218" s="92"/>
      <c r="AU218" s="92"/>
      <c r="AV218" s="92"/>
    </row>
    <row r="219" spans="1:48" s="238" customFormat="1">
      <c r="A219" s="92"/>
      <c r="B219" s="226"/>
      <c r="C219" s="244"/>
      <c r="D219" s="236"/>
      <c r="E219" s="92"/>
      <c r="G219" s="239"/>
      <c r="H219" s="239"/>
      <c r="I219" s="239"/>
      <c r="J219" s="239"/>
      <c r="K219" s="239"/>
      <c r="L219" s="239"/>
      <c r="M219" s="239"/>
      <c r="N219" s="245"/>
      <c r="O219" s="232"/>
      <c r="P219" s="232"/>
      <c r="Q219" s="232"/>
      <c r="R219" s="233"/>
      <c r="S219" s="232"/>
      <c r="T219" s="232"/>
      <c r="U219" s="517"/>
      <c r="V219" s="232"/>
      <c r="W219" s="92"/>
      <c r="X219" s="92"/>
      <c r="Y219" s="92"/>
      <c r="Z219" s="92"/>
      <c r="AA219" s="234"/>
      <c r="AB219" s="92"/>
      <c r="AC219" s="92"/>
      <c r="AD219" s="92"/>
      <c r="AE219" s="92"/>
      <c r="AF219" s="92"/>
      <c r="AG219" s="92"/>
      <c r="AH219" s="92"/>
      <c r="AI219" s="92"/>
      <c r="AJ219" s="234"/>
      <c r="AK219" s="92"/>
      <c r="AL219" s="92"/>
      <c r="AM219" s="234"/>
      <c r="AN219" s="92"/>
      <c r="AO219" s="92"/>
      <c r="AP219" s="92"/>
      <c r="AQ219" s="92"/>
      <c r="AR219" s="92"/>
      <c r="AS219" s="92"/>
      <c r="AT219" s="92"/>
      <c r="AU219" s="92"/>
      <c r="AV219" s="92"/>
    </row>
    <row r="220" spans="1:48" s="238" customFormat="1">
      <c r="A220" s="92"/>
      <c r="B220" s="226"/>
      <c r="C220" s="244"/>
      <c r="D220" s="236"/>
      <c r="E220" s="92"/>
      <c r="G220" s="239"/>
      <c r="H220" s="239"/>
      <c r="I220" s="239"/>
      <c r="J220" s="239"/>
      <c r="K220" s="239"/>
      <c r="L220" s="239"/>
      <c r="M220" s="239"/>
      <c r="N220" s="245"/>
      <c r="O220" s="232"/>
      <c r="P220" s="232"/>
      <c r="Q220" s="232"/>
      <c r="R220" s="233"/>
      <c r="S220" s="232"/>
      <c r="T220" s="232"/>
      <c r="U220" s="517"/>
      <c r="V220" s="232"/>
      <c r="W220" s="92"/>
      <c r="X220" s="92"/>
      <c r="Y220" s="92"/>
      <c r="Z220" s="92"/>
      <c r="AA220" s="234"/>
      <c r="AB220" s="92"/>
      <c r="AC220" s="92"/>
      <c r="AD220" s="92"/>
      <c r="AE220" s="92"/>
      <c r="AF220" s="92"/>
      <c r="AG220" s="92"/>
      <c r="AH220" s="92"/>
      <c r="AI220" s="92"/>
      <c r="AJ220" s="234"/>
      <c r="AK220" s="92"/>
      <c r="AL220" s="92"/>
      <c r="AM220" s="234"/>
      <c r="AN220" s="92"/>
      <c r="AO220" s="92"/>
      <c r="AP220" s="92"/>
      <c r="AQ220" s="92"/>
      <c r="AR220" s="92"/>
      <c r="AS220" s="92"/>
      <c r="AT220" s="92"/>
      <c r="AU220" s="92"/>
      <c r="AV220" s="92"/>
    </row>
    <row r="221" spans="1:48" s="238" customFormat="1">
      <c r="A221" s="92"/>
      <c r="B221" s="226"/>
      <c r="C221" s="244"/>
      <c r="D221" s="236"/>
      <c r="E221" s="92"/>
      <c r="G221" s="239"/>
      <c r="H221" s="239"/>
      <c r="I221" s="239"/>
      <c r="J221" s="239"/>
      <c r="K221" s="239"/>
      <c r="L221" s="239"/>
      <c r="M221" s="239"/>
      <c r="N221" s="245"/>
      <c r="O221" s="232"/>
      <c r="P221" s="232"/>
      <c r="Q221" s="232"/>
      <c r="R221" s="233"/>
      <c r="S221" s="232"/>
      <c r="T221" s="232"/>
      <c r="U221" s="517"/>
      <c r="V221" s="232"/>
      <c r="W221" s="92"/>
      <c r="X221" s="92"/>
      <c r="Y221" s="92"/>
      <c r="Z221" s="92"/>
      <c r="AA221" s="234"/>
      <c r="AB221" s="92"/>
      <c r="AC221" s="92"/>
      <c r="AD221" s="92"/>
      <c r="AE221" s="92"/>
      <c r="AF221" s="92"/>
      <c r="AG221" s="92"/>
      <c r="AH221" s="92"/>
      <c r="AI221" s="92"/>
      <c r="AJ221" s="234"/>
      <c r="AK221" s="92"/>
      <c r="AL221" s="92"/>
      <c r="AM221" s="234"/>
      <c r="AN221" s="92"/>
      <c r="AO221" s="92"/>
      <c r="AP221" s="92"/>
      <c r="AQ221" s="92"/>
      <c r="AR221" s="92"/>
      <c r="AS221" s="92"/>
      <c r="AT221" s="92"/>
      <c r="AU221" s="92"/>
      <c r="AV221" s="92"/>
    </row>
    <row r="222" spans="1:48" s="238" customFormat="1">
      <c r="A222" s="92"/>
      <c r="B222" s="226"/>
      <c r="C222" s="244"/>
      <c r="D222" s="236"/>
      <c r="E222" s="92"/>
      <c r="G222" s="239"/>
      <c r="H222" s="239"/>
      <c r="I222" s="239"/>
      <c r="J222" s="239"/>
      <c r="K222" s="239"/>
      <c r="L222" s="239"/>
      <c r="M222" s="239"/>
      <c r="N222" s="245"/>
      <c r="O222" s="232"/>
      <c r="P222" s="232"/>
      <c r="Q222" s="232"/>
      <c r="R222" s="233"/>
      <c r="S222" s="232"/>
      <c r="T222" s="232"/>
      <c r="U222" s="517"/>
      <c r="V222" s="232"/>
      <c r="W222" s="92"/>
      <c r="X222" s="92"/>
      <c r="Y222" s="92"/>
      <c r="Z222" s="92"/>
      <c r="AA222" s="234"/>
      <c r="AB222" s="92"/>
      <c r="AC222" s="92"/>
      <c r="AD222" s="92"/>
      <c r="AE222" s="92"/>
      <c r="AF222" s="92"/>
      <c r="AG222" s="92"/>
      <c r="AH222" s="92"/>
      <c r="AI222" s="92"/>
      <c r="AJ222" s="234"/>
      <c r="AK222" s="92"/>
      <c r="AL222" s="92"/>
      <c r="AM222" s="234"/>
      <c r="AN222" s="92"/>
      <c r="AO222" s="92"/>
      <c r="AP222" s="92"/>
      <c r="AQ222" s="92"/>
      <c r="AR222" s="92"/>
      <c r="AS222" s="92"/>
      <c r="AT222" s="92"/>
      <c r="AU222" s="92"/>
      <c r="AV222" s="92"/>
    </row>
    <row r="223" spans="1:48" s="238" customFormat="1">
      <c r="A223" s="92"/>
      <c r="B223" s="226"/>
      <c r="C223" s="244"/>
      <c r="D223" s="236"/>
      <c r="E223" s="92"/>
      <c r="G223" s="239"/>
      <c r="H223" s="239"/>
      <c r="I223" s="239"/>
      <c r="J223" s="239"/>
      <c r="K223" s="239"/>
      <c r="L223" s="239"/>
      <c r="M223" s="239"/>
      <c r="N223" s="245"/>
      <c r="O223" s="232"/>
      <c r="P223" s="232"/>
      <c r="Q223" s="232"/>
      <c r="R223" s="233"/>
      <c r="S223" s="232"/>
      <c r="T223" s="232"/>
      <c r="U223" s="517"/>
      <c r="V223" s="232"/>
      <c r="W223" s="92"/>
      <c r="X223" s="92"/>
      <c r="Y223" s="92"/>
      <c r="Z223" s="92"/>
      <c r="AA223" s="234"/>
      <c r="AB223" s="92"/>
      <c r="AC223" s="92"/>
      <c r="AD223" s="92"/>
      <c r="AE223" s="92"/>
      <c r="AF223" s="92"/>
      <c r="AG223" s="92"/>
      <c r="AH223" s="92"/>
      <c r="AI223" s="92"/>
      <c r="AJ223" s="234"/>
      <c r="AK223" s="92"/>
      <c r="AL223" s="92"/>
      <c r="AM223" s="234"/>
      <c r="AN223" s="92"/>
      <c r="AO223" s="92"/>
      <c r="AP223" s="92"/>
      <c r="AQ223" s="92"/>
      <c r="AR223" s="92"/>
      <c r="AS223" s="92"/>
      <c r="AT223" s="92"/>
      <c r="AU223" s="92"/>
      <c r="AV223" s="92"/>
    </row>
    <row r="224" spans="1:48" s="238" customFormat="1">
      <c r="A224" s="92"/>
      <c r="B224" s="226"/>
      <c r="C224" s="244"/>
      <c r="D224" s="236"/>
      <c r="E224" s="92"/>
      <c r="G224" s="239"/>
      <c r="H224" s="239"/>
      <c r="I224" s="239"/>
      <c r="J224" s="239"/>
      <c r="K224" s="239"/>
      <c r="L224" s="239"/>
      <c r="M224" s="239"/>
      <c r="N224" s="245"/>
      <c r="O224" s="232"/>
      <c r="P224" s="232"/>
      <c r="Q224" s="232"/>
      <c r="R224" s="233"/>
      <c r="S224" s="232"/>
      <c r="T224" s="232"/>
      <c r="U224" s="517"/>
      <c r="V224" s="232"/>
      <c r="W224" s="92"/>
      <c r="X224" s="92"/>
      <c r="Y224" s="92"/>
      <c r="Z224" s="92"/>
      <c r="AA224" s="234"/>
      <c r="AB224" s="92"/>
      <c r="AC224" s="92"/>
      <c r="AD224" s="92"/>
      <c r="AE224" s="92"/>
      <c r="AF224" s="92"/>
      <c r="AG224" s="92"/>
      <c r="AH224" s="92"/>
      <c r="AI224" s="92"/>
      <c r="AJ224" s="234"/>
      <c r="AK224" s="92"/>
      <c r="AL224" s="92"/>
      <c r="AM224" s="234"/>
      <c r="AN224" s="92"/>
      <c r="AO224" s="92"/>
      <c r="AP224" s="92"/>
      <c r="AQ224" s="92"/>
      <c r="AR224" s="92"/>
      <c r="AS224" s="92"/>
      <c r="AT224" s="92"/>
      <c r="AU224" s="92"/>
      <c r="AV224" s="92"/>
    </row>
    <row r="225" spans="1:48" s="238" customFormat="1">
      <c r="A225" s="92"/>
      <c r="B225" s="226"/>
      <c r="C225" s="244"/>
      <c r="D225" s="236"/>
      <c r="E225" s="92"/>
      <c r="G225" s="239"/>
      <c r="H225" s="239"/>
      <c r="I225" s="239"/>
      <c r="J225" s="239"/>
      <c r="K225" s="239"/>
      <c r="L225" s="239"/>
      <c r="M225" s="239"/>
      <c r="N225" s="245"/>
      <c r="O225" s="232"/>
      <c r="P225" s="232"/>
      <c r="Q225" s="232"/>
      <c r="R225" s="233"/>
      <c r="S225" s="232"/>
      <c r="T225" s="232"/>
      <c r="U225" s="517"/>
      <c r="V225" s="232"/>
      <c r="W225" s="92"/>
      <c r="X225" s="92"/>
      <c r="Y225" s="92"/>
      <c r="Z225" s="92"/>
      <c r="AA225" s="234"/>
      <c r="AB225" s="92"/>
      <c r="AC225" s="92"/>
      <c r="AD225" s="92"/>
      <c r="AE225" s="92"/>
      <c r="AF225" s="92"/>
      <c r="AG225" s="92"/>
      <c r="AH225" s="92"/>
      <c r="AI225" s="92"/>
      <c r="AJ225" s="234"/>
      <c r="AK225" s="92"/>
      <c r="AL225" s="92"/>
      <c r="AM225" s="234"/>
      <c r="AN225" s="92"/>
      <c r="AO225" s="92"/>
      <c r="AP225" s="92"/>
      <c r="AQ225" s="92"/>
      <c r="AR225" s="92"/>
      <c r="AS225" s="92"/>
      <c r="AT225" s="92"/>
      <c r="AU225" s="92"/>
      <c r="AV225" s="92"/>
    </row>
    <row r="226" spans="1:48" s="238" customFormat="1">
      <c r="A226" s="92"/>
      <c r="B226" s="226"/>
      <c r="C226" s="244"/>
      <c r="D226" s="236"/>
      <c r="E226" s="92"/>
      <c r="G226" s="239"/>
      <c r="H226" s="239"/>
      <c r="I226" s="239"/>
      <c r="J226" s="239"/>
      <c r="K226" s="239"/>
      <c r="L226" s="239"/>
      <c r="M226" s="239"/>
      <c r="N226" s="245"/>
      <c r="O226" s="232"/>
      <c r="P226" s="232"/>
      <c r="Q226" s="232"/>
      <c r="R226" s="233"/>
      <c r="S226" s="232"/>
      <c r="T226" s="232"/>
      <c r="U226" s="517"/>
      <c r="V226" s="232"/>
      <c r="W226" s="92"/>
      <c r="X226" s="92"/>
      <c r="Y226" s="92"/>
      <c r="Z226" s="92"/>
      <c r="AA226" s="234"/>
      <c r="AB226" s="92"/>
      <c r="AC226" s="92"/>
      <c r="AD226" s="92"/>
      <c r="AE226" s="92"/>
      <c r="AF226" s="92"/>
      <c r="AG226" s="92"/>
      <c r="AH226" s="92"/>
      <c r="AI226" s="92"/>
      <c r="AJ226" s="234"/>
      <c r="AK226" s="92"/>
      <c r="AL226" s="92"/>
      <c r="AM226" s="234"/>
      <c r="AN226" s="92"/>
      <c r="AO226" s="92"/>
      <c r="AP226" s="92"/>
      <c r="AQ226" s="92"/>
      <c r="AR226" s="92"/>
      <c r="AS226" s="92"/>
      <c r="AT226" s="92"/>
      <c r="AU226" s="92"/>
      <c r="AV226" s="92"/>
    </row>
    <row r="227" spans="1:48" s="238" customFormat="1">
      <c r="A227" s="92"/>
      <c r="B227" s="226"/>
      <c r="C227" s="244"/>
      <c r="D227" s="236"/>
      <c r="E227" s="92"/>
      <c r="G227" s="239"/>
      <c r="H227" s="239"/>
      <c r="I227" s="239"/>
      <c r="J227" s="239"/>
      <c r="K227" s="239"/>
      <c r="L227" s="239"/>
      <c r="M227" s="239"/>
      <c r="N227" s="245"/>
      <c r="O227" s="232"/>
      <c r="P227" s="232"/>
      <c r="Q227" s="232"/>
      <c r="R227" s="233"/>
      <c r="S227" s="232"/>
      <c r="T227" s="232"/>
      <c r="U227" s="517"/>
      <c r="V227" s="232"/>
      <c r="W227" s="92"/>
      <c r="X227" s="92"/>
      <c r="Y227" s="92"/>
      <c r="Z227" s="92"/>
      <c r="AA227" s="234"/>
      <c r="AB227" s="92"/>
      <c r="AC227" s="92"/>
      <c r="AD227" s="92"/>
      <c r="AE227" s="92"/>
      <c r="AF227" s="92"/>
      <c r="AG227" s="92"/>
      <c r="AH227" s="92"/>
      <c r="AI227" s="92"/>
      <c r="AJ227" s="234"/>
      <c r="AK227" s="92"/>
      <c r="AL227" s="92"/>
      <c r="AM227" s="234"/>
      <c r="AN227" s="92"/>
      <c r="AO227" s="92"/>
      <c r="AP227" s="92"/>
      <c r="AQ227" s="92"/>
      <c r="AR227" s="92"/>
      <c r="AS227" s="92"/>
      <c r="AT227" s="92"/>
      <c r="AU227" s="92"/>
      <c r="AV227" s="92"/>
    </row>
    <row r="228" spans="1:48" s="238" customFormat="1">
      <c r="A228" s="92"/>
      <c r="B228" s="226"/>
      <c r="C228" s="244"/>
      <c r="D228" s="236"/>
      <c r="E228" s="92"/>
      <c r="G228" s="239"/>
      <c r="H228" s="239"/>
      <c r="I228" s="239"/>
      <c r="J228" s="239"/>
      <c r="K228" s="239"/>
      <c r="L228" s="239"/>
      <c r="M228" s="239"/>
      <c r="N228" s="245"/>
      <c r="O228" s="232"/>
      <c r="P228" s="232"/>
      <c r="Q228" s="232"/>
      <c r="R228" s="233"/>
      <c r="S228" s="232"/>
      <c r="T228" s="232"/>
      <c r="U228" s="517"/>
      <c r="V228" s="232"/>
      <c r="W228" s="92"/>
      <c r="X228" s="92"/>
      <c r="Y228" s="92"/>
      <c r="Z228" s="92"/>
      <c r="AA228" s="234"/>
      <c r="AB228" s="92"/>
      <c r="AC228" s="92"/>
      <c r="AD228" s="92"/>
      <c r="AE228" s="92"/>
      <c r="AF228" s="92"/>
      <c r="AG228" s="92"/>
      <c r="AH228" s="92"/>
      <c r="AI228" s="92"/>
      <c r="AJ228" s="234"/>
      <c r="AK228" s="92"/>
      <c r="AL228" s="92"/>
      <c r="AM228" s="234"/>
      <c r="AN228" s="92"/>
      <c r="AO228" s="92"/>
      <c r="AP228" s="92"/>
      <c r="AQ228" s="92"/>
      <c r="AR228" s="92"/>
      <c r="AS228" s="92"/>
      <c r="AT228" s="92"/>
      <c r="AU228" s="92"/>
      <c r="AV228" s="92"/>
    </row>
    <row r="229" spans="1:48" s="238" customFormat="1">
      <c r="A229" s="92"/>
      <c r="B229" s="226"/>
      <c r="C229" s="244"/>
      <c r="D229" s="236"/>
      <c r="E229" s="92"/>
      <c r="G229" s="239"/>
      <c r="H229" s="239"/>
      <c r="I229" s="239"/>
      <c r="J229" s="239"/>
      <c r="K229" s="239"/>
      <c r="L229" s="239"/>
      <c r="M229" s="239"/>
      <c r="N229" s="245"/>
      <c r="O229" s="232"/>
      <c r="P229" s="232"/>
      <c r="Q229" s="232"/>
      <c r="R229" s="233"/>
      <c r="S229" s="232"/>
      <c r="T229" s="232"/>
      <c r="U229" s="517"/>
      <c r="V229" s="232"/>
      <c r="W229" s="92"/>
      <c r="X229" s="92"/>
      <c r="Y229" s="92"/>
      <c r="Z229" s="92"/>
      <c r="AA229" s="234"/>
      <c r="AB229" s="92"/>
      <c r="AC229" s="92"/>
      <c r="AD229" s="92"/>
      <c r="AE229" s="92"/>
      <c r="AF229" s="92"/>
      <c r="AG229" s="92"/>
      <c r="AH229" s="92"/>
      <c r="AI229" s="92"/>
      <c r="AJ229" s="234"/>
      <c r="AK229" s="92"/>
      <c r="AL229" s="92"/>
      <c r="AM229" s="234"/>
      <c r="AN229" s="92"/>
      <c r="AO229" s="92"/>
      <c r="AP229" s="92"/>
      <c r="AQ229" s="92"/>
      <c r="AR229" s="92"/>
      <c r="AS229" s="92"/>
      <c r="AT229" s="92"/>
      <c r="AU229" s="92"/>
      <c r="AV229" s="92"/>
    </row>
    <row r="230" spans="1:48" s="238" customFormat="1">
      <c r="A230" s="92"/>
      <c r="B230" s="226"/>
      <c r="C230" s="244"/>
      <c r="D230" s="236"/>
      <c r="E230" s="92"/>
      <c r="G230" s="239"/>
      <c r="H230" s="239"/>
      <c r="I230" s="239"/>
      <c r="J230" s="239"/>
      <c r="K230" s="239"/>
      <c r="L230" s="239"/>
      <c r="M230" s="239"/>
      <c r="N230" s="245"/>
      <c r="O230" s="232"/>
      <c r="P230" s="232"/>
      <c r="Q230" s="232"/>
      <c r="R230" s="233"/>
      <c r="S230" s="232"/>
      <c r="T230" s="232"/>
      <c r="U230" s="517"/>
      <c r="V230" s="232"/>
      <c r="W230" s="92"/>
      <c r="X230" s="92"/>
      <c r="Y230" s="92"/>
      <c r="Z230" s="92"/>
      <c r="AA230" s="234"/>
      <c r="AB230" s="92"/>
      <c r="AC230" s="92"/>
      <c r="AD230" s="92"/>
      <c r="AE230" s="92"/>
      <c r="AF230" s="92"/>
      <c r="AG230" s="92"/>
      <c r="AH230" s="92"/>
      <c r="AI230" s="92"/>
      <c r="AJ230" s="234"/>
      <c r="AK230" s="92"/>
      <c r="AL230" s="92"/>
      <c r="AM230" s="234"/>
      <c r="AN230" s="92"/>
      <c r="AO230" s="92"/>
      <c r="AP230" s="92"/>
      <c r="AQ230" s="92"/>
      <c r="AR230" s="92"/>
      <c r="AS230" s="92"/>
      <c r="AT230" s="92"/>
      <c r="AU230" s="92"/>
      <c r="AV230" s="92"/>
    </row>
    <row r="231" spans="1:48" s="238" customFormat="1">
      <c r="A231" s="92"/>
      <c r="B231" s="226"/>
      <c r="C231" s="244"/>
      <c r="D231" s="236"/>
      <c r="E231" s="92"/>
      <c r="G231" s="239"/>
      <c r="H231" s="239"/>
      <c r="I231" s="239"/>
      <c r="J231" s="239"/>
      <c r="K231" s="239"/>
      <c r="L231" s="239"/>
      <c r="M231" s="239"/>
      <c r="N231" s="245"/>
      <c r="O231" s="232"/>
      <c r="P231" s="232"/>
      <c r="Q231" s="232"/>
      <c r="R231" s="233"/>
      <c r="S231" s="232"/>
      <c r="T231" s="232"/>
      <c r="U231" s="517"/>
      <c r="V231" s="232"/>
      <c r="W231" s="92"/>
      <c r="X231" s="92"/>
      <c r="Y231" s="92"/>
      <c r="Z231" s="92"/>
      <c r="AA231" s="234"/>
      <c r="AB231" s="92"/>
      <c r="AC231" s="92"/>
      <c r="AD231" s="92"/>
      <c r="AE231" s="92"/>
      <c r="AF231" s="92"/>
      <c r="AG231" s="92"/>
      <c r="AH231" s="92"/>
      <c r="AI231" s="92"/>
      <c r="AJ231" s="234"/>
      <c r="AK231" s="92"/>
      <c r="AL231" s="92"/>
      <c r="AM231" s="234"/>
      <c r="AN231" s="92"/>
      <c r="AO231" s="92"/>
      <c r="AP231" s="92"/>
      <c r="AQ231" s="92"/>
      <c r="AR231" s="92"/>
      <c r="AS231" s="92"/>
      <c r="AT231" s="92"/>
      <c r="AU231" s="92"/>
      <c r="AV231" s="92"/>
    </row>
    <row r="232" spans="1:48" s="238" customFormat="1">
      <c r="A232" s="92"/>
      <c r="B232" s="226"/>
      <c r="C232" s="244"/>
      <c r="D232" s="236"/>
      <c r="E232" s="92"/>
      <c r="G232" s="239"/>
      <c r="H232" s="239"/>
      <c r="I232" s="239"/>
      <c r="J232" s="239"/>
      <c r="K232" s="239"/>
      <c r="L232" s="239"/>
      <c r="M232" s="239"/>
      <c r="N232" s="245"/>
      <c r="O232" s="232"/>
      <c r="P232" s="232"/>
      <c r="Q232" s="232"/>
      <c r="R232" s="233"/>
      <c r="S232" s="232"/>
      <c r="T232" s="232"/>
      <c r="U232" s="517"/>
      <c r="V232" s="232"/>
      <c r="W232" s="92"/>
      <c r="X232" s="92"/>
      <c r="Y232" s="92"/>
      <c r="Z232" s="92"/>
      <c r="AA232" s="234"/>
      <c r="AB232" s="92"/>
      <c r="AC232" s="92"/>
      <c r="AD232" s="92"/>
      <c r="AE232" s="92"/>
      <c r="AF232" s="92"/>
      <c r="AG232" s="92"/>
      <c r="AH232" s="92"/>
      <c r="AI232" s="92"/>
      <c r="AJ232" s="234"/>
      <c r="AK232" s="92"/>
      <c r="AL232" s="92"/>
      <c r="AM232" s="234"/>
      <c r="AN232" s="92"/>
      <c r="AO232" s="92"/>
      <c r="AP232" s="92"/>
      <c r="AQ232" s="92"/>
      <c r="AR232" s="92"/>
      <c r="AS232" s="92"/>
      <c r="AT232" s="92"/>
      <c r="AU232" s="92"/>
      <c r="AV232" s="92"/>
    </row>
    <row r="233" spans="1:48" s="238" customFormat="1">
      <c r="A233" s="92"/>
      <c r="B233" s="226"/>
      <c r="C233" s="244"/>
      <c r="D233" s="236"/>
      <c r="E233" s="92"/>
      <c r="G233" s="239"/>
      <c r="H233" s="239"/>
      <c r="I233" s="239"/>
      <c r="J233" s="239"/>
      <c r="K233" s="239"/>
      <c r="L233" s="239"/>
      <c r="M233" s="239"/>
      <c r="N233" s="245"/>
      <c r="O233" s="232"/>
      <c r="P233" s="232"/>
      <c r="Q233" s="232"/>
      <c r="R233" s="233"/>
      <c r="S233" s="232"/>
      <c r="T233" s="232"/>
      <c r="U233" s="517"/>
      <c r="V233" s="232"/>
      <c r="W233" s="92"/>
      <c r="X233" s="92"/>
      <c r="Y233" s="92"/>
      <c r="Z233" s="92"/>
      <c r="AA233" s="234"/>
      <c r="AB233" s="92"/>
      <c r="AC233" s="92"/>
      <c r="AD233" s="92"/>
      <c r="AE233" s="92"/>
      <c r="AF233" s="92"/>
      <c r="AG233" s="92"/>
      <c r="AH233" s="92"/>
      <c r="AI233" s="92"/>
      <c r="AJ233" s="234"/>
      <c r="AK233" s="92"/>
      <c r="AL233" s="92"/>
      <c r="AM233" s="234"/>
      <c r="AN233" s="92"/>
      <c r="AO233" s="92"/>
      <c r="AP233" s="92"/>
      <c r="AQ233" s="92"/>
      <c r="AR233" s="92"/>
      <c r="AS233" s="92"/>
      <c r="AT233" s="92"/>
      <c r="AU233" s="92"/>
      <c r="AV233" s="92"/>
    </row>
    <row r="234" spans="1:48" s="238" customFormat="1">
      <c r="A234" s="92"/>
      <c r="B234" s="226"/>
      <c r="C234" s="244"/>
      <c r="D234" s="236"/>
      <c r="E234" s="92"/>
      <c r="G234" s="239"/>
      <c r="H234" s="239"/>
      <c r="I234" s="239"/>
      <c r="J234" s="239"/>
      <c r="K234" s="239"/>
      <c r="L234" s="239"/>
      <c r="M234" s="239"/>
      <c r="N234" s="245"/>
      <c r="O234" s="232"/>
      <c r="P234" s="232"/>
      <c r="Q234" s="232"/>
      <c r="R234" s="233"/>
      <c r="S234" s="232"/>
      <c r="T234" s="232"/>
      <c r="U234" s="517"/>
      <c r="V234" s="232"/>
      <c r="W234" s="92"/>
      <c r="X234" s="92"/>
      <c r="Y234" s="92"/>
      <c r="Z234" s="92"/>
      <c r="AA234" s="234"/>
      <c r="AB234" s="92"/>
      <c r="AC234" s="92"/>
      <c r="AD234" s="92"/>
      <c r="AE234" s="92"/>
      <c r="AF234" s="92"/>
      <c r="AG234" s="92"/>
      <c r="AH234" s="92"/>
      <c r="AI234" s="92"/>
      <c r="AJ234" s="234"/>
      <c r="AK234" s="92"/>
      <c r="AL234" s="92"/>
      <c r="AM234" s="234"/>
      <c r="AN234" s="92"/>
      <c r="AO234" s="92"/>
      <c r="AP234" s="92"/>
      <c r="AQ234" s="92"/>
      <c r="AR234" s="92"/>
      <c r="AS234" s="92"/>
      <c r="AT234" s="92"/>
      <c r="AU234" s="92"/>
      <c r="AV234" s="92"/>
    </row>
    <row r="235" spans="1:48" s="232" customFormat="1">
      <c r="A235" s="92"/>
      <c r="B235" s="226"/>
      <c r="C235" s="244"/>
      <c r="D235" s="236"/>
      <c r="E235" s="92"/>
      <c r="F235" s="238"/>
      <c r="G235" s="239"/>
      <c r="H235" s="239"/>
      <c r="I235" s="239"/>
      <c r="J235" s="239"/>
      <c r="K235" s="239"/>
      <c r="L235" s="239"/>
      <c r="M235" s="239"/>
      <c r="N235" s="245"/>
      <c r="R235" s="233"/>
      <c r="U235" s="517"/>
      <c r="W235" s="92"/>
      <c r="X235" s="92"/>
      <c r="Y235" s="92"/>
      <c r="Z235" s="92"/>
      <c r="AA235" s="234"/>
      <c r="AB235" s="92"/>
      <c r="AC235" s="92"/>
      <c r="AD235" s="92"/>
      <c r="AE235" s="92"/>
      <c r="AF235" s="92"/>
      <c r="AG235" s="92"/>
      <c r="AH235" s="92"/>
      <c r="AI235" s="92"/>
      <c r="AJ235" s="234"/>
      <c r="AK235" s="92"/>
      <c r="AL235" s="92"/>
      <c r="AM235" s="234"/>
      <c r="AN235" s="92"/>
      <c r="AO235" s="92"/>
      <c r="AP235" s="92"/>
      <c r="AQ235" s="92"/>
      <c r="AR235" s="92"/>
      <c r="AS235" s="92"/>
      <c r="AT235" s="92"/>
      <c r="AU235" s="92"/>
      <c r="AV235" s="92"/>
    </row>
    <row r="236" spans="1:48" s="232" customFormat="1">
      <c r="A236" s="92"/>
      <c r="B236" s="226"/>
      <c r="C236" s="244"/>
      <c r="D236" s="236"/>
      <c r="E236" s="92"/>
      <c r="F236" s="238"/>
      <c r="G236" s="239"/>
      <c r="H236" s="239"/>
      <c r="I236" s="239"/>
      <c r="J236" s="239"/>
      <c r="K236" s="239"/>
      <c r="L236" s="239"/>
      <c r="M236" s="239"/>
      <c r="N236" s="245"/>
      <c r="R236" s="233"/>
      <c r="U236" s="517"/>
      <c r="W236" s="92"/>
      <c r="X236" s="92"/>
      <c r="Y236" s="92"/>
      <c r="Z236" s="92"/>
      <c r="AA236" s="234"/>
      <c r="AB236" s="92"/>
      <c r="AC236" s="92"/>
      <c r="AD236" s="92"/>
      <c r="AE236" s="92"/>
      <c r="AF236" s="92"/>
      <c r="AG236" s="92"/>
      <c r="AH236" s="92"/>
      <c r="AI236" s="92"/>
      <c r="AJ236" s="234"/>
      <c r="AK236" s="92"/>
      <c r="AL236" s="92"/>
      <c r="AM236" s="234"/>
      <c r="AN236" s="92"/>
      <c r="AO236" s="92"/>
      <c r="AP236" s="92"/>
      <c r="AQ236" s="92"/>
      <c r="AR236" s="92"/>
      <c r="AS236" s="92"/>
      <c r="AT236" s="92"/>
      <c r="AU236" s="92"/>
      <c r="AV236" s="92"/>
    </row>
    <row r="237" spans="1:48" s="232" customFormat="1">
      <c r="A237" s="92"/>
      <c r="B237" s="226"/>
      <c r="C237" s="244"/>
      <c r="D237" s="236"/>
      <c r="E237" s="92"/>
      <c r="F237" s="238"/>
      <c r="G237" s="239"/>
      <c r="H237" s="239"/>
      <c r="I237" s="239"/>
      <c r="J237" s="239"/>
      <c r="K237" s="239"/>
      <c r="L237" s="239"/>
      <c r="M237" s="239"/>
      <c r="N237" s="245"/>
      <c r="R237" s="233"/>
      <c r="U237" s="517"/>
      <c r="W237" s="92"/>
      <c r="X237" s="92"/>
      <c r="Y237" s="92"/>
      <c r="Z237" s="92"/>
      <c r="AA237" s="234"/>
      <c r="AB237" s="92"/>
      <c r="AC237" s="92"/>
      <c r="AD237" s="92"/>
      <c r="AE237" s="92"/>
      <c r="AF237" s="92"/>
      <c r="AG237" s="92"/>
      <c r="AH237" s="92"/>
      <c r="AI237" s="92"/>
      <c r="AJ237" s="234"/>
      <c r="AK237" s="92"/>
      <c r="AL237" s="92"/>
      <c r="AM237" s="234"/>
      <c r="AN237" s="92"/>
      <c r="AO237" s="92"/>
      <c r="AP237" s="92"/>
      <c r="AQ237" s="92"/>
      <c r="AR237" s="92"/>
      <c r="AS237" s="92"/>
      <c r="AT237" s="92"/>
      <c r="AU237" s="92"/>
      <c r="AV237" s="92"/>
    </row>
    <row r="238" spans="1:48" s="232" customFormat="1">
      <c r="A238" s="92"/>
      <c r="B238" s="226"/>
      <c r="C238" s="244"/>
      <c r="D238" s="236"/>
      <c r="E238" s="92"/>
      <c r="F238" s="238"/>
      <c r="G238" s="239"/>
      <c r="H238" s="239"/>
      <c r="I238" s="239"/>
      <c r="J238" s="239"/>
      <c r="K238" s="239"/>
      <c r="L238" s="239"/>
      <c r="M238" s="239"/>
      <c r="N238" s="245"/>
      <c r="R238" s="233"/>
      <c r="U238" s="517"/>
      <c r="W238" s="92"/>
      <c r="X238" s="92"/>
      <c r="Y238" s="92"/>
      <c r="Z238" s="92"/>
      <c r="AA238" s="234"/>
      <c r="AB238" s="92"/>
      <c r="AC238" s="92"/>
      <c r="AD238" s="92"/>
      <c r="AE238" s="92"/>
      <c r="AF238" s="92"/>
      <c r="AG238" s="92"/>
      <c r="AH238" s="92"/>
      <c r="AI238" s="92"/>
      <c r="AJ238" s="234"/>
      <c r="AK238" s="92"/>
      <c r="AL238" s="92"/>
      <c r="AM238" s="234"/>
      <c r="AN238" s="92"/>
      <c r="AO238" s="92"/>
      <c r="AP238" s="92"/>
      <c r="AQ238" s="92"/>
      <c r="AR238" s="92"/>
      <c r="AS238" s="92"/>
      <c r="AT238" s="92"/>
      <c r="AU238" s="92"/>
      <c r="AV238" s="92"/>
    </row>
    <row r="239" spans="1:48" s="232" customFormat="1">
      <c r="A239" s="92"/>
      <c r="B239" s="226"/>
      <c r="C239" s="244"/>
      <c r="D239" s="236"/>
      <c r="E239" s="92"/>
      <c r="F239" s="238"/>
      <c r="G239" s="239"/>
      <c r="H239" s="239"/>
      <c r="I239" s="239"/>
      <c r="J239" s="239"/>
      <c r="K239" s="239"/>
      <c r="L239" s="239"/>
      <c r="M239" s="239"/>
      <c r="N239" s="245"/>
      <c r="R239" s="233"/>
      <c r="U239" s="517"/>
      <c r="W239" s="92"/>
      <c r="X239" s="92"/>
      <c r="Y239" s="92"/>
      <c r="Z239" s="92"/>
      <c r="AA239" s="234"/>
      <c r="AB239" s="92"/>
      <c r="AC239" s="92"/>
      <c r="AD239" s="92"/>
      <c r="AE239" s="92"/>
      <c r="AF239" s="92"/>
      <c r="AG239" s="92"/>
      <c r="AH239" s="92"/>
      <c r="AI239" s="92"/>
      <c r="AJ239" s="234"/>
      <c r="AK239" s="92"/>
      <c r="AL239" s="92"/>
      <c r="AM239" s="234"/>
      <c r="AN239" s="92"/>
      <c r="AO239" s="92"/>
      <c r="AP239" s="92"/>
      <c r="AQ239" s="92"/>
      <c r="AR239" s="92"/>
      <c r="AS239" s="92"/>
      <c r="AT239" s="92"/>
      <c r="AU239" s="92"/>
      <c r="AV239" s="92"/>
    </row>
    <row r="240" spans="1:48" s="232" customFormat="1">
      <c r="A240" s="92"/>
      <c r="B240" s="226"/>
      <c r="C240" s="244"/>
      <c r="D240" s="236"/>
      <c r="E240" s="92"/>
      <c r="F240" s="238"/>
      <c r="G240" s="239"/>
      <c r="H240" s="239"/>
      <c r="I240" s="239"/>
      <c r="J240" s="239"/>
      <c r="K240" s="239"/>
      <c r="L240" s="239"/>
      <c r="M240" s="239"/>
      <c r="N240" s="245"/>
      <c r="R240" s="233"/>
      <c r="U240" s="517"/>
      <c r="W240" s="92"/>
      <c r="X240" s="92"/>
      <c r="Y240" s="92"/>
      <c r="Z240" s="92"/>
      <c r="AA240" s="234"/>
      <c r="AB240" s="92"/>
      <c r="AC240" s="92"/>
      <c r="AD240" s="92"/>
      <c r="AE240" s="92"/>
      <c r="AF240" s="92"/>
      <c r="AG240" s="92"/>
      <c r="AH240" s="92"/>
      <c r="AI240" s="92"/>
      <c r="AJ240" s="234"/>
      <c r="AK240" s="92"/>
      <c r="AL240" s="92"/>
      <c r="AM240" s="234"/>
      <c r="AN240" s="92"/>
      <c r="AO240" s="92"/>
      <c r="AP240" s="92"/>
      <c r="AQ240" s="92"/>
      <c r="AR240" s="92"/>
      <c r="AS240" s="92"/>
      <c r="AT240" s="92"/>
      <c r="AU240" s="92"/>
      <c r="AV240" s="92"/>
    </row>
    <row r="241" spans="1:48" s="232" customFormat="1">
      <c r="A241" s="92"/>
      <c r="B241" s="226"/>
      <c r="C241" s="244"/>
      <c r="D241" s="236"/>
      <c r="E241" s="92"/>
      <c r="F241" s="238"/>
      <c r="G241" s="239"/>
      <c r="H241" s="239"/>
      <c r="I241" s="239"/>
      <c r="J241" s="239"/>
      <c r="K241" s="239"/>
      <c r="L241" s="239"/>
      <c r="M241" s="239"/>
      <c r="N241" s="245"/>
      <c r="R241" s="233"/>
      <c r="U241" s="517"/>
      <c r="W241" s="92"/>
      <c r="X241" s="92"/>
      <c r="Y241" s="92"/>
      <c r="Z241" s="92"/>
      <c r="AA241" s="234"/>
      <c r="AB241" s="92"/>
      <c r="AC241" s="92"/>
      <c r="AD241" s="92"/>
      <c r="AE241" s="92"/>
      <c r="AF241" s="92"/>
      <c r="AG241" s="92"/>
      <c r="AH241" s="92"/>
      <c r="AI241" s="92"/>
      <c r="AJ241" s="234"/>
      <c r="AK241" s="92"/>
      <c r="AL241" s="92"/>
      <c r="AM241" s="234"/>
      <c r="AN241" s="92"/>
      <c r="AO241" s="92"/>
      <c r="AP241" s="92"/>
      <c r="AQ241" s="92"/>
      <c r="AR241" s="92"/>
      <c r="AS241" s="92"/>
      <c r="AT241" s="92"/>
      <c r="AU241" s="92"/>
      <c r="AV241" s="92"/>
    </row>
    <row r="242" spans="1:48" s="232" customFormat="1">
      <c r="A242" s="92"/>
      <c r="B242" s="226"/>
      <c r="C242" s="244"/>
      <c r="D242" s="236"/>
      <c r="E242" s="92"/>
      <c r="F242" s="238"/>
      <c r="G242" s="239"/>
      <c r="H242" s="239"/>
      <c r="I242" s="239"/>
      <c r="J242" s="239"/>
      <c r="K242" s="239"/>
      <c r="L242" s="239"/>
      <c r="M242" s="239"/>
      <c r="N242" s="245"/>
      <c r="R242" s="233"/>
      <c r="U242" s="517"/>
      <c r="W242" s="92"/>
      <c r="X242" s="92"/>
      <c r="Y242" s="92"/>
      <c r="Z242" s="92"/>
      <c r="AA242" s="234"/>
      <c r="AB242" s="92"/>
      <c r="AC242" s="92"/>
      <c r="AD242" s="92"/>
      <c r="AE242" s="92"/>
      <c r="AF242" s="92"/>
      <c r="AG242" s="92"/>
      <c r="AH242" s="92"/>
      <c r="AI242" s="92"/>
      <c r="AJ242" s="234"/>
      <c r="AK242" s="92"/>
      <c r="AL242" s="92"/>
      <c r="AM242" s="234"/>
      <c r="AN242" s="92"/>
      <c r="AO242" s="92"/>
      <c r="AP242" s="92"/>
      <c r="AQ242" s="92"/>
      <c r="AR242" s="92"/>
      <c r="AS242" s="92"/>
      <c r="AT242" s="92"/>
      <c r="AU242" s="92"/>
      <c r="AV242" s="92"/>
    </row>
    <row r="243" spans="1:48" s="232" customFormat="1">
      <c r="A243" s="92"/>
      <c r="B243" s="226"/>
      <c r="C243" s="244"/>
      <c r="D243" s="236"/>
      <c r="E243" s="92"/>
      <c r="F243" s="238"/>
      <c r="G243" s="239"/>
      <c r="H243" s="239"/>
      <c r="I243" s="239"/>
      <c r="J243" s="239"/>
      <c r="K243" s="239"/>
      <c r="L243" s="239"/>
      <c r="M243" s="239"/>
      <c r="N243" s="245"/>
      <c r="R243" s="233"/>
      <c r="U243" s="517"/>
      <c r="W243" s="92"/>
      <c r="X243" s="92"/>
      <c r="Y243" s="92"/>
      <c r="Z243" s="92"/>
      <c r="AA243" s="234"/>
      <c r="AB243" s="92"/>
      <c r="AC243" s="92"/>
      <c r="AD243" s="92"/>
      <c r="AE243" s="92"/>
      <c r="AF243" s="92"/>
      <c r="AG243" s="92"/>
      <c r="AH243" s="92"/>
      <c r="AI243" s="92"/>
      <c r="AJ243" s="234"/>
      <c r="AK243" s="92"/>
      <c r="AL243" s="92"/>
      <c r="AM243" s="234"/>
      <c r="AN243" s="92"/>
      <c r="AO243" s="92"/>
      <c r="AP243" s="92"/>
      <c r="AQ243" s="92"/>
      <c r="AR243" s="92"/>
      <c r="AS243" s="92"/>
      <c r="AT243" s="92"/>
      <c r="AU243" s="92"/>
      <c r="AV243" s="92"/>
    </row>
    <row r="244" spans="1:48" s="232" customFormat="1">
      <c r="A244" s="92"/>
      <c r="B244" s="226"/>
      <c r="C244" s="244"/>
      <c r="D244" s="236"/>
      <c r="E244" s="92"/>
      <c r="F244" s="238"/>
      <c r="G244" s="239"/>
      <c r="H244" s="239"/>
      <c r="I244" s="239"/>
      <c r="J244" s="239"/>
      <c r="K244" s="239"/>
      <c r="L244" s="239"/>
      <c r="M244" s="239"/>
      <c r="N244" s="245"/>
      <c r="R244" s="233"/>
      <c r="U244" s="517"/>
      <c r="W244" s="92"/>
      <c r="X244" s="92"/>
      <c r="Y244" s="92"/>
      <c r="Z244" s="92"/>
      <c r="AA244" s="234"/>
      <c r="AB244" s="92"/>
      <c r="AC244" s="92"/>
      <c r="AD244" s="92"/>
      <c r="AE244" s="92"/>
      <c r="AF244" s="92"/>
      <c r="AG244" s="92"/>
      <c r="AH244" s="92"/>
      <c r="AI244" s="92"/>
      <c r="AJ244" s="234"/>
      <c r="AK244" s="92"/>
      <c r="AL244" s="92"/>
      <c r="AM244" s="234"/>
      <c r="AN244" s="92"/>
      <c r="AO244" s="92"/>
      <c r="AP244" s="92"/>
      <c r="AQ244" s="92"/>
      <c r="AR244" s="92"/>
      <c r="AS244" s="92"/>
      <c r="AT244" s="92"/>
      <c r="AU244" s="92"/>
      <c r="AV244" s="92"/>
    </row>
    <row r="245" spans="1:48" s="232" customFormat="1">
      <c r="A245" s="92"/>
      <c r="B245" s="226"/>
      <c r="C245" s="244"/>
      <c r="D245" s="236"/>
      <c r="E245" s="92"/>
      <c r="F245" s="238"/>
      <c r="G245" s="239"/>
      <c r="H245" s="239"/>
      <c r="I245" s="239"/>
      <c r="J245" s="239"/>
      <c r="K245" s="239"/>
      <c r="L245" s="239"/>
      <c r="M245" s="239"/>
      <c r="N245" s="245"/>
      <c r="R245" s="233"/>
      <c r="U245" s="517"/>
      <c r="W245" s="92"/>
      <c r="X245" s="92"/>
      <c r="Y245" s="92"/>
      <c r="Z245" s="92"/>
      <c r="AA245" s="234"/>
      <c r="AB245" s="92"/>
      <c r="AC245" s="92"/>
      <c r="AD245" s="92"/>
      <c r="AE245" s="92"/>
      <c r="AF245" s="92"/>
      <c r="AG245" s="92"/>
      <c r="AH245" s="92"/>
      <c r="AI245" s="92"/>
      <c r="AJ245" s="234"/>
      <c r="AK245" s="92"/>
      <c r="AL245" s="92"/>
      <c r="AM245" s="234"/>
      <c r="AN245" s="92"/>
      <c r="AO245" s="92"/>
      <c r="AP245" s="92"/>
      <c r="AQ245" s="92"/>
      <c r="AR245" s="92"/>
      <c r="AS245" s="92"/>
      <c r="AT245" s="92"/>
      <c r="AU245" s="92"/>
      <c r="AV245" s="92"/>
    </row>
    <row r="246" spans="1:48" s="232" customFormat="1">
      <c r="A246" s="92"/>
      <c r="B246" s="226"/>
      <c r="C246" s="244"/>
      <c r="D246" s="236"/>
      <c r="E246" s="92"/>
      <c r="F246" s="238"/>
      <c r="G246" s="239"/>
      <c r="H246" s="239"/>
      <c r="I246" s="239"/>
      <c r="J246" s="239"/>
      <c r="K246" s="239"/>
      <c r="L246" s="239"/>
      <c r="M246" s="239"/>
      <c r="N246" s="245"/>
      <c r="R246" s="233"/>
      <c r="U246" s="517"/>
      <c r="W246" s="92"/>
      <c r="X246" s="92"/>
      <c r="Y246" s="92"/>
      <c r="Z246" s="92"/>
      <c r="AA246" s="234"/>
      <c r="AB246" s="92"/>
      <c r="AC246" s="92"/>
      <c r="AD246" s="92"/>
      <c r="AE246" s="92"/>
      <c r="AF246" s="92"/>
      <c r="AG246" s="92"/>
      <c r="AH246" s="92"/>
      <c r="AI246" s="92"/>
      <c r="AJ246" s="234"/>
      <c r="AK246" s="92"/>
      <c r="AL246" s="92"/>
      <c r="AM246" s="234"/>
      <c r="AN246" s="92"/>
      <c r="AO246" s="92"/>
      <c r="AP246" s="92"/>
      <c r="AQ246" s="92"/>
      <c r="AR246" s="92"/>
      <c r="AS246" s="92"/>
      <c r="AT246" s="92"/>
      <c r="AU246" s="92"/>
      <c r="AV246" s="92"/>
    </row>
    <row r="247" spans="1:48" s="232" customFormat="1" ht="30" thickBot="1">
      <c r="A247" s="92"/>
      <c r="B247" s="226"/>
      <c r="C247" s="244"/>
      <c r="D247" s="236"/>
      <c r="E247" s="92"/>
      <c r="F247" s="238"/>
      <c r="G247" s="239"/>
      <c r="H247" s="239"/>
      <c r="I247" s="239"/>
      <c r="J247" s="239"/>
      <c r="K247" s="239"/>
      <c r="L247" s="239"/>
      <c r="M247" s="239"/>
      <c r="N247" s="245"/>
      <c r="R247" s="233"/>
      <c r="U247" s="517"/>
      <c r="W247" s="92"/>
      <c r="X247" s="92"/>
      <c r="Y247" s="92"/>
      <c r="Z247" s="92"/>
      <c r="AA247" s="234"/>
      <c r="AB247" s="92"/>
      <c r="AC247" s="92"/>
      <c r="AD247" s="92"/>
      <c r="AE247" s="92"/>
      <c r="AF247" s="92"/>
      <c r="AG247" s="92"/>
      <c r="AH247" s="92"/>
      <c r="AI247" s="92"/>
      <c r="AJ247" s="234"/>
      <c r="AK247" s="92"/>
      <c r="AL247" s="92"/>
      <c r="AM247" s="234"/>
      <c r="AN247" s="92"/>
      <c r="AO247" s="92"/>
      <c r="AP247" s="92"/>
      <c r="AQ247" s="92"/>
      <c r="AR247" s="92"/>
      <c r="AS247" s="92"/>
      <c r="AT247" s="92"/>
      <c r="AU247" s="92"/>
      <c r="AV247" s="92"/>
    </row>
    <row r="248" spans="1:48" s="232" customFormat="1" ht="35.25">
      <c r="A248" s="92"/>
      <c r="B248" s="226"/>
      <c r="C248" s="244"/>
      <c r="D248" s="236"/>
      <c r="E248" s="92"/>
      <c r="F248" s="783" t="s">
        <v>1134</v>
      </c>
      <c r="G248" s="785" t="s">
        <v>1139</v>
      </c>
      <c r="H248" s="785"/>
      <c r="I248" s="335"/>
      <c r="J248" s="781" t="s">
        <v>1140</v>
      </c>
      <c r="K248" s="785"/>
      <c r="L248" s="781" t="s">
        <v>1141</v>
      </c>
      <c r="M248" s="785"/>
      <c r="N248" s="785"/>
      <c r="O248" s="781" t="s">
        <v>1142</v>
      </c>
      <c r="P248" s="785"/>
      <c r="Q248" s="335"/>
      <c r="R248" s="786" t="s">
        <v>954</v>
      </c>
      <c r="S248" s="782"/>
      <c r="U248" s="517"/>
      <c r="W248" s="92"/>
      <c r="X248" s="92"/>
      <c r="Y248" s="92"/>
      <c r="Z248" s="92"/>
      <c r="AA248" s="234"/>
      <c r="AB248" s="92"/>
      <c r="AC248" s="92"/>
      <c r="AD248" s="92"/>
      <c r="AE248" s="92"/>
      <c r="AF248" s="92"/>
      <c r="AG248" s="92"/>
      <c r="AH248" s="92"/>
      <c r="AI248" s="92"/>
      <c r="AJ248" s="234"/>
      <c r="AK248" s="92"/>
      <c r="AL248" s="92"/>
      <c r="AM248" s="234"/>
      <c r="AN248" s="92"/>
      <c r="AO248" s="92"/>
      <c r="AP248" s="92"/>
      <c r="AQ248" s="92"/>
      <c r="AR248" s="92"/>
      <c r="AS248" s="92"/>
      <c r="AT248" s="92"/>
      <c r="AU248" s="92"/>
      <c r="AV248" s="92"/>
    </row>
    <row r="249" spans="1:48" s="232" customFormat="1" ht="36" thickBot="1">
      <c r="A249" s="92"/>
      <c r="B249" s="226"/>
      <c r="C249" s="244"/>
      <c r="D249" s="236"/>
      <c r="E249" s="92"/>
      <c r="F249" s="784"/>
      <c r="G249" s="336" t="s">
        <v>1135</v>
      </c>
      <c r="H249" s="336" t="s">
        <v>1136</v>
      </c>
      <c r="I249" s="336"/>
      <c r="J249" s="256" t="s">
        <v>1135</v>
      </c>
      <c r="K249" s="336" t="s">
        <v>1136</v>
      </c>
      <c r="L249" s="256" t="s">
        <v>1135</v>
      </c>
      <c r="M249" s="336"/>
      <c r="N249" s="337" t="s">
        <v>1136</v>
      </c>
      <c r="O249" s="256" t="s">
        <v>1135</v>
      </c>
      <c r="P249" s="336" t="s">
        <v>1136</v>
      </c>
      <c r="Q249" s="336"/>
      <c r="R249" s="338" t="s">
        <v>1135</v>
      </c>
      <c r="S249" s="257" t="s">
        <v>1136</v>
      </c>
      <c r="U249" s="517"/>
      <c r="W249" s="92"/>
      <c r="X249" s="92"/>
      <c r="Y249" s="92"/>
      <c r="Z249" s="92"/>
      <c r="AA249" s="234"/>
      <c r="AB249" s="92"/>
      <c r="AC249" s="92"/>
      <c r="AD249" s="92"/>
      <c r="AE249" s="92"/>
      <c r="AF249" s="92"/>
      <c r="AG249" s="92"/>
      <c r="AH249" s="92"/>
      <c r="AI249" s="92"/>
      <c r="AJ249" s="234"/>
      <c r="AK249" s="92"/>
      <c r="AL249" s="92"/>
      <c r="AM249" s="234"/>
      <c r="AN249" s="92"/>
      <c r="AO249" s="92"/>
      <c r="AP249" s="92"/>
      <c r="AQ249" s="92"/>
      <c r="AR249" s="92"/>
      <c r="AS249" s="92"/>
      <c r="AT249" s="92"/>
      <c r="AU249" s="92"/>
      <c r="AV249" s="92"/>
    </row>
    <row r="250" spans="1:48" s="232" customFormat="1" ht="42">
      <c r="A250" s="92"/>
      <c r="B250" s="226"/>
      <c r="C250" s="244"/>
      <c r="D250" s="236"/>
      <c r="E250" s="92"/>
      <c r="F250" s="339" t="s">
        <v>64</v>
      </c>
      <c r="G250" s="340">
        <f t="shared" ref="G250:G258" si="20">G195+J195+L195</f>
        <v>206861.66999999998</v>
      </c>
      <c r="H250" s="341">
        <f t="shared" ref="H250:H257" si="21">G250/$G$259</f>
        <v>0.58211035615658757</v>
      </c>
      <c r="I250" s="341"/>
      <c r="J250" s="342">
        <f t="shared" ref="J250:J258" si="22">O195+Q195+S195</f>
        <v>281009.91999999993</v>
      </c>
      <c r="K250" s="341">
        <f t="shared" ref="K250:K257" si="23">J250/$J$259</f>
        <v>0.59952358971641273</v>
      </c>
      <c r="L250" s="342">
        <f t="shared" ref="L250:L258" si="24">U195+W195+Y195</f>
        <v>248010.31</v>
      </c>
      <c r="M250" s="340"/>
      <c r="N250" s="343">
        <f t="shared" ref="N250:N257" si="25">L250/$L$259</f>
        <v>0.55262368691319175</v>
      </c>
      <c r="O250" s="342">
        <f t="shared" ref="O250:O258" si="26">AA195+AC195+AE195</f>
        <v>287892.29000000004</v>
      </c>
      <c r="P250" s="341">
        <f t="shared" ref="P250:P257" si="27">O250/$O$259</f>
        <v>0.54171816717930565</v>
      </c>
      <c r="Q250" s="341"/>
      <c r="R250" s="344">
        <f>G250+J250+L250+O250</f>
        <v>1023774.19</v>
      </c>
      <c r="S250" s="273">
        <f>R250/$R$259</f>
        <v>0.56740262456544632</v>
      </c>
      <c r="U250" s="517"/>
      <c r="W250" s="92"/>
      <c r="X250" s="92"/>
      <c r="Y250" s="92"/>
      <c r="Z250" s="92"/>
      <c r="AA250" s="234"/>
      <c r="AB250" s="92"/>
      <c r="AC250" s="92"/>
      <c r="AD250" s="92"/>
      <c r="AE250" s="92"/>
      <c r="AF250" s="92"/>
      <c r="AG250" s="92"/>
      <c r="AH250" s="92"/>
      <c r="AI250" s="92"/>
      <c r="AJ250" s="234"/>
      <c r="AK250" s="92"/>
      <c r="AL250" s="92"/>
      <c r="AM250" s="234"/>
      <c r="AN250" s="92"/>
      <c r="AO250" s="92"/>
      <c r="AP250" s="92"/>
      <c r="AQ250" s="92"/>
      <c r="AR250" s="92"/>
      <c r="AS250" s="92"/>
      <c r="AT250" s="92"/>
      <c r="AU250" s="92"/>
      <c r="AV250" s="92"/>
    </row>
    <row r="251" spans="1:48" s="232" customFormat="1" ht="42">
      <c r="A251" s="92"/>
      <c r="B251" s="226"/>
      <c r="C251" s="244"/>
      <c r="D251" s="236"/>
      <c r="E251" s="92"/>
      <c r="F251" s="345" t="s">
        <v>1014</v>
      </c>
      <c r="G251" s="346">
        <f t="shared" si="20"/>
        <v>16072.51</v>
      </c>
      <c r="H251" s="347">
        <f t="shared" si="21"/>
        <v>4.5228168758525041E-2</v>
      </c>
      <c r="I251" s="347"/>
      <c r="J251" s="348">
        <f t="shared" si="22"/>
        <v>20075.03</v>
      </c>
      <c r="K251" s="347">
        <f t="shared" si="23"/>
        <v>4.2829285347879102E-2</v>
      </c>
      <c r="L251" s="348">
        <f t="shared" si="24"/>
        <v>22733.33</v>
      </c>
      <c r="M251" s="346"/>
      <c r="N251" s="349">
        <f t="shared" si="25"/>
        <v>5.0655058011153935E-2</v>
      </c>
      <c r="O251" s="348">
        <f t="shared" si="26"/>
        <v>24937.5</v>
      </c>
      <c r="P251" s="347">
        <f t="shared" si="27"/>
        <v>4.6924135391169845E-2</v>
      </c>
      <c r="Q251" s="347"/>
      <c r="R251" s="350">
        <f t="shared" ref="R251:R257" si="28">G251+J251+L251+O251</f>
        <v>83818.37</v>
      </c>
      <c r="S251" s="288">
        <f t="shared" ref="S251:S257" si="29">R251/$R$259</f>
        <v>4.6454348614510067E-2</v>
      </c>
      <c r="U251" s="517"/>
      <c r="W251" s="92"/>
      <c r="X251" s="92"/>
      <c r="Y251" s="92"/>
      <c r="Z251" s="92"/>
      <c r="AA251" s="234"/>
      <c r="AB251" s="92"/>
      <c r="AC251" s="92"/>
      <c r="AD251" s="92"/>
      <c r="AE251" s="92"/>
      <c r="AF251" s="92"/>
      <c r="AG251" s="92"/>
      <c r="AH251" s="92"/>
      <c r="AI251" s="92"/>
      <c r="AJ251" s="234"/>
      <c r="AK251" s="92"/>
      <c r="AL251" s="92"/>
      <c r="AM251" s="234"/>
      <c r="AN251" s="92"/>
      <c r="AO251" s="92"/>
      <c r="AP251" s="92"/>
      <c r="AQ251" s="92"/>
      <c r="AR251" s="92"/>
      <c r="AS251" s="92"/>
      <c r="AT251" s="92"/>
      <c r="AU251" s="92"/>
      <c r="AV251" s="92"/>
    </row>
    <row r="252" spans="1:48" s="232" customFormat="1" ht="42">
      <c r="A252" s="92"/>
      <c r="B252" s="226"/>
      <c r="C252" s="244"/>
      <c r="D252" s="236"/>
      <c r="E252" s="92"/>
      <c r="F252" s="351" t="s">
        <v>1134</v>
      </c>
      <c r="G252" s="352">
        <f t="shared" si="20"/>
        <v>15350.01</v>
      </c>
      <c r="H252" s="353">
        <f t="shared" si="21"/>
        <v>4.3195048111654429E-2</v>
      </c>
      <c r="I252" s="353"/>
      <c r="J252" s="354">
        <f t="shared" si="22"/>
        <v>15350.01</v>
      </c>
      <c r="K252" s="353">
        <f t="shared" si="23"/>
        <v>3.2748641390961696E-2</v>
      </c>
      <c r="L252" s="354">
        <f t="shared" si="24"/>
        <v>14531.25</v>
      </c>
      <c r="M252" s="352"/>
      <c r="N252" s="355">
        <f t="shared" si="25"/>
        <v>3.2378948078639627E-2</v>
      </c>
      <c r="O252" s="354">
        <f t="shared" si="26"/>
        <v>16909.59</v>
      </c>
      <c r="P252" s="353">
        <f t="shared" si="27"/>
        <v>3.1818261275956758E-2</v>
      </c>
      <c r="Q252" s="353"/>
      <c r="R252" s="356">
        <f t="shared" si="28"/>
        <v>62140.86</v>
      </c>
      <c r="S252" s="303">
        <f t="shared" si="29"/>
        <v>3.4440101539143078E-2</v>
      </c>
      <c r="U252" s="517"/>
      <c r="W252" s="92"/>
      <c r="X252" s="92"/>
      <c r="Y252" s="92"/>
      <c r="Z252" s="92"/>
      <c r="AA252" s="234"/>
      <c r="AB252" s="92"/>
      <c r="AC252" s="92"/>
      <c r="AD252" s="92"/>
      <c r="AE252" s="92"/>
      <c r="AF252" s="92"/>
      <c r="AG252" s="92"/>
      <c r="AH252" s="92"/>
      <c r="AI252" s="92"/>
      <c r="AJ252" s="234"/>
      <c r="AK252" s="92"/>
      <c r="AL252" s="92"/>
      <c r="AM252" s="234"/>
      <c r="AN252" s="92"/>
      <c r="AO252" s="92"/>
      <c r="AP252" s="92"/>
      <c r="AQ252" s="92"/>
      <c r="AR252" s="92"/>
      <c r="AS252" s="92"/>
      <c r="AT252" s="92"/>
      <c r="AU252" s="92"/>
      <c r="AV252" s="92"/>
    </row>
    <row r="253" spans="1:48" s="232" customFormat="1" ht="42">
      <c r="A253" s="92"/>
      <c r="B253" s="226"/>
      <c r="C253" s="244"/>
      <c r="D253" s="236"/>
      <c r="E253" s="92"/>
      <c r="F253" s="345" t="s">
        <v>967</v>
      </c>
      <c r="G253" s="346">
        <f t="shared" si="20"/>
        <v>18325</v>
      </c>
      <c r="H253" s="347">
        <f t="shared" si="21"/>
        <v>5.156669322339643E-2</v>
      </c>
      <c r="I253" s="347"/>
      <c r="J253" s="348">
        <f t="shared" si="22"/>
        <v>18108.32</v>
      </c>
      <c r="K253" s="347">
        <f t="shared" si="23"/>
        <v>3.8633387070938677E-2</v>
      </c>
      <c r="L253" s="348">
        <f t="shared" si="24"/>
        <v>19401.25</v>
      </c>
      <c r="M253" s="346"/>
      <c r="N253" s="349">
        <f t="shared" si="25"/>
        <v>4.3230421774500268E-2</v>
      </c>
      <c r="O253" s="348">
        <f t="shared" si="26"/>
        <v>17775</v>
      </c>
      <c r="P253" s="347">
        <f t="shared" si="27"/>
        <v>3.3446676955510533E-2</v>
      </c>
      <c r="Q253" s="347"/>
      <c r="R253" s="350">
        <f t="shared" si="28"/>
        <v>73609.570000000007</v>
      </c>
      <c r="S253" s="288">
        <f t="shared" si="29"/>
        <v>4.0796362732229009E-2</v>
      </c>
      <c r="U253" s="517"/>
      <c r="W253" s="92"/>
      <c r="X253" s="92"/>
      <c r="Y253" s="92"/>
      <c r="Z253" s="92"/>
      <c r="AA253" s="234"/>
      <c r="AB253" s="92"/>
      <c r="AC253" s="92"/>
      <c r="AD253" s="92"/>
      <c r="AE253" s="92"/>
      <c r="AF253" s="92"/>
      <c r="AG253" s="92"/>
      <c r="AH253" s="92"/>
      <c r="AI253" s="92"/>
      <c r="AJ253" s="234"/>
      <c r="AK253" s="92"/>
      <c r="AL253" s="92"/>
      <c r="AM253" s="234"/>
      <c r="AN253" s="92"/>
      <c r="AO253" s="92"/>
      <c r="AP253" s="92"/>
      <c r="AQ253" s="92"/>
      <c r="AR253" s="92"/>
      <c r="AS253" s="92"/>
      <c r="AT253" s="92"/>
      <c r="AU253" s="92"/>
      <c r="AV253" s="92"/>
    </row>
    <row r="254" spans="1:48" s="232" customFormat="1" ht="42">
      <c r="A254" s="92"/>
      <c r="B254" s="226"/>
      <c r="C254" s="244"/>
      <c r="D254" s="236"/>
      <c r="E254" s="92"/>
      <c r="F254" s="351" t="s">
        <v>994</v>
      </c>
      <c r="G254" s="352">
        <f t="shared" si="20"/>
        <v>10225</v>
      </c>
      <c r="H254" s="353">
        <f t="shared" si="21"/>
        <v>2.8773229915919699E-2</v>
      </c>
      <c r="I254" s="353"/>
      <c r="J254" s="354">
        <f t="shared" si="22"/>
        <v>19560.43</v>
      </c>
      <c r="K254" s="353">
        <f t="shared" si="23"/>
        <v>4.173140652826994E-2</v>
      </c>
      <c r="L254" s="354">
        <f t="shared" si="24"/>
        <v>22647.08</v>
      </c>
      <c r="M254" s="352"/>
      <c r="N254" s="355">
        <f t="shared" si="25"/>
        <v>5.0462873287074266E-2</v>
      </c>
      <c r="O254" s="354">
        <f t="shared" si="26"/>
        <v>24894.79</v>
      </c>
      <c r="P254" s="353">
        <f t="shared" si="27"/>
        <v>4.684376928299714E-2</v>
      </c>
      <c r="Q254" s="353"/>
      <c r="R254" s="356">
        <f t="shared" si="28"/>
        <v>77327.3</v>
      </c>
      <c r="S254" s="303">
        <f t="shared" si="29"/>
        <v>4.2856826631427029E-2</v>
      </c>
      <c r="U254" s="517"/>
      <c r="W254" s="92"/>
      <c r="X254" s="92"/>
      <c r="Y254" s="92"/>
      <c r="Z254" s="92"/>
      <c r="AA254" s="234"/>
      <c r="AB254" s="92"/>
      <c r="AC254" s="92"/>
      <c r="AD254" s="92"/>
      <c r="AE254" s="92"/>
      <c r="AF254" s="92"/>
      <c r="AG254" s="92"/>
      <c r="AH254" s="92"/>
      <c r="AI254" s="92"/>
      <c r="AJ254" s="234"/>
      <c r="AK254" s="92"/>
      <c r="AL254" s="92"/>
      <c r="AM254" s="234"/>
      <c r="AN254" s="92"/>
      <c r="AO254" s="92"/>
      <c r="AP254" s="92"/>
      <c r="AQ254" s="92"/>
      <c r="AR254" s="92"/>
      <c r="AS254" s="92"/>
      <c r="AT254" s="92"/>
      <c r="AU254" s="92"/>
      <c r="AV254" s="92"/>
    </row>
    <row r="255" spans="1:48" s="232" customFormat="1" ht="42">
      <c r="A255" s="92"/>
      <c r="B255" s="226"/>
      <c r="C255" s="244"/>
      <c r="D255" s="236"/>
      <c r="E255" s="92"/>
      <c r="F255" s="345" t="s">
        <v>63</v>
      </c>
      <c r="G255" s="346">
        <f t="shared" si="20"/>
        <v>27568.35</v>
      </c>
      <c r="H255" s="347">
        <f t="shared" si="21"/>
        <v>7.7577552366997052E-2</v>
      </c>
      <c r="I255" s="347"/>
      <c r="J255" s="348">
        <f t="shared" si="22"/>
        <v>27475.010000000002</v>
      </c>
      <c r="K255" s="347">
        <f t="shared" si="23"/>
        <v>5.8616851044597788E-2</v>
      </c>
      <c r="L255" s="348">
        <f t="shared" si="24"/>
        <v>30476.67</v>
      </c>
      <c r="M255" s="346"/>
      <c r="N255" s="349">
        <f t="shared" si="25"/>
        <v>6.790899031671975E-2</v>
      </c>
      <c r="O255" s="348">
        <f t="shared" si="26"/>
        <v>31461.67</v>
      </c>
      <c r="P255" s="347">
        <f t="shared" si="27"/>
        <v>5.9200467677686476E-2</v>
      </c>
      <c r="Q255" s="347"/>
      <c r="R255" s="350">
        <f t="shared" si="28"/>
        <v>116981.7</v>
      </c>
      <c r="S255" s="288">
        <f t="shared" si="29"/>
        <v>6.4834339695678075E-2</v>
      </c>
      <c r="U255" s="517"/>
      <c r="W255" s="92"/>
      <c r="X255" s="92"/>
      <c r="Y255" s="92"/>
      <c r="Z255" s="92"/>
      <c r="AA255" s="234"/>
      <c r="AB255" s="92"/>
      <c r="AC255" s="92"/>
      <c r="AD255" s="92"/>
      <c r="AE255" s="92"/>
      <c r="AF255" s="92"/>
      <c r="AG255" s="92"/>
      <c r="AH255" s="92"/>
      <c r="AI255" s="92"/>
      <c r="AJ255" s="234"/>
      <c r="AK255" s="92"/>
      <c r="AL255" s="92"/>
      <c r="AM255" s="234"/>
      <c r="AN255" s="92"/>
      <c r="AO255" s="92"/>
      <c r="AP255" s="92"/>
      <c r="AQ255" s="92"/>
      <c r="AR255" s="92"/>
      <c r="AS255" s="92"/>
      <c r="AT255" s="92"/>
      <c r="AU255" s="92"/>
      <c r="AV255" s="92"/>
    </row>
    <row r="256" spans="1:48" s="232" customFormat="1" ht="42">
      <c r="A256" s="92"/>
      <c r="B256" s="226"/>
      <c r="C256" s="244"/>
      <c r="D256" s="236"/>
      <c r="E256" s="92"/>
      <c r="F256" s="351" t="s">
        <v>1007</v>
      </c>
      <c r="G256" s="352">
        <f t="shared" si="20"/>
        <v>10262.5</v>
      </c>
      <c r="H256" s="353">
        <f t="shared" si="21"/>
        <v>2.8878755209009871E-2</v>
      </c>
      <c r="I256" s="353"/>
      <c r="J256" s="354">
        <f t="shared" si="22"/>
        <v>11626.66</v>
      </c>
      <c r="K256" s="353">
        <f t="shared" si="23"/>
        <v>2.4805020903220173E-2</v>
      </c>
      <c r="L256" s="354">
        <f t="shared" si="24"/>
        <v>15971.25</v>
      </c>
      <c r="M256" s="352"/>
      <c r="N256" s="355">
        <f t="shared" si="25"/>
        <v>3.55875973850132E-2</v>
      </c>
      <c r="O256" s="354">
        <f t="shared" si="26"/>
        <v>21327.5</v>
      </c>
      <c r="P256" s="353">
        <f t="shared" si="27"/>
        <v>4.0131308172638588E-2</v>
      </c>
      <c r="Q256" s="353"/>
      <c r="R256" s="356">
        <f t="shared" si="28"/>
        <v>59187.91</v>
      </c>
      <c r="S256" s="303">
        <f t="shared" si="29"/>
        <v>3.2803498861935003E-2</v>
      </c>
      <c r="U256" s="517"/>
      <c r="W256" s="92"/>
      <c r="X256" s="92"/>
      <c r="Y256" s="92"/>
      <c r="Z256" s="92"/>
      <c r="AA256" s="234"/>
      <c r="AB256" s="92"/>
      <c r="AC256" s="92"/>
      <c r="AD256" s="92"/>
      <c r="AE256" s="92"/>
      <c r="AF256" s="92"/>
      <c r="AG256" s="92"/>
      <c r="AH256" s="92"/>
      <c r="AI256" s="92"/>
      <c r="AJ256" s="234"/>
      <c r="AK256" s="92"/>
      <c r="AL256" s="92"/>
      <c r="AM256" s="234"/>
      <c r="AN256" s="92"/>
      <c r="AO256" s="92"/>
      <c r="AP256" s="92"/>
      <c r="AQ256" s="92"/>
      <c r="AR256" s="92"/>
      <c r="AS256" s="92"/>
      <c r="AT256" s="92"/>
      <c r="AU256" s="92"/>
      <c r="AV256" s="92"/>
    </row>
    <row r="257" spans="1:48" s="232" customFormat="1" ht="42">
      <c r="A257" s="92"/>
      <c r="B257" s="226"/>
      <c r="C257" s="244"/>
      <c r="D257" s="236"/>
      <c r="E257" s="92"/>
      <c r="F257" s="345" t="s">
        <v>996</v>
      </c>
      <c r="G257" s="346">
        <f t="shared" si="20"/>
        <v>18600</v>
      </c>
      <c r="H257" s="347">
        <f t="shared" si="21"/>
        <v>5.234054537272434E-2</v>
      </c>
      <c r="I257" s="347"/>
      <c r="J257" s="348">
        <f t="shared" si="22"/>
        <v>33416.660000000003</v>
      </c>
      <c r="K257" s="347">
        <f t="shared" si="23"/>
        <v>7.1293127159115469E-2</v>
      </c>
      <c r="L257" s="348">
        <f t="shared" si="24"/>
        <v>27915.83</v>
      </c>
      <c r="M257" s="346"/>
      <c r="N257" s="349">
        <f t="shared" si="25"/>
        <v>6.220285317107134E-2</v>
      </c>
      <c r="O257" s="348">
        <f t="shared" si="26"/>
        <v>18131.25</v>
      </c>
      <c r="P257" s="347">
        <f t="shared" si="27"/>
        <v>3.4117021746812963E-2</v>
      </c>
      <c r="Q257" s="347"/>
      <c r="R257" s="350">
        <f t="shared" si="28"/>
        <v>98063.74</v>
      </c>
      <c r="S257" s="288">
        <f t="shared" si="29"/>
        <v>5.4349507922937128E-2</v>
      </c>
      <c r="U257" s="517"/>
      <c r="W257" s="92"/>
      <c r="X257" s="92"/>
      <c r="Y257" s="92"/>
      <c r="Z257" s="92"/>
      <c r="AA257" s="234"/>
      <c r="AB257" s="92"/>
      <c r="AC257" s="92"/>
      <c r="AD257" s="92"/>
      <c r="AE257" s="92"/>
      <c r="AF257" s="92"/>
      <c r="AG257" s="92"/>
      <c r="AH257" s="92"/>
      <c r="AI257" s="92"/>
      <c r="AJ257" s="234"/>
      <c r="AK257" s="92"/>
      <c r="AL257" s="92"/>
      <c r="AM257" s="234"/>
      <c r="AN257" s="92"/>
      <c r="AO257" s="92"/>
      <c r="AP257" s="92"/>
      <c r="AQ257" s="92"/>
      <c r="AR257" s="92"/>
      <c r="AS257" s="92"/>
      <c r="AT257" s="92"/>
      <c r="AU257" s="92"/>
      <c r="AV257" s="92"/>
    </row>
    <row r="258" spans="1:48" s="232" customFormat="1" ht="42.75" thickBot="1">
      <c r="A258" s="92"/>
      <c r="B258" s="226"/>
      <c r="C258" s="244"/>
      <c r="D258" s="236"/>
      <c r="E258" s="92"/>
      <c r="F258" s="357" t="s">
        <v>990</v>
      </c>
      <c r="G258" s="358">
        <f t="shared" si="20"/>
        <v>32100</v>
      </c>
      <c r="H258" s="359">
        <f>G258/$G$259</f>
        <v>9.0329650885185561E-2</v>
      </c>
      <c r="I258" s="359"/>
      <c r="J258" s="360">
        <f t="shared" si="22"/>
        <v>42100</v>
      </c>
      <c r="K258" s="359">
        <f>J258/$J$259</f>
        <v>8.9818690838604484E-2</v>
      </c>
      <c r="L258" s="360">
        <f t="shared" si="24"/>
        <v>47100</v>
      </c>
      <c r="M258" s="358"/>
      <c r="N258" s="361">
        <f>L258/$L$259</f>
        <v>0.10494957106263579</v>
      </c>
      <c r="O258" s="360">
        <f t="shared" si="26"/>
        <v>88113.34</v>
      </c>
      <c r="P258" s="359">
        <f>O258/$O$259</f>
        <v>0.16580019231792206</v>
      </c>
      <c r="Q258" s="359"/>
      <c r="R258" s="362">
        <f>G258+J258+L258+O258</f>
        <v>209413.34</v>
      </c>
      <c r="S258" s="363">
        <f>R258/$R$259</f>
        <v>0.1160623894366942</v>
      </c>
      <c r="U258" s="517"/>
      <c r="W258" s="92"/>
      <c r="X258" s="92"/>
      <c r="Y258" s="92"/>
      <c r="Z258" s="92"/>
      <c r="AA258" s="234"/>
      <c r="AB258" s="92"/>
      <c r="AC258" s="92"/>
      <c r="AD258" s="92"/>
      <c r="AE258" s="92"/>
      <c r="AF258" s="92"/>
      <c r="AG258" s="92"/>
      <c r="AH258" s="92"/>
      <c r="AI258" s="92"/>
      <c r="AJ258" s="234"/>
      <c r="AK258" s="92"/>
      <c r="AL258" s="92"/>
      <c r="AM258" s="234"/>
      <c r="AN258" s="92"/>
      <c r="AO258" s="92"/>
      <c r="AP258" s="92"/>
      <c r="AQ258" s="92"/>
      <c r="AR258" s="92"/>
      <c r="AS258" s="92"/>
      <c r="AT258" s="92"/>
      <c r="AU258" s="92"/>
      <c r="AV258" s="92"/>
    </row>
    <row r="259" spans="1:48" s="232" customFormat="1" ht="43.5" thickTop="1" thickBot="1">
      <c r="A259" s="92"/>
      <c r="B259" s="226"/>
      <c r="C259" s="244"/>
      <c r="D259" s="236"/>
      <c r="E259" s="92"/>
      <c r="F259" s="364" t="s">
        <v>954</v>
      </c>
      <c r="G259" s="365">
        <f>SUM(G250:G258)</f>
        <v>355365.04</v>
      </c>
      <c r="H259" s="366">
        <f>SUM(H250:H258)</f>
        <v>1</v>
      </c>
      <c r="I259" s="366"/>
      <c r="J259" s="367">
        <f t="shared" ref="J259:S259" si="30">SUM(J250:J258)</f>
        <v>468722.03999999992</v>
      </c>
      <c r="K259" s="366">
        <f t="shared" si="30"/>
        <v>1</v>
      </c>
      <c r="L259" s="367">
        <f t="shared" si="30"/>
        <v>448786.97000000003</v>
      </c>
      <c r="M259" s="365"/>
      <c r="N259" s="368">
        <f t="shared" si="30"/>
        <v>0.99999999999999978</v>
      </c>
      <c r="O259" s="367">
        <f t="shared" si="30"/>
        <v>531442.93000000005</v>
      </c>
      <c r="P259" s="366">
        <f t="shared" si="30"/>
        <v>1</v>
      </c>
      <c r="Q259" s="366"/>
      <c r="R259" s="369">
        <f t="shared" si="30"/>
        <v>1804316.9800000002</v>
      </c>
      <c r="S259" s="370">
        <f t="shared" si="30"/>
        <v>0.99999999999999989</v>
      </c>
      <c r="U259" s="517"/>
      <c r="W259" s="92"/>
      <c r="X259" s="92"/>
      <c r="Y259" s="92"/>
      <c r="Z259" s="92"/>
      <c r="AA259" s="234"/>
      <c r="AB259" s="92"/>
      <c r="AC259" s="92"/>
      <c r="AD259" s="92"/>
      <c r="AE259" s="92"/>
      <c r="AF259" s="92"/>
      <c r="AG259" s="92"/>
      <c r="AH259" s="92"/>
      <c r="AI259" s="92"/>
      <c r="AJ259" s="234"/>
      <c r="AK259" s="92"/>
      <c r="AL259" s="92"/>
      <c r="AM259" s="234"/>
      <c r="AN259" s="92"/>
      <c r="AO259" s="92"/>
      <c r="AP259" s="92"/>
      <c r="AQ259" s="92"/>
      <c r="AR259" s="92"/>
      <c r="AS259" s="92"/>
      <c r="AT259" s="92"/>
      <c r="AU259" s="92"/>
      <c r="AV259" s="92"/>
    </row>
    <row r="260" spans="1:48" s="232" customFormat="1">
      <c r="A260" s="92"/>
      <c r="B260" s="226"/>
      <c r="C260" s="244"/>
      <c r="D260" s="236"/>
      <c r="E260" s="92"/>
      <c r="F260" s="238"/>
      <c r="G260" s="239"/>
      <c r="H260" s="239"/>
      <c r="I260" s="239"/>
      <c r="J260" s="239"/>
      <c r="K260" s="239"/>
      <c r="L260" s="239"/>
      <c r="M260" s="239"/>
      <c r="N260" s="245"/>
      <c r="R260" s="233"/>
      <c r="U260" s="517"/>
      <c r="W260" s="92"/>
      <c r="X260" s="92"/>
      <c r="Y260" s="92"/>
      <c r="Z260" s="92"/>
      <c r="AA260" s="234"/>
      <c r="AB260" s="92"/>
      <c r="AC260" s="92"/>
      <c r="AD260" s="92"/>
      <c r="AE260" s="92"/>
      <c r="AF260" s="92"/>
      <c r="AG260" s="92"/>
      <c r="AH260" s="92"/>
      <c r="AI260" s="92"/>
      <c r="AJ260" s="234"/>
      <c r="AK260" s="92"/>
      <c r="AL260" s="92"/>
      <c r="AM260" s="234"/>
      <c r="AN260" s="92"/>
      <c r="AO260" s="92"/>
      <c r="AP260" s="92"/>
      <c r="AQ260" s="92"/>
      <c r="AR260" s="92"/>
      <c r="AS260" s="92"/>
      <c r="AT260" s="92"/>
      <c r="AU260" s="92"/>
      <c r="AV260" s="92"/>
    </row>
    <row r="261" spans="1:48" s="232" customFormat="1">
      <c r="A261" s="92"/>
      <c r="B261" s="226"/>
      <c r="C261" s="244"/>
      <c r="D261" s="236"/>
      <c r="E261" s="92"/>
      <c r="F261" s="238"/>
      <c r="G261" s="239"/>
      <c r="H261" s="239"/>
      <c r="I261" s="239"/>
      <c r="J261" s="239"/>
      <c r="K261" s="239"/>
      <c r="L261" s="239"/>
      <c r="M261" s="239"/>
      <c r="N261" s="245"/>
      <c r="R261" s="233"/>
      <c r="U261" s="517"/>
      <c r="W261" s="92"/>
      <c r="X261" s="92"/>
      <c r="Y261" s="92"/>
      <c r="Z261" s="92"/>
      <c r="AA261" s="234"/>
      <c r="AB261" s="92"/>
      <c r="AC261" s="92"/>
      <c r="AD261" s="92"/>
      <c r="AE261" s="92"/>
      <c r="AF261" s="92"/>
      <c r="AG261" s="92"/>
      <c r="AH261" s="92"/>
      <c r="AI261" s="92"/>
      <c r="AJ261" s="234"/>
      <c r="AK261" s="92"/>
      <c r="AL261" s="92"/>
      <c r="AM261" s="234"/>
      <c r="AN261" s="92"/>
      <c r="AO261" s="92"/>
      <c r="AP261" s="92"/>
      <c r="AQ261" s="92"/>
      <c r="AR261" s="92"/>
      <c r="AS261" s="92"/>
      <c r="AT261" s="92"/>
      <c r="AU261" s="92"/>
      <c r="AV261" s="92"/>
    </row>
    <row r="262" spans="1:48" s="232" customFormat="1">
      <c r="A262" s="92"/>
      <c r="B262" s="226"/>
      <c r="C262" s="244"/>
      <c r="D262" s="236"/>
      <c r="E262" s="92"/>
      <c r="F262" s="238"/>
      <c r="G262" s="239"/>
      <c r="H262" s="239"/>
      <c r="I262" s="239"/>
      <c r="J262" s="239"/>
      <c r="K262" s="239"/>
      <c r="L262" s="239"/>
      <c r="M262" s="239"/>
      <c r="N262" s="245"/>
      <c r="R262" s="233"/>
      <c r="U262" s="517"/>
      <c r="W262" s="92"/>
      <c r="X262" s="92"/>
      <c r="Y262" s="92"/>
      <c r="Z262" s="92"/>
      <c r="AA262" s="234"/>
      <c r="AB262" s="92"/>
      <c r="AC262" s="92"/>
      <c r="AD262" s="92"/>
      <c r="AE262" s="92"/>
      <c r="AF262" s="92"/>
      <c r="AG262" s="92"/>
      <c r="AH262" s="92"/>
      <c r="AI262" s="92"/>
      <c r="AJ262" s="234"/>
      <c r="AK262" s="92"/>
      <c r="AL262" s="92"/>
      <c r="AM262" s="234"/>
      <c r="AN262" s="92"/>
      <c r="AO262" s="92"/>
      <c r="AP262" s="92"/>
      <c r="AQ262" s="92"/>
      <c r="AR262" s="92"/>
      <c r="AS262" s="92"/>
      <c r="AT262" s="92"/>
      <c r="AU262" s="92"/>
      <c r="AV262" s="92"/>
    </row>
    <row r="263" spans="1:48" s="232" customFormat="1">
      <c r="A263" s="92"/>
      <c r="B263" s="226"/>
      <c r="C263" s="244"/>
      <c r="D263" s="236"/>
      <c r="E263" s="92"/>
      <c r="F263" s="238"/>
      <c r="G263" s="239"/>
      <c r="H263" s="239"/>
      <c r="I263" s="239"/>
      <c r="J263" s="239"/>
      <c r="K263" s="239"/>
      <c r="L263" s="239"/>
      <c r="M263" s="239"/>
      <c r="N263" s="245"/>
      <c r="R263" s="233"/>
      <c r="U263" s="517"/>
      <c r="W263" s="92"/>
      <c r="X263" s="92"/>
      <c r="Y263" s="92"/>
      <c r="Z263" s="92"/>
      <c r="AA263" s="234"/>
      <c r="AB263" s="92"/>
      <c r="AC263" s="92"/>
      <c r="AD263" s="92"/>
      <c r="AE263" s="92"/>
      <c r="AF263" s="92"/>
      <c r="AG263" s="92"/>
      <c r="AH263" s="92"/>
      <c r="AI263" s="92"/>
      <c r="AJ263" s="234"/>
      <c r="AK263" s="92"/>
      <c r="AL263" s="92"/>
      <c r="AM263" s="234"/>
      <c r="AN263" s="92"/>
      <c r="AO263" s="92"/>
      <c r="AP263" s="92"/>
      <c r="AQ263" s="92"/>
      <c r="AR263" s="92"/>
      <c r="AS263" s="92"/>
      <c r="AT263" s="92"/>
      <c r="AU263" s="92"/>
      <c r="AV263" s="92"/>
    </row>
    <row r="264" spans="1:48" s="232" customFormat="1">
      <c r="A264" s="92"/>
      <c r="B264" s="226"/>
      <c r="C264" s="244"/>
      <c r="D264" s="236"/>
      <c r="E264" s="92"/>
      <c r="F264" s="238"/>
      <c r="G264" s="239"/>
      <c r="H264" s="239"/>
      <c r="I264" s="239"/>
      <c r="J264" s="239"/>
      <c r="K264" s="239"/>
      <c r="L264" s="239"/>
      <c r="M264" s="239"/>
      <c r="N264" s="245"/>
      <c r="R264" s="233"/>
      <c r="U264" s="517"/>
      <c r="W264" s="92"/>
      <c r="X264" s="92"/>
      <c r="Y264" s="92"/>
      <c r="Z264" s="92"/>
      <c r="AA264" s="234"/>
      <c r="AB264" s="92"/>
      <c r="AC264" s="92"/>
      <c r="AD264" s="92"/>
      <c r="AE264" s="92"/>
      <c r="AF264" s="92"/>
      <c r="AG264" s="92"/>
      <c r="AH264" s="92"/>
      <c r="AI264" s="92"/>
      <c r="AJ264" s="234"/>
      <c r="AK264" s="92"/>
      <c r="AL264" s="92"/>
      <c r="AM264" s="234"/>
      <c r="AN264" s="92"/>
      <c r="AO264" s="92"/>
      <c r="AP264" s="92"/>
      <c r="AQ264" s="92"/>
      <c r="AR264" s="92"/>
      <c r="AS264" s="92"/>
      <c r="AT264" s="92"/>
      <c r="AU264" s="92"/>
      <c r="AV264" s="92"/>
    </row>
    <row r="265" spans="1:48" s="232" customFormat="1">
      <c r="A265" s="92"/>
      <c r="B265" s="226"/>
      <c r="C265" s="244"/>
      <c r="D265" s="236"/>
      <c r="E265" s="92"/>
      <c r="F265" s="238"/>
      <c r="G265" s="239"/>
      <c r="H265" s="239"/>
      <c r="I265" s="239"/>
      <c r="J265" s="239"/>
      <c r="K265" s="239"/>
      <c r="L265" s="239"/>
      <c r="M265" s="239"/>
      <c r="N265" s="245"/>
      <c r="R265" s="233"/>
      <c r="U265" s="517"/>
      <c r="W265" s="92"/>
      <c r="X265" s="92"/>
      <c r="Y265" s="92"/>
      <c r="Z265" s="92"/>
      <c r="AA265" s="234"/>
      <c r="AB265" s="92"/>
      <c r="AC265" s="92"/>
      <c r="AD265" s="92"/>
      <c r="AE265" s="92"/>
      <c r="AF265" s="92"/>
      <c r="AG265" s="92"/>
      <c r="AH265" s="92"/>
      <c r="AI265" s="92"/>
      <c r="AJ265" s="234"/>
      <c r="AK265" s="92"/>
      <c r="AL265" s="92"/>
      <c r="AM265" s="234"/>
      <c r="AN265" s="92"/>
      <c r="AO265" s="92"/>
      <c r="AP265" s="92"/>
      <c r="AQ265" s="92"/>
      <c r="AR265" s="92"/>
      <c r="AS265" s="92"/>
      <c r="AT265" s="92"/>
      <c r="AU265" s="92"/>
      <c r="AV265" s="92"/>
    </row>
    <row r="266" spans="1:48" s="232" customFormat="1">
      <c r="A266" s="92"/>
      <c r="B266" s="226"/>
      <c r="C266" s="244"/>
      <c r="D266" s="236"/>
      <c r="E266" s="92"/>
      <c r="F266" s="238"/>
      <c r="G266" s="239"/>
      <c r="H266" s="239"/>
      <c r="I266" s="239"/>
      <c r="J266" s="239"/>
      <c r="K266" s="239"/>
      <c r="L266" s="239"/>
      <c r="M266" s="239"/>
      <c r="N266" s="245"/>
      <c r="R266" s="233"/>
      <c r="U266" s="517"/>
      <c r="W266" s="92"/>
      <c r="X266" s="92"/>
      <c r="Y266" s="92"/>
      <c r="Z266" s="92"/>
      <c r="AA266" s="234"/>
      <c r="AB266" s="92"/>
      <c r="AC266" s="92"/>
      <c r="AD266" s="92"/>
      <c r="AE266" s="92"/>
      <c r="AF266" s="92"/>
      <c r="AG266" s="92"/>
      <c r="AH266" s="92"/>
      <c r="AI266" s="92"/>
      <c r="AJ266" s="234"/>
      <c r="AK266" s="92"/>
      <c r="AL266" s="92"/>
      <c r="AM266" s="234"/>
      <c r="AN266" s="92"/>
      <c r="AO266" s="92"/>
      <c r="AP266" s="92"/>
      <c r="AQ266" s="92"/>
      <c r="AR266" s="92"/>
      <c r="AS266" s="92"/>
      <c r="AT266" s="92"/>
      <c r="AU266" s="92"/>
      <c r="AV266" s="92"/>
    </row>
    <row r="267" spans="1:48" s="238" customFormat="1">
      <c r="A267" s="92"/>
      <c r="B267" s="226"/>
      <c r="C267" s="244"/>
      <c r="D267" s="236"/>
      <c r="E267" s="92"/>
      <c r="G267" s="239"/>
      <c r="H267" s="239"/>
      <c r="I267" s="239"/>
      <c r="J267" s="239"/>
      <c r="K267" s="239"/>
      <c r="L267" s="239"/>
      <c r="M267" s="239"/>
      <c r="N267" s="245"/>
      <c r="O267" s="232"/>
      <c r="P267" s="232"/>
      <c r="Q267" s="232"/>
      <c r="R267" s="233"/>
      <c r="S267" s="232"/>
      <c r="T267" s="232"/>
      <c r="U267" s="517"/>
      <c r="V267" s="232"/>
      <c r="W267" s="92"/>
      <c r="X267" s="92"/>
      <c r="Y267" s="92"/>
      <c r="Z267" s="92"/>
      <c r="AA267" s="234"/>
      <c r="AB267" s="92"/>
      <c r="AC267" s="92"/>
      <c r="AD267" s="92"/>
      <c r="AE267" s="92"/>
      <c r="AF267" s="92"/>
      <c r="AG267" s="92"/>
      <c r="AH267" s="92"/>
      <c r="AI267" s="92"/>
      <c r="AJ267" s="234"/>
      <c r="AK267" s="92"/>
      <c r="AL267" s="92"/>
      <c r="AM267" s="234"/>
      <c r="AN267" s="92"/>
      <c r="AO267" s="92"/>
      <c r="AP267" s="92"/>
      <c r="AQ267" s="92"/>
      <c r="AR267" s="92"/>
      <c r="AS267" s="92"/>
      <c r="AT267" s="92"/>
      <c r="AU267" s="92"/>
      <c r="AV267" s="92"/>
    </row>
    <row r="268" spans="1:48" s="238" customFormat="1">
      <c r="A268" s="92"/>
      <c r="B268" s="226"/>
      <c r="C268" s="244"/>
      <c r="D268" s="236"/>
      <c r="E268" s="92"/>
      <c r="G268" s="239"/>
      <c r="H268" s="239"/>
      <c r="I268" s="239"/>
      <c r="J268" s="239"/>
      <c r="K268" s="239"/>
      <c r="L268" s="239"/>
      <c r="M268" s="239"/>
      <c r="N268" s="245"/>
      <c r="O268" s="232"/>
      <c r="P268" s="232"/>
      <c r="Q268" s="232"/>
      <c r="R268" s="233"/>
      <c r="S268" s="232"/>
      <c r="T268" s="232"/>
      <c r="U268" s="517"/>
      <c r="V268" s="232"/>
      <c r="W268" s="92"/>
      <c r="X268" s="92"/>
      <c r="Y268" s="92"/>
      <c r="Z268" s="92"/>
      <c r="AA268" s="234"/>
      <c r="AB268" s="92"/>
      <c r="AC268" s="92"/>
      <c r="AD268" s="92"/>
      <c r="AE268" s="92"/>
      <c r="AF268" s="92"/>
      <c r="AG268" s="92"/>
      <c r="AH268" s="92"/>
      <c r="AI268" s="92"/>
      <c r="AJ268" s="234"/>
      <c r="AK268" s="92"/>
      <c r="AL268" s="92"/>
      <c r="AM268" s="234"/>
      <c r="AN268" s="92"/>
      <c r="AO268" s="92"/>
      <c r="AP268" s="92"/>
      <c r="AQ268" s="92"/>
      <c r="AR268" s="92"/>
      <c r="AS268" s="92"/>
      <c r="AT268" s="92"/>
      <c r="AU268" s="92"/>
      <c r="AV268" s="92"/>
    </row>
    <row r="269" spans="1:48" s="238" customFormat="1">
      <c r="A269" s="92"/>
      <c r="B269" s="226"/>
      <c r="C269" s="244"/>
      <c r="D269" s="236"/>
      <c r="E269" s="92"/>
      <c r="G269" s="239"/>
      <c r="H269" s="239"/>
      <c r="I269" s="239"/>
      <c r="J269" s="239"/>
      <c r="K269" s="239"/>
      <c r="L269" s="239"/>
      <c r="M269" s="239"/>
      <c r="N269" s="245"/>
      <c r="O269" s="232"/>
      <c r="P269" s="232"/>
      <c r="Q269" s="232"/>
      <c r="R269" s="233"/>
      <c r="S269" s="232"/>
      <c r="T269" s="232"/>
      <c r="U269" s="517"/>
      <c r="V269" s="232"/>
      <c r="W269" s="92"/>
      <c r="X269" s="92"/>
      <c r="Y269" s="92"/>
      <c r="Z269" s="92"/>
      <c r="AA269" s="234"/>
      <c r="AB269" s="92"/>
      <c r="AC269" s="92"/>
      <c r="AD269" s="92"/>
      <c r="AE269" s="92"/>
      <c r="AF269" s="92"/>
      <c r="AG269" s="92"/>
      <c r="AH269" s="92"/>
      <c r="AI269" s="92"/>
      <c r="AJ269" s="234"/>
      <c r="AK269" s="92"/>
      <c r="AL269" s="92"/>
      <c r="AM269" s="234"/>
      <c r="AN269" s="92"/>
      <c r="AO269" s="92"/>
      <c r="AP269" s="92"/>
      <c r="AQ269" s="92"/>
      <c r="AR269" s="92"/>
      <c r="AS269" s="92"/>
      <c r="AT269" s="92"/>
      <c r="AU269" s="92"/>
      <c r="AV269" s="92"/>
    </row>
    <row r="270" spans="1:48" s="238" customFormat="1">
      <c r="A270" s="92"/>
      <c r="B270" s="226"/>
      <c r="C270" s="244"/>
      <c r="D270" s="236"/>
      <c r="E270" s="92"/>
      <c r="G270" s="239"/>
      <c r="H270" s="239"/>
      <c r="I270" s="239"/>
      <c r="J270" s="239"/>
      <c r="K270" s="239"/>
      <c r="L270" s="239"/>
      <c r="M270" s="239"/>
      <c r="N270" s="245"/>
      <c r="O270" s="232"/>
      <c r="P270" s="232"/>
      <c r="Q270" s="232"/>
      <c r="R270" s="233"/>
      <c r="S270" s="232"/>
      <c r="T270" s="232"/>
      <c r="U270" s="517"/>
      <c r="V270" s="232"/>
      <c r="W270" s="92"/>
      <c r="X270" s="92"/>
      <c r="Y270" s="92"/>
      <c r="Z270" s="92"/>
      <c r="AA270" s="234"/>
      <c r="AB270" s="92"/>
      <c r="AC270" s="92"/>
      <c r="AD270" s="92"/>
      <c r="AE270" s="92"/>
      <c r="AF270" s="92"/>
      <c r="AG270" s="92"/>
      <c r="AH270" s="92"/>
      <c r="AI270" s="92"/>
      <c r="AJ270" s="234"/>
      <c r="AK270" s="92"/>
      <c r="AL270" s="92"/>
      <c r="AM270" s="234"/>
      <c r="AN270" s="92"/>
      <c r="AO270" s="92"/>
      <c r="AP270" s="92"/>
      <c r="AQ270" s="92"/>
      <c r="AR270" s="92"/>
      <c r="AS270" s="92"/>
      <c r="AT270" s="92"/>
      <c r="AU270" s="92"/>
      <c r="AV270" s="92"/>
    </row>
    <row r="271" spans="1:48" s="238" customFormat="1">
      <c r="A271" s="92"/>
      <c r="B271" s="226"/>
      <c r="C271" s="244"/>
      <c r="D271" s="236"/>
      <c r="E271" s="92"/>
      <c r="G271" s="239"/>
      <c r="H271" s="239"/>
      <c r="I271" s="239"/>
      <c r="J271" s="239"/>
      <c r="K271" s="239"/>
      <c r="L271" s="239"/>
      <c r="M271" s="239"/>
      <c r="N271" s="245"/>
      <c r="O271" s="232"/>
      <c r="P271" s="232"/>
      <c r="Q271" s="232"/>
      <c r="R271" s="233"/>
      <c r="S271" s="232"/>
      <c r="T271" s="232"/>
      <c r="U271" s="517"/>
      <c r="V271" s="232"/>
      <c r="W271" s="92"/>
      <c r="X271" s="92"/>
      <c r="Y271" s="92"/>
      <c r="Z271" s="92"/>
      <c r="AA271" s="234"/>
      <c r="AB271" s="92"/>
      <c r="AC271" s="92"/>
      <c r="AD271" s="92"/>
      <c r="AE271" s="92"/>
      <c r="AF271" s="92"/>
      <c r="AG271" s="92"/>
      <c r="AH271" s="92"/>
      <c r="AI271" s="92"/>
      <c r="AJ271" s="234"/>
      <c r="AK271" s="92"/>
      <c r="AL271" s="92"/>
      <c r="AM271" s="234"/>
      <c r="AN271" s="92"/>
      <c r="AO271" s="92"/>
      <c r="AP271" s="92"/>
      <c r="AQ271" s="92"/>
      <c r="AR271" s="92"/>
      <c r="AS271" s="92"/>
      <c r="AT271" s="92"/>
      <c r="AU271" s="92"/>
      <c r="AV271" s="92"/>
    </row>
    <row r="272" spans="1:48" s="238" customFormat="1">
      <c r="A272" s="92"/>
      <c r="B272" s="226"/>
      <c r="C272" s="244"/>
      <c r="D272" s="236"/>
      <c r="E272" s="92"/>
      <c r="G272" s="239"/>
      <c r="H272" s="239"/>
      <c r="I272" s="239"/>
      <c r="J272" s="239"/>
      <c r="K272" s="239"/>
      <c r="L272" s="239"/>
      <c r="M272" s="239"/>
      <c r="N272" s="245"/>
      <c r="O272" s="232"/>
      <c r="P272" s="232"/>
      <c r="Q272" s="232"/>
      <c r="R272" s="233"/>
      <c r="S272" s="232"/>
      <c r="T272" s="232"/>
      <c r="U272" s="517"/>
      <c r="V272" s="232"/>
      <c r="W272" s="92"/>
      <c r="X272" s="92"/>
      <c r="Y272" s="92"/>
      <c r="Z272" s="92"/>
      <c r="AA272" s="234"/>
      <c r="AB272" s="92"/>
      <c r="AC272" s="92"/>
      <c r="AD272" s="92"/>
      <c r="AE272" s="92"/>
      <c r="AF272" s="92"/>
      <c r="AG272" s="92"/>
      <c r="AH272" s="92"/>
      <c r="AI272" s="92"/>
      <c r="AJ272" s="234"/>
      <c r="AK272" s="92"/>
      <c r="AL272" s="92"/>
      <c r="AM272" s="234"/>
      <c r="AN272" s="92"/>
      <c r="AO272" s="92"/>
      <c r="AP272" s="92"/>
      <c r="AQ272" s="92"/>
      <c r="AR272" s="92"/>
      <c r="AS272" s="92"/>
      <c r="AT272" s="92"/>
      <c r="AU272" s="92"/>
      <c r="AV272" s="92"/>
    </row>
    <row r="273" spans="1:48" s="238" customFormat="1">
      <c r="A273" s="92"/>
      <c r="B273" s="226"/>
      <c r="C273" s="244"/>
      <c r="D273" s="236"/>
      <c r="E273" s="92"/>
      <c r="G273" s="239"/>
      <c r="H273" s="239"/>
      <c r="I273" s="239"/>
      <c r="J273" s="239"/>
      <c r="K273" s="239"/>
      <c r="L273" s="239"/>
      <c r="M273" s="239"/>
      <c r="N273" s="245"/>
      <c r="O273" s="232"/>
      <c r="P273" s="232"/>
      <c r="Q273" s="232"/>
      <c r="R273" s="233"/>
      <c r="S273" s="232"/>
      <c r="T273" s="232"/>
      <c r="U273" s="517"/>
      <c r="V273" s="232"/>
      <c r="W273" s="92"/>
      <c r="X273" s="92"/>
      <c r="Y273" s="92"/>
      <c r="Z273" s="92"/>
      <c r="AA273" s="234"/>
      <c r="AB273" s="92"/>
      <c r="AC273" s="92"/>
      <c r="AD273" s="92"/>
      <c r="AE273" s="92"/>
      <c r="AF273" s="92"/>
      <c r="AG273" s="92"/>
      <c r="AH273" s="92"/>
      <c r="AI273" s="92"/>
      <c r="AJ273" s="234"/>
      <c r="AK273" s="92"/>
      <c r="AL273" s="92"/>
      <c r="AM273" s="234"/>
      <c r="AN273" s="92"/>
      <c r="AO273" s="92"/>
      <c r="AP273" s="92"/>
      <c r="AQ273" s="92"/>
      <c r="AR273" s="92"/>
      <c r="AS273" s="92"/>
      <c r="AT273" s="92"/>
      <c r="AU273" s="92"/>
      <c r="AV273" s="92"/>
    </row>
    <row r="274" spans="1:48" s="238" customFormat="1">
      <c r="A274" s="92"/>
      <c r="B274" s="226"/>
      <c r="C274" s="244"/>
      <c r="D274" s="236"/>
      <c r="E274" s="92"/>
      <c r="G274" s="239"/>
      <c r="H274" s="239"/>
      <c r="I274" s="239"/>
      <c r="J274" s="239"/>
      <c r="K274" s="239"/>
      <c r="L274" s="239"/>
      <c r="M274" s="239"/>
      <c r="N274" s="245"/>
      <c r="O274" s="232"/>
      <c r="P274" s="232"/>
      <c r="Q274" s="232"/>
      <c r="R274" s="233"/>
      <c r="S274" s="232"/>
      <c r="T274" s="232"/>
      <c r="U274" s="517"/>
      <c r="V274" s="232"/>
      <c r="W274" s="92"/>
      <c r="X274" s="92"/>
      <c r="Y274" s="92"/>
      <c r="Z274" s="92"/>
      <c r="AA274" s="234"/>
      <c r="AB274" s="92"/>
      <c r="AC274" s="92"/>
      <c r="AD274" s="92"/>
      <c r="AE274" s="92"/>
      <c r="AF274" s="92"/>
      <c r="AG274" s="92"/>
      <c r="AH274" s="92"/>
      <c r="AI274" s="92"/>
      <c r="AJ274" s="234"/>
      <c r="AK274" s="92"/>
      <c r="AL274" s="92"/>
      <c r="AM274" s="234"/>
      <c r="AN274" s="92"/>
      <c r="AO274" s="92"/>
      <c r="AP274" s="92"/>
      <c r="AQ274" s="92"/>
      <c r="AR274" s="92"/>
      <c r="AS274" s="92"/>
      <c r="AT274" s="92"/>
      <c r="AU274" s="92"/>
      <c r="AV274" s="92"/>
    </row>
    <row r="275" spans="1:48" s="238" customFormat="1">
      <c r="A275" s="92"/>
      <c r="B275" s="226"/>
      <c r="C275" s="244"/>
      <c r="D275" s="236"/>
      <c r="E275" s="92"/>
      <c r="G275" s="239"/>
      <c r="H275" s="239"/>
      <c r="I275" s="239"/>
      <c r="J275" s="239"/>
      <c r="K275" s="239"/>
      <c r="L275" s="239"/>
      <c r="M275" s="239"/>
      <c r="N275" s="245"/>
      <c r="O275" s="232"/>
      <c r="P275" s="232"/>
      <c r="Q275" s="232"/>
      <c r="R275" s="233"/>
      <c r="S275" s="232"/>
      <c r="T275" s="232"/>
      <c r="U275" s="517"/>
      <c r="V275" s="232"/>
      <c r="W275" s="92"/>
      <c r="X275" s="92"/>
      <c r="Y275" s="92"/>
      <c r="Z275" s="92"/>
      <c r="AA275" s="234"/>
      <c r="AB275" s="92"/>
      <c r="AC275" s="92"/>
      <c r="AD275" s="92"/>
      <c r="AE275" s="92"/>
      <c r="AF275" s="92"/>
      <c r="AG275" s="92"/>
      <c r="AH275" s="92"/>
      <c r="AI275" s="92"/>
      <c r="AJ275" s="234"/>
      <c r="AK275" s="92"/>
      <c r="AL275" s="92"/>
      <c r="AM275" s="234"/>
      <c r="AN275" s="92"/>
      <c r="AO275" s="92"/>
      <c r="AP275" s="92"/>
      <c r="AQ275" s="92"/>
      <c r="AR275" s="92"/>
      <c r="AS275" s="92"/>
      <c r="AT275" s="92"/>
      <c r="AU275" s="92"/>
      <c r="AV275" s="92"/>
    </row>
    <row r="276" spans="1:48" s="238" customFormat="1">
      <c r="A276" s="92"/>
      <c r="B276" s="226"/>
      <c r="C276" s="244"/>
      <c r="D276" s="236"/>
      <c r="E276" s="92"/>
      <c r="G276" s="239"/>
      <c r="H276" s="239"/>
      <c r="I276" s="239"/>
      <c r="J276" s="239"/>
      <c r="K276" s="239"/>
      <c r="L276" s="239"/>
      <c r="M276" s="239"/>
      <c r="N276" s="245"/>
      <c r="O276" s="232"/>
      <c r="P276" s="232"/>
      <c r="Q276" s="232"/>
      <c r="R276" s="233"/>
      <c r="S276" s="232"/>
      <c r="T276" s="232"/>
      <c r="U276" s="517"/>
      <c r="V276" s="232"/>
      <c r="W276" s="92"/>
      <c r="X276" s="92"/>
      <c r="Y276" s="92"/>
      <c r="Z276" s="92"/>
      <c r="AA276" s="234"/>
      <c r="AB276" s="92"/>
      <c r="AC276" s="92"/>
      <c r="AD276" s="92"/>
      <c r="AE276" s="92"/>
      <c r="AF276" s="92"/>
      <c r="AG276" s="92"/>
      <c r="AH276" s="92"/>
      <c r="AI276" s="92"/>
      <c r="AJ276" s="234"/>
      <c r="AK276" s="92"/>
      <c r="AL276" s="92"/>
      <c r="AM276" s="234"/>
      <c r="AN276" s="92"/>
      <c r="AO276" s="92"/>
      <c r="AP276" s="92"/>
      <c r="AQ276" s="92"/>
      <c r="AR276" s="92"/>
      <c r="AS276" s="92"/>
      <c r="AT276" s="92"/>
      <c r="AU276" s="92"/>
      <c r="AV276" s="92"/>
    </row>
    <row r="277" spans="1:48" s="238" customFormat="1">
      <c r="A277" s="92"/>
      <c r="B277" s="226"/>
      <c r="C277" s="244"/>
      <c r="D277" s="236"/>
      <c r="E277" s="92"/>
      <c r="G277" s="239"/>
      <c r="H277" s="239"/>
      <c r="I277" s="239"/>
      <c r="J277" s="239"/>
      <c r="K277" s="239"/>
      <c r="L277" s="239"/>
      <c r="M277" s="239"/>
      <c r="N277" s="245"/>
      <c r="O277" s="232"/>
      <c r="P277" s="232"/>
      <c r="Q277" s="232"/>
      <c r="R277" s="233"/>
      <c r="S277" s="232"/>
      <c r="T277" s="232"/>
      <c r="U277" s="517"/>
      <c r="V277" s="232"/>
      <c r="W277" s="92"/>
      <c r="X277" s="92"/>
      <c r="Y277" s="92"/>
      <c r="Z277" s="92"/>
      <c r="AA277" s="234"/>
      <c r="AB277" s="92"/>
      <c r="AC277" s="92"/>
      <c r="AD277" s="92"/>
      <c r="AE277" s="92"/>
      <c r="AF277" s="92"/>
      <c r="AG277" s="92"/>
      <c r="AH277" s="92"/>
      <c r="AI277" s="92"/>
      <c r="AJ277" s="234"/>
      <c r="AK277" s="92"/>
      <c r="AL277" s="92"/>
      <c r="AM277" s="234"/>
      <c r="AN277" s="92"/>
      <c r="AO277" s="92"/>
      <c r="AP277" s="92"/>
      <c r="AQ277" s="92"/>
      <c r="AR277" s="92"/>
      <c r="AS277" s="92"/>
      <c r="AT277" s="92"/>
      <c r="AU277" s="92"/>
      <c r="AV277" s="92"/>
    </row>
    <row r="278" spans="1:48">
      <c r="E278" s="92"/>
    </row>
    <row r="279" spans="1:48">
      <c r="E279" s="92"/>
    </row>
  </sheetData>
  <mergeCells count="35">
    <mergeCell ref="AG193:AH193"/>
    <mergeCell ref="F248:F249"/>
    <mergeCell ref="G248:H248"/>
    <mergeCell ref="J248:K248"/>
    <mergeCell ref="L248:N248"/>
    <mergeCell ref="O248:P248"/>
    <mergeCell ref="R248:S248"/>
    <mergeCell ref="U193:V193"/>
    <mergeCell ref="W193:X193"/>
    <mergeCell ref="Y193:Z193"/>
    <mergeCell ref="AA193:AB193"/>
    <mergeCell ref="AC193:AD193"/>
    <mergeCell ref="AE193:AF193"/>
    <mergeCell ref="AR1:AT1"/>
    <mergeCell ref="AU1:AV1"/>
    <mergeCell ref="A187:E187"/>
    <mergeCell ref="F193:F194"/>
    <mergeCell ref="G193:I193"/>
    <mergeCell ref="J193:K193"/>
    <mergeCell ref="L193:N193"/>
    <mergeCell ref="O193:P193"/>
    <mergeCell ref="Q193:R193"/>
    <mergeCell ref="S193:T193"/>
    <mergeCell ref="Z1:AB1"/>
    <mergeCell ref="AC1:AE1"/>
    <mergeCell ref="AF1:AH1"/>
    <mergeCell ref="AI1:AK1"/>
    <mergeCell ref="AL1:AN1"/>
    <mergeCell ref="AO1:AQ1"/>
    <mergeCell ref="W1:Y1"/>
    <mergeCell ref="A1:G1"/>
    <mergeCell ref="H1:K1"/>
    <mergeCell ref="L1:O1"/>
    <mergeCell ref="P1:S1"/>
    <mergeCell ref="T1:V1"/>
  </mergeCells>
  <conditionalFormatting sqref="H195:I202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{B4362261-1536-4EF9-B12B-69E5AA9305AB}</x14:id>
        </ext>
      </extLst>
    </cfRule>
  </conditionalFormatting>
  <conditionalFormatting sqref="N195:N202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{BDB7D219-4CA1-406E-911C-43449E6DCF24}</x14:id>
        </ext>
      </extLst>
    </cfRule>
  </conditionalFormatting>
  <conditionalFormatting sqref="R195:R202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{B841A0A4-D818-4A58-9DE7-43E2E8450FB0}</x14:id>
        </ext>
      </extLst>
    </cfRule>
  </conditionalFormatting>
  <conditionalFormatting sqref="T195:T202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{8A44A77A-0C36-42D9-AF60-5E836FC12710}</x14:id>
        </ext>
      </extLst>
    </cfRule>
  </conditionalFormatting>
  <conditionalFormatting sqref="V195:V202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{05189AB5-0D5F-4941-8A84-7789623089EC}</x14:id>
        </ext>
      </extLst>
    </cfRule>
  </conditionalFormatting>
  <conditionalFormatting sqref="X195:X202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{22ABC02B-88BB-4153-87D9-5F52A5A29D54}</x14:id>
        </ext>
      </extLst>
    </cfRule>
  </conditionalFormatting>
  <conditionalFormatting sqref="Z195:Z202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{0D68A938-CD40-44E2-A447-6E9596CF05C8}</x14:id>
        </ext>
      </extLst>
    </cfRule>
  </conditionalFormatting>
  <conditionalFormatting sqref="AB195:AB202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{9693910A-E2AD-4C41-8B91-87DDEA793B31}</x14:id>
        </ext>
      </extLst>
    </cfRule>
  </conditionalFormatting>
  <conditionalFormatting sqref="AD195:AD202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{708C5576-D053-43A1-B921-C2E4E48B6A9F}</x14:id>
        </ext>
      </extLst>
    </cfRule>
  </conditionalFormatting>
  <conditionalFormatting sqref="AF195:AF202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{B788A216-62E9-438D-B7DA-203C8CC3ED8D}</x14:id>
        </ext>
      </extLst>
    </cfRule>
  </conditionalFormatting>
  <conditionalFormatting sqref="AH195:AH202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{18B9F6BC-1B41-4326-851C-7CFC1857A5C5}</x14:id>
        </ext>
      </extLst>
    </cfRule>
  </conditionalFormatting>
  <conditionalFormatting sqref="H250:I257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{3E4E69B5-6DC8-4250-AE45-3D8F00F6D435}</x14:id>
        </ext>
      </extLst>
    </cfRule>
  </conditionalFormatting>
  <conditionalFormatting sqref="K250:K257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{271453DB-F103-430B-8FA6-579BD581821B}</x14:id>
        </ext>
      </extLst>
    </cfRule>
  </conditionalFormatting>
  <conditionalFormatting sqref="N250:N257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{207D0272-4E71-42B4-89CA-B35048FF422A}</x14:id>
        </ext>
      </extLst>
    </cfRule>
  </conditionalFormatting>
  <conditionalFormatting sqref="P250:Q257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{20FE4CBC-44FB-4BD4-9D04-05755A74B2C7}</x14:id>
        </ext>
      </extLst>
    </cfRule>
  </conditionalFormatting>
  <conditionalFormatting sqref="S250:S257">
    <cfRule type="dataBar" priority="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{FAC583B2-04D9-4804-85BC-ABCE523F28B8}</x14:id>
        </ext>
      </extLst>
    </cfRule>
  </conditionalFormatting>
  <conditionalFormatting sqref="H203:I203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{8EAA18A3-403A-4A8B-AA4C-1DDAE18D93CC}</x14:id>
        </ext>
      </extLst>
    </cfRule>
  </conditionalFormatting>
  <conditionalFormatting sqref="N20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{F4A9217A-D354-4C32-9512-8520A9CECA24}</x14:id>
        </ext>
      </extLst>
    </cfRule>
  </conditionalFormatting>
  <conditionalFormatting sqref="R203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{2257486F-108D-436A-B2A3-99E62A6D8380}</x14:id>
        </ext>
      </extLst>
    </cfRule>
  </conditionalFormatting>
  <conditionalFormatting sqref="T203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{B7B94B87-78D6-4F3E-A09C-58AB70E3746E}</x14:id>
        </ext>
      </extLst>
    </cfRule>
  </conditionalFormatting>
  <conditionalFormatting sqref="V203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{2662EDEB-EE74-4ED5-831B-9A7F180E6D04}</x14:id>
        </ext>
      </extLst>
    </cfRule>
  </conditionalFormatting>
  <conditionalFormatting sqref="X20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{F00622F2-138C-4177-9605-BADC44E4C365}</x14:id>
        </ext>
      </extLst>
    </cfRule>
  </conditionalFormatting>
  <conditionalFormatting sqref="Z203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{453EDE2E-FD7C-49F1-997F-131CAAD19198}</x14:id>
        </ext>
      </extLst>
    </cfRule>
  </conditionalFormatting>
  <conditionalFormatting sqref="AB203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{9ACB620D-8128-4CB4-A479-0146BD406055}</x14:id>
        </ext>
      </extLst>
    </cfRule>
  </conditionalFormatting>
  <conditionalFormatting sqref="AD203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{1FFAA901-4B08-4CF9-9048-5C32CE181C51}</x14:id>
        </ext>
      </extLst>
    </cfRule>
  </conditionalFormatting>
  <conditionalFormatting sqref="AF203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{3766F4AE-7AB7-4DD6-A6B6-5EF19287A837}</x14:id>
        </ext>
      </extLst>
    </cfRule>
  </conditionalFormatting>
  <conditionalFormatting sqref="AH203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{D68AD4B5-403F-4021-A412-7964DF5513BF}</x14:id>
        </ext>
      </extLst>
    </cfRule>
  </conditionalFormatting>
  <conditionalFormatting sqref="H258:I258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{B254014C-4573-4620-92A2-C6BBAA7A7AB7}</x14:id>
        </ext>
      </extLst>
    </cfRule>
  </conditionalFormatting>
  <conditionalFormatting sqref="K258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{E1CFF7BB-51D2-437C-8C5C-73B8313555E7}</x14:id>
        </ext>
      </extLst>
    </cfRule>
  </conditionalFormatting>
  <conditionalFormatting sqref="N258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{6415C3E5-568C-46B6-B156-ABC198B3BF00}</x14:id>
        </ext>
      </extLst>
    </cfRule>
  </conditionalFormatting>
  <conditionalFormatting sqref="P258:Q258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{9160C30F-57F7-45D5-B20E-E99B04CFAE76}</x14:id>
        </ext>
      </extLst>
    </cfRule>
  </conditionalFormatting>
  <conditionalFormatting sqref="S258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{0A51DB6C-77E5-46F7-93D8-B38F63BE9958}</x14:id>
        </ext>
      </extLst>
    </cfRule>
  </conditionalFormatting>
  <conditionalFormatting sqref="V155:V185 AN3:AN185 V3:V153 AB3:AB185 AH3:AH185 AT3:AT18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{9F2816D2-E163-4AC6-B7FD-D962208C5A76}</x14:id>
        </ext>
      </extLst>
    </cfRule>
  </conditionalFormatting>
  <conditionalFormatting sqref="K195:K20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{2131F844-7E16-44F2-84F5-E80F625CF5A1}</x14:id>
        </ext>
      </extLst>
    </cfRule>
  </conditionalFormatting>
  <conditionalFormatting sqref="K203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{BB8E98F2-A62C-4DB9-81EA-42A78508700A}</x14:id>
        </ext>
      </extLst>
    </cfRule>
  </conditionalFormatting>
  <conditionalFormatting sqref="M204">
    <cfRule type="iconSet" priority="6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95:P202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{1E1CE3FE-D0D2-428E-BCE6-C08E2C739326}</x14:id>
        </ext>
      </extLst>
    </cfRule>
  </conditionalFormatting>
  <conditionalFormatting sqref="P20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{F59C56FF-9CD7-426A-BCD1-88DADAF45BA8}</x14:id>
        </ext>
      </extLst>
    </cfRule>
  </conditionalFormatting>
  <conditionalFormatting sqref="V154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{B4D1537E-2DE4-4C1C-B17E-6D2845193E45}</x14:id>
        </ext>
      </extLst>
    </cfRule>
  </conditionalFormatting>
  <conditionalFormatting sqref="K3:K185">
    <cfRule type="dataBar" priority="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{C2C909F5-1CD0-472E-AB94-98477B1DFA35}</x14:id>
        </ext>
      </extLst>
    </cfRule>
  </conditionalFormatting>
  <conditionalFormatting sqref="O2:O185">
    <cfRule type="dataBar" priority="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{6E8837C4-B498-4F78-B02E-E1E63CF17DEF}</x14:id>
        </ext>
      </extLst>
    </cfRule>
  </conditionalFormatting>
  <conditionalFormatting sqref="S3:S185 Y3:Y185 AE3:AE185 AK3:AK185 AQ3:AQ185">
    <cfRule type="dataBar" priority="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{1259ACD3-A2C8-42FD-884A-E034037BB884}</x14:id>
        </ext>
      </extLst>
    </cfRule>
  </conditionalFormatting>
  <conditionalFormatting sqref="AU3:AU185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{1EB6F5ED-8CDF-4E9B-BADB-9FE1932FF3E0}</x14:id>
        </ext>
      </extLst>
    </cfRule>
  </conditionalFormatting>
  <conditionalFormatting sqref="AV3:AV185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{2FFF0DF5-B1D2-46C3-B3C2-FDF05D89A075}</x14:id>
        </ext>
      </extLst>
    </cfRule>
  </conditionalFormatting>
  <conditionalFormatting sqref="AB3:AB185">
    <cfRule type="dataBar" priority="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{7A6ED49F-FC02-48C5-B688-E18842E04F55}</x14:id>
        </ext>
      </extLst>
    </cfRule>
  </conditionalFormatting>
  <dataValidations count="54">
    <dataValidation type="custom" allowBlank="1" showInputMessage="1" showErrorMessage="1" errorTitle="    @ mohamed mahdi @" error="       _x000a_please dont duplicate the id no " promptTitle="please dont duplicate the id no " sqref="B41" xr:uid="{00000000-0002-0000-0500-000000000000}">
      <formula1>COUNTIF($B$4:B192,B41)=1</formula1>
    </dataValidation>
    <dataValidation type="custom" allowBlank="1" showInputMessage="1" showErrorMessage="1" errorTitle="    @ mohamed mahdi @" error="       _x000a_please dont duplicate the id no " promptTitle="please dont duplicate the id no " sqref="B138 B176:B180" xr:uid="{00000000-0002-0000-0500-000001000000}">
      <formula1>COUNTIF($B$4:B227,B138)=1</formula1>
    </dataValidation>
    <dataValidation type="custom" allowBlank="1" showInputMessage="1" showErrorMessage="1" errorTitle="    @ mohamed mahdi @" error="       _x000a_please dont duplicate the id no " promptTitle="please dont duplicate the id no " sqref="B153" xr:uid="{00000000-0002-0000-0500-000002000000}">
      <formula1>COUNTIF($B$4:B254,B153)=1</formula1>
    </dataValidation>
    <dataValidation type="custom" allowBlank="1" showInputMessage="1" showErrorMessage="1" errorTitle="    @ mohamed mahdi @" error="       _x000a_please dont duplicate the id no " promptTitle="please dont duplicate the id no " sqref="B52" xr:uid="{00000000-0002-0000-0500-000003000000}">
      <formula1>COUNTIF($B$4:B197,B52)=1</formula1>
    </dataValidation>
    <dataValidation type="custom" allowBlank="1" showInputMessage="1" showErrorMessage="1" errorTitle="    @ mohamed mahdi @" error="       _x000a_please dont duplicate the id no " promptTitle="please dont duplicate the id no " sqref="B154" xr:uid="{00000000-0002-0000-0500-000004000000}">
      <formula1>COUNTIF($B$4:B242,B154)=1</formula1>
    </dataValidation>
    <dataValidation type="custom" allowBlank="1" showInputMessage="1" showErrorMessage="1" errorTitle="    @ mohamed mahdi @" error="       _x000a_please dont duplicate the id no " promptTitle="please dont duplicate the id no " sqref="B174" xr:uid="{00000000-0002-0000-0500-000005000000}">
      <formula1>COUNTIF($B$4:B265,B174)=1</formula1>
    </dataValidation>
    <dataValidation type="custom" allowBlank="1" showInputMessage="1" showErrorMessage="1" errorTitle="    @ mohamed mahdi @" error="       _x000a_please dont duplicate the id no " promptTitle="please dont duplicate the id no " sqref="B175" xr:uid="{00000000-0002-0000-0500-000006000000}">
      <formula1>COUNTIF($B$4:B265,B175)=1</formula1>
    </dataValidation>
    <dataValidation type="custom" allowBlank="1" showInputMessage="1" showErrorMessage="1" errorTitle="    @ mohamed mahdi @" error="       _x000a_please dont duplicate the id no " promptTitle="please dont duplicate the id no " sqref="B103 B97:B99" xr:uid="{00000000-0002-0000-0500-000007000000}">
      <formula1>COUNTIF($B$4:B223,B97)=1</formula1>
    </dataValidation>
    <dataValidation type="custom" allowBlank="1" showInputMessage="1" showErrorMessage="1" errorTitle="    @ mohamed mahdi @" error="       _x000a_please dont duplicate the id no " promptTitle="please dont duplicate the id no " sqref="B79" xr:uid="{00000000-0002-0000-0500-000008000000}">
      <formula1>COUNTIF($B$4:B218,B79)=1</formula1>
    </dataValidation>
    <dataValidation type="custom" allowBlank="1" showInputMessage="1" showErrorMessage="1" errorTitle="    @ mohamed mahdi @" error="       _x000a_please dont duplicate the id no " promptTitle="please dont duplicate the id no " sqref="B9" xr:uid="{00000000-0002-0000-0500-000009000000}">
      <formula1>COUNTIF($B$4:B187,B9)=1</formula1>
    </dataValidation>
    <dataValidation type="custom" allowBlank="1" showInputMessage="1" showErrorMessage="1" errorTitle="    @ mohamed mahdi @" error="       _x000a_please dont duplicate the id no " promptTitle="please dont duplicate the id no " sqref="B131" xr:uid="{00000000-0002-0000-0500-00000A000000}">
      <formula1>COUNTIF($B$4:B241,B131)=1</formula1>
    </dataValidation>
    <dataValidation type="custom" allowBlank="1" showInputMessage="1" showErrorMessage="1" errorTitle="    @ mohamed mahdi @" error="       _x000a_please dont duplicate the id no " promptTitle="please dont duplicate the id no " sqref="B128" xr:uid="{00000000-0002-0000-0500-00000B000000}">
      <formula1>COUNTIF($B$4:B242,B128)=1</formula1>
    </dataValidation>
    <dataValidation type="custom" allowBlank="1" showInputMessage="1" showErrorMessage="1" errorTitle="    @ mohamed mahdi @" error="       _x000a_please dont duplicate the id no " promptTitle="please dont duplicate the id no " sqref="B124" xr:uid="{00000000-0002-0000-0500-00000C000000}">
      <formula1>COUNTIF($B$4:B239,B124)=1</formula1>
    </dataValidation>
    <dataValidation type="custom" allowBlank="1" showInputMessage="1" showErrorMessage="1" errorTitle="    @ mohamed mahdi @" error="       _x000a_please dont duplicate the id no " promptTitle="please dont duplicate the id no " sqref="B116" xr:uid="{00000000-0002-0000-0500-00000D000000}">
      <formula1>COUNTIF($B$4:B237,B116)=1</formula1>
    </dataValidation>
    <dataValidation type="custom" allowBlank="1" showInputMessage="1" showErrorMessage="1" errorTitle="    @ mohamed mahdi @" error="       _x000a_please dont duplicate the id no " promptTitle="please dont duplicate the id no " sqref="B80" xr:uid="{00000000-0002-0000-0500-00000E000000}">
      <formula1>COUNTIF($B$4:B218,B80)=1</formula1>
    </dataValidation>
    <dataValidation type="custom" allowBlank="1" showInputMessage="1" showErrorMessage="1" errorTitle="    @ mohamed mahdi @" error="       _x000a_please dont duplicate the id no " promptTitle="please dont duplicate the id no " sqref="B49 B59" xr:uid="{00000000-0002-0000-0500-00000F000000}">
      <formula1>COUNTIF($B$4:B192,B49)=1</formula1>
    </dataValidation>
    <dataValidation type="custom" allowBlank="1" showInputMessage="1" showErrorMessage="1" errorTitle="    @ mohamed mahdi @" error="       _x000a_please dont duplicate the id no " promptTitle="please dont duplicate the id no " sqref="B78" xr:uid="{00000000-0002-0000-0500-000010000000}">
      <formula1>COUNTIF($B$4:B206,B78)=1</formula1>
    </dataValidation>
    <dataValidation type="custom" allowBlank="1" showInputMessage="1" showErrorMessage="1" errorTitle="    @ mohamed mahdi @" error="       _x000a_please dont duplicate the id no " promptTitle="please dont duplicate the id no " sqref="B185" xr:uid="{00000000-0002-0000-0500-000011000000}">
      <formula1>COUNTIF($B$4:B267,B185)=1</formula1>
    </dataValidation>
    <dataValidation type="custom" allowBlank="1" showInputMessage="1" showErrorMessage="1" errorTitle="    @ mohamed mahdi @" error="       _x000a_please dont duplicate the id no " promptTitle="please dont duplicate the id no " sqref="B159" xr:uid="{00000000-0002-0000-0500-000012000000}">
      <formula1>COUNTIF($B$4:B257,B159)=1</formula1>
    </dataValidation>
    <dataValidation type="custom" allowBlank="1" showInputMessage="1" showErrorMessage="1" errorTitle="    @ mohamed mahdi @" error="       _x000a_please dont duplicate the id no " promptTitle="please dont duplicate the id no " sqref="B34:B40" xr:uid="{00000000-0002-0000-0500-000013000000}">
      <formula1>COUNTIF($B$4:B192,B34)=1</formula1>
    </dataValidation>
    <dataValidation type="custom" allowBlank="1" showInputMessage="1" showErrorMessage="1" errorTitle="    @ mohamed mahdi @" error="       _x000a_please dont duplicate the id no " promptTitle="please dont duplicate the id no " sqref="B42:B43" xr:uid="{00000000-0002-0000-0500-000014000000}">
      <formula1>COUNTIF($B$4:B192,B42)=1</formula1>
    </dataValidation>
    <dataValidation type="custom" allowBlank="1" showInputMessage="1" showErrorMessage="1" errorTitle="    @ mohamed mahdi @" error="       _x000a_please dont duplicate the id no " promptTitle="please dont duplicate the id no " sqref="B27:B33" xr:uid="{00000000-0002-0000-0500-000015000000}">
      <formula1>COUNTIF($B$4:B191,B27)=1</formula1>
    </dataValidation>
    <dataValidation type="custom" allowBlank="1" showInputMessage="1" showErrorMessage="1" errorTitle="    @ mohamed mahdi @" error="       _x000a_please dont duplicate the id no " promptTitle="please dont duplicate the id no " sqref="B19:B23" xr:uid="{00000000-0002-0000-0500-000016000000}">
      <formula1>COUNTIF($B$4:B189,B19)=1</formula1>
    </dataValidation>
    <dataValidation type="custom" allowBlank="1" showInputMessage="1" showErrorMessage="1" errorTitle="    @ mohamed mahdi @" error="       _x000a_please dont duplicate the id no " promptTitle="please dont duplicate the id no " sqref="B17:B18" xr:uid="{00000000-0002-0000-0500-000017000000}">
      <formula1>COUNTIF($B$4:B188,B17)=1</formula1>
    </dataValidation>
    <dataValidation type="custom" allowBlank="1" showInputMessage="1" showErrorMessage="1" errorTitle="    @ mohamed mahdi @" error="       _x000a_please dont duplicate the id no " promptTitle="please dont duplicate the id no " sqref="B15:B16" xr:uid="{00000000-0002-0000-0500-000018000000}">
      <formula1>COUNTIF($B$4:B187,B15)=1</formula1>
    </dataValidation>
    <dataValidation type="custom" allowBlank="1" showInputMessage="1" showErrorMessage="1" errorTitle="    @ mohamed mahdi @" error="       _x000a_please dont duplicate the id no " promptTitle="please dont duplicate the id no " sqref="B13:B14" xr:uid="{00000000-0002-0000-0500-000019000000}">
      <formula1>COUNTIF($B$4:B187,B13)=1</formula1>
    </dataValidation>
    <dataValidation type="custom" allowBlank="1" showInputMessage="1" showErrorMessage="1" errorTitle="    @ mohamed mahdi @" error="       _x000a_please dont duplicate the id no " promptTitle="please dont duplicate the id no " sqref="B132:B135" xr:uid="{00000000-0002-0000-0500-00001A000000}">
      <formula1>COUNTIF($B$4:B243,B132)=1</formula1>
    </dataValidation>
    <dataValidation type="custom" allowBlank="1" showInputMessage="1" showErrorMessage="1" errorTitle="    @ mohamed mahdi @" error="       _x000a_please dont duplicate the id no " promptTitle="please dont duplicate the id no " sqref="B100:B102" xr:uid="{00000000-0002-0000-0500-00001B000000}">
      <formula1>COUNTIF($B$4:B225,B100)=1</formula1>
    </dataValidation>
    <dataValidation type="custom" allowBlank="1" showInputMessage="1" showErrorMessage="1" errorTitle="    @ mohamed mahdi @" error="       _x000a_please dont duplicate the id no " promptTitle="please dont duplicate the id no " sqref="B74:B77" xr:uid="{00000000-0002-0000-0500-00001C000000}">
      <formula1>COUNTIF($B$4:B214,B74)=1</formula1>
    </dataValidation>
    <dataValidation type="custom" allowBlank="1" showInputMessage="1" showErrorMessage="1" errorTitle="    @ mohamed mahdi @" error="       _x000a_please dont duplicate the id no " promptTitle="please dont duplicate the id no " sqref="B53:B58 B60:B63" xr:uid="{00000000-0002-0000-0500-00001D000000}">
      <formula1>COUNTIF($B$4:B197,B53)=1</formula1>
    </dataValidation>
    <dataValidation type="custom" allowBlank="1" showInputMessage="1" showErrorMessage="1" errorTitle="    @ mohamed mahdi @" error="       _x000a_please dont duplicate the id no " promptTitle="please dont duplicate the id no " sqref="B50:B51" xr:uid="{00000000-0002-0000-0500-00001E000000}">
      <formula1>COUNTIF($B$4:B196,B50)=1</formula1>
    </dataValidation>
    <dataValidation type="custom" allowBlank="1" showInputMessage="1" showErrorMessage="1" errorTitle="    @ mohamed mahdi @" error="       _x000a_please dont duplicate the id no " promptTitle="please dont duplicate the id no " sqref="B46:B48" xr:uid="{00000000-0002-0000-0500-00001F000000}">
      <formula1>COUNTIF($B$4:B193,B46)=1</formula1>
    </dataValidation>
    <dataValidation type="custom" allowBlank="1" showInputMessage="1" showErrorMessage="1" errorTitle="    @ mohamed mahdi @" error="       _x000a_please dont duplicate the id no " promptTitle="please dont duplicate the id no " sqref="B104:B118" xr:uid="{00000000-0002-0000-0500-000020000000}">
      <formula1>COUNTIF($B$4:B228,B104)=1</formula1>
    </dataValidation>
    <dataValidation type="custom" allowBlank="1" showInputMessage="1" showErrorMessage="1" errorTitle="    @ mohamed mahdi @" error="       _x000a_please dont duplicate the id no " promptTitle="please dont duplicate the id no " sqref="B172:B173" xr:uid="{00000000-0002-0000-0500-000021000000}">
      <formula1>COUNTIF($B$4:B265,B172)=1</formula1>
    </dataValidation>
    <dataValidation type="custom" allowBlank="1" showInputMessage="1" showErrorMessage="1" errorTitle="    @ mohamed mahdi @" error="       _x000a_please dont duplicate the id no " promptTitle="please dont duplicate the id no " sqref="B169:B171" xr:uid="{00000000-0002-0000-0500-000022000000}">
      <formula1>COUNTIF($B$4:B264,B169)=1</formula1>
    </dataValidation>
    <dataValidation type="custom" allowBlank="1" showInputMessage="1" showErrorMessage="1" errorTitle="    @ mohamed mahdi @" error="       _x000a_please dont duplicate the id no " promptTitle="please dont duplicate the id no " sqref="B165:B168" xr:uid="{00000000-0002-0000-0500-000023000000}">
      <formula1>COUNTIF($B$4:B261,B165)=1</formula1>
    </dataValidation>
    <dataValidation type="custom" allowBlank="1" showInputMessage="1" showErrorMessage="1" errorTitle="    @ mohamed mahdi @" error="       _x000a_please dont duplicate the id no " promptTitle="please dont duplicate the id no " sqref="B129:B130" xr:uid="{00000000-0002-0000-0500-000024000000}">
      <formula1>COUNTIF($B$4:B226,B129)=1</formula1>
    </dataValidation>
    <dataValidation type="custom" allowBlank="1" showInputMessage="1" showErrorMessage="1" errorTitle="    @ mohamed mahdi @" error="       _x000a_please dont duplicate the id no " promptTitle="please dont duplicate the id no " sqref="B142:B145" xr:uid="{00000000-0002-0000-0500-000025000000}">
      <formula1>COUNTIF($B$4:B246,B142)=1</formula1>
    </dataValidation>
    <dataValidation type="custom" allowBlank="1" showInputMessage="1" showErrorMessage="1" errorTitle="    @ mohamed mahdi @" error="       _x000a_please dont duplicate the id no " promptTitle="please dont duplicate the id no " sqref="B136:B137" xr:uid="{00000000-0002-0000-0500-000026000000}">
      <formula1>COUNTIF($B$4:B244,B136)=1</formula1>
    </dataValidation>
    <dataValidation type="custom" allowBlank="1" showInputMessage="1" showErrorMessage="1" errorTitle="    @ mohamed mahdi @" error="       _x000a_please dont duplicate the id no " promptTitle="please dont duplicate the id no " sqref="B82:B94" xr:uid="{00000000-0002-0000-0500-000027000000}">
      <formula1>COUNTIF($B$4:B219,B82)=1</formula1>
    </dataValidation>
    <dataValidation type="custom" allowBlank="1" showInputMessage="1" showErrorMessage="1" errorTitle="    @ mohamed mahdi @" error="       _x000a_please dont duplicate the id no " promptTitle="please dont duplicate the id no " sqref="B155:B156" xr:uid="{00000000-0002-0000-0500-000028000000}">
      <formula1>COUNTIF($B$4:B255,B155)=1</formula1>
    </dataValidation>
    <dataValidation type="custom" allowBlank="1" showInputMessage="1" showErrorMessage="1" errorTitle="    @ mohamed mahdi @" error="       _x000a_please dont duplicate the id no " promptTitle="please dont duplicate the id no " sqref="B160:B164 B157:B158" xr:uid="{00000000-0002-0000-0500-000029000000}">
      <formula1>COUNTIF($B$4:B256,B157)=1</formula1>
    </dataValidation>
    <dataValidation type="custom" allowBlank="1" showInputMessage="1" showErrorMessage="1" errorTitle="    @ mohamed mahdi @" error="       _x000a_please dont duplicate the id no " promptTitle="please dont duplicate the id no " sqref="B147:B152" xr:uid="{00000000-0002-0000-0500-00002A000000}">
      <formula1>COUNTIF($B$4:B250,B147)=1</formula1>
    </dataValidation>
    <dataValidation type="custom" allowBlank="1" showInputMessage="1" showErrorMessage="1" errorTitle="    @ mohamed mahdi @" error="       _x000a_please dont duplicate the id no " promptTitle="please dont duplicate the id no " sqref="B139:B141" xr:uid="{00000000-0002-0000-0500-00002B000000}">
      <formula1>COUNTIF($B$4:B261,B139)=1</formula1>
    </dataValidation>
    <dataValidation type="custom" allowBlank="1" showInputMessage="1" showErrorMessage="1" errorTitle="    @ mohamed mahdi @" error="       _x000a_please dont duplicate the id no " promptTitle="please dont duplicate the id no " sqref="B122:B123 B125:B127" xr:uid="{00000000-0002-0000-0500-00002C000000}">
      <formula1>COUNTIF($B$4:B239,B122)=1</formula1>
    </dataValidation>
    <dataValidation type="custom" allowBlank="1" showInputMessage="1" showErrorMessage="1" errorTitle="    @ mohamed mahdi @" error="       _x000a_please dont duplicate the id no " promptTitle="please dont duplicate the id no " sqref="B119:B121" xr:uid="{00000000-0002-0000-0500-00002D000000}">
      <formula1>COUNTIF($B$4:B237,B119)=1</formula1>
    </dataValidation>
    <dataValidation type="custom" allowBlank="1" showInputMessage="1" showErrorMessage="1" errorTitle="    @ mohamed mahdi @" error="       _x000a_please dont duplicate the id no " promptTitle="please dont duplicate the id no " sqref="B183:B184" xr:uid="{00000000-0002-0000-0500-00002E000000}">
      <formula1>COUNTIF($B$4:B266,B183)=1</formula1>
    </dataValidation>
    <dataValidation type="custom" allowBlank="1" showInputMessage="1" showErrorMessage="1" errorTitle="    @ mohamed mahdi @" error="       _x000a_please dont duplicate the id no " promptTitle="please dont duplicate the id no " sqref="B64:B73" xr:uid="{00000000-0002-0000-0500-00002F000000}">
      <formula1>COUNTIF($B$4:B206,B64)=1</formula1>
    </dataValidation>
    <dataValidation type="custom" allowBlank="1" showInputMessage="1" showErrorMessage="1" errorTitle="    @ mohamed mahdi @" error="       _x000a_please dont duplicate the id no " promptTitle="please dont duplicate the id no " sqref="B181:B182" xr:uid="{00000000-0002-0000-0500-000030000000}">
      <formula1>COUNTIF($B$4:B267,B181)=1</formula1>
    </dataValidation>
    <dataValidation type="custom" allowBlank="1" showInputMessage="1" showErrorMessage="1" errorTitle="    @ mohamed mahdi @" error="       _x000a_please dont duplicate the id no " promptTitle="please dont duplicate the id no " sqref="B95:B96" xr:uid="{00000000-0002-0000-0500-000031000000}">
      <formula1>COUNTIF($B$4:B222,B95)=1</formula1>
    </dataValidation>
    <dataValidation type="custom" allowBlank="1" showInputMessage="1" showErrorMessage="1" errorTitle="    @ mohamed mahdi @" error="       _x000a_please dont duplicate the id no " promptTitle="please dont duplicate the id no " sqref="B44:B45" xr:uid="{00000000-0002-0000-0500-000032000000}">
      <formula1>COUNTIF($B$4:B258,B44)=1</formula1>
    </dataValidation>
    <dataValidation type="custom" allowBlank="1" showInputMessage="1" showErrorMessage="1" errorTitle="    @ mohamed mahdi @" error="       _x000a_please dont duplicate the id no " promptTitle="please dont duplicate the id no " sqref="B24:B26" xr:uid="{00000000-0002-0000-0500-000033000000}">
      <formula1>COUNTIF($B$4:B193,B24)=1</formula1>
    </dataValidation>
    <dataValidation type="custom" allowBlank="1" showInputMessage="1" showErrorMessage="1" errorTitle="    @ mohamed mahdi @" error="       _x000a_please dont duplicate the id no " promptTitle="please dont duplicate the id no " sqref="B10:B12" xr:uid="{00000000-0002-0000-0500-000034000000}">
      <formula1>COUNTIF($B$4:B187,B10)=1</formula1>
    </dataValidation>
    <dataValidation type="custom" allowBlank="1" showInputMessage="1" showErrorMessage="1" errorTitle="    @ mohamed mahdi @" error="       _x000a_please dont duplicate the id no " promptTitle="please dont duplicate the id no " sqref="B4:B8" xr:uid="{00000000-0002-0000-0500-000035000000}">
      <formula1>COUNTIF($B$4:B183,B4)=1</formula1>
    </dataValidation>
  </dataValidations>
  <printOptions horizontalCentered="1"/>
  <pageMargins left="0.25" right="0.25" top="0.75" bottom="0.75" header="0.31496062992126" footer="0.31496062992126"/>
  <pageSetup paperSize="9" scale="45" orientation="landscape" r:id="rId1"/>
  <headerFooter>
    <oddFooter>&amp;L&amp;26
&amp;"Chiller,Bold"By : Mohamed Ahmed Mahdi&amp;C&amp;"-,Bold"&amp;22&amp;P of &amp;N&amp;R&amp;"-,Bold"&amp;26&amp;D
&amp;T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362261-1536-4EF9-B12B-69E5AA9305A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H195:I202</xm:sqref>
        </x14:conditionalFormatting>
        <x14:conditionalFormatting xmlns:xm="http://schemas.microsoft.com/office/excel/2006/main">
          <x14:cfRule type="dataBar" id="{BDB7D219-4CA1-406E-911C-43449E6DCF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N195:N202</xm:sqref>
        </x14:conditionalFormatting>
        <x14:conditionalFormatting xmlns:xm="http://schemas.microsoft.com/office/excel/2006/main">
          <x14:cfRule type="dataBar" id="{B841A0A4-D818-4A58-9DE7-43E2E8450F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R195:R202</xm:sqref>
        </x14:conditionalFormatting>
        <x14:conditionalFormatting xmlns:xm="http://schemas.microsoft.com/office/excel/2006/main">
          <x14:cfRule type="dataBar" id="{8A44A77A-0C36-42D9-AF60-5E836FC127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T195:T202</xm:sqref>
        </x14:conditionalFormatting>
        <x14:conditionalFormatting xmlns:xm="http://schemas.microsoft.com/office/excel/2006/main">
          <x14:cfRule type="dataBar" id="{05189AB5-0D5F-4941-8A84-7789623089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V195:V202</xm:sqref>
        </x14:conditionalFormatting>
        <x14:conditionalFormatting xmlns:xm="http://schemas.microsoft.com/office/excel/2006/main">
          <x14:cfRule type="dataBar" id="{22ABC02B-88BB-4153-87D9-5F52A5A29D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X195:X202</xm:sqref>
        </x14:conditionalFormatting>
        <x14:conditionalFormatting xmlns:xm="http://schemas.microsoft.com/office/excel/2006/main">
          <x14:cfRule type="dataBar" id="{0D68A938-CD40-44E2-A447-6E9596CF05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Z195:Z202</xm:sqref>
        </x14:conditionalFormatting>
        <x14:conditionalFormatting xmlns:xm="http://schemas.microsoft.com/office/excel/2006/main">
          <x14:cfRule type="dataBar" id="{9693910A-E2AD-4C41-8B91-87DDEA793B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AB195:AB202</xm:sqref>
        </x14:conditionalFormatting>
        <x14:conditionalFormatting xmlns:xm="http://schemas.microsoft.com/office/excel/2006/main">
          <x14:cfRule type="dataBar" id="{708C5576-D053-43A1-B921-C2E4E48B6A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AD195:AD202</xm:sqref>
        </x14:conditionalFormatting>
        <x14:conditionalFormatting xmlns:xm="http://schemas.microsoft.com/office/excel/2006/main">
          <x14:cfRule type="dataBar" id="{B788A216-62E9-438D-B7DA-203C8CC3ED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AF195:AF202</xm:sqref>
        </x14:conditionalFormatting>
        <x14:conditionalFormatting xmlns:xm="http://schemas.microsoft.com/office/excel/2006/main">
          <x14:cfRule type="dataBar" id="{18B9F6BC-1B41-4326-851C-7CFC1857A5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AH195:AH202</xm:sqref>
        </x14:conditionalFormatting>
        <x14:conditionalFormatting xmlns:xm="http://schemas.microsoft.com/office/excel/2006/main">
          <x14:cfRule type="dataBar" id="{3E4E69B5-6DC8-4250-AE45-3D8F00F6D4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H250:I257</xm:sqref>
        </x14:conditionalFormatting>
        <x14:conditionalFormatting xmlns:xm="http://schemas.microsoft.com/office/excel/2006/main">
          <x14:cfRule type="dataBar" id="{271453DB-F103-430B-8FA6-579BD581821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K250:K257</xm:sqref>
        </x14:conditionalFormatting>
        <x14:conditionalFormatting xmlns:xm="http://schemas.microsoft.com/office/excel/2006/main">
          <x14:cfRule type="dataBar" id="{207D0272-4E71-42B4-89CA-B35048FF42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N250:N257</xm:sqref>
        </x14:conditionalFormatting>
        <x14:conditionalFormatting xmlns:xm="http://schemas.microsoft.com/office/excel/2006/main">
          <x14:cfRule type="dataBar" id="{20FE4CBC-44FB-4BD4-9D04-05755A74B2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P250:Q257</xm:sqref>
        </x14:conditionalFormatting>
        <x14:conditionalFormatting xmlns:xm="http://schemas.microsoft.com/office/excel/2006/main">
          <x14:cfRule type="dataBar" id="{FAC583B2-04D9-4804-85BC-ABCE523F28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S250:S257</xm:sqref>
        </x14:conditionalFormatting>
        <x14:conditionalFormatting xmlns:xm="http://schemas.microsoft.com/office/excel/2006/main">
          <x14:cfRule type="dataBar" id="{8EAA18A3-403A-4A8B-AA4C-1DDAE18D93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H203:I203</xm:sqref>
        </x14:conditionalFormatting>
        <x14:conditionalFormatting xmlns:xm="http://schemas.microsoft.com/office/excel/2006/main">
          <x14:cfRule type="dataBar" id="{F4A9217A-D354-4C32-9512-8520A9CECA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N203</xm:sqref>
        </x14:conditionalFormatting>
        <x14:conditionalFormatting xmlns:xm="http://schemas.microsoft.com/office/excel/2006/main">
          <x14:cfRule type="dataBar" id="{2257486F-108D-436A-B2A3-99E62A6D83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R203</xm:sqref>
        </x14:conditionalFormatting>
        <x14:conditionalFormatting xmlns:xm="http://schemas.microsoft.com/office/excel/2006/main">
          <x14:cfRule type="dataBar" id="{B7B94B87-78D6-4F3E-A09C-58AB70E374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T203</xm:sqref>
        </x14:conditionalFormatting>
        <x14:conditionalFormatting xmlns:xm="http://schemas.microsoft.com/office/excel/2006/main">
          <x14:cfRule type="dataBar" id="{2662EDEB-EE74-4ED5-831B-9A7F180E6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V203</xm:sqref>
        </x14:conditionalFormatting>
        <x14:conditionalFormatting xmlns:xm="http://schemas.microsoft.com/office/excel/2006/main">
          <x14:cfRule type="dataBar" id="{F00622F2-138C-4177-9605-BADC44E4C3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X203</xm:sqref>
        </x14:conditionalFormatting>
        <x14:conditionalFormatting xmlns:xm="http://schemas.microsoft.com/office/excel/2006/main">
          <x14:cfRule type="dataBar" id="{453EDE2E-FD7C-49F1-997F-131CAAD191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Z203</xm:sqref>
        </x14:conditionalFormatting>
        <x14:conditionalFormatting xmlns:xm="http://schemas.microsoft.com/office/excel/2006/main">
          <x14:cfRule type="dataBar" id="{9ACB620D-8128-4CB4-A479-0146BD4060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AB203</xm:sqref>
        </x14:conditionalFormatting>
        <x14:conditionalFormatting xmlns:xm="http://schemas.microsoft.com/office/excel/2006/main">
          <x14:cfRule type="dataBar" id="{1FFAA901-4B08-4CF9-9048-5C32CE181C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AD203</xm:sqref>
        </x14:conditionalFormatting>
        <x14:conditionalFormatting xmlns:xm="http://schemas.microsoft.com/office/excel/2006/main">
          <x14:cfRule type="dataBar" id="{3766F4AE-7AB7-4DD6-A6B6-5EF19287A8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AF203</xm:sqref>
        </x14:conditionalFormatting>
        <x14:conditionalFormatting xmlns:xm="http://schemas.microsoft.com/office/excel/2006/main">
          <x14:cfRule type="dataBar" id="{D68AD4B5-403F-4021-A412-7964DF5513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AH203</xm:sqref>
        </x14:conditionalFormatting>
        <x14:conditionalFormatting xmlns:xm="http://schemas.microsoft.com/office/excel/2006/main">
          <x14:cfRule type="dataBar" id="{B254014C-4573-4620-92A2-C6BBAA7A7A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H258:I258</xm:sqref>
        </x14:conditionalFormatting>
        <x14:conditionalFormatting xmlns:xm="http://schemas.microsoft.com/office/excel/2006/main">
          <x14:cfRule type="dataBar" id="{E1CFF7BB-51D2-437C-8C5C-73B8313555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K258</xm:sqref>
        </x14:conditionalFormatting>
        <x14:conditionalFormatting xmlns:xm="http://schemas.microsoft.com/office/excel/2006/main">
          <x14:cfRule type="dataBar" id="{6415C3E5-568C-46B6-B156-ABC198B3BF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N258</xm:sqref>
        </x14:conditionalFormatting>
        <x14:conditionalFormatting xmlns:xm="http://schemas.microsoft.com/office/excel/2006/main">
          <x14:cfRule type="dataBar" id="{9160C30F-57F7-45D5-B20E-E99B04CFAE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P258:Q258</xm:sqref>
        </x14:conditionalFormatting>
        <x14:conditionalFormatting xmlns:xm="http://schemas.microsoft.com/office/excel/2006/main">
          <x14:cfRule type="dataBar" id="{0A51DB6C-77E5-46F7-93D8-B38F63BE99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S258</xm:sqref>
        </x14:conditionalFormatting>
        <x14:conditionalFormatting xmlns:xm="http://schemas.microsoft.com/office/excel/2006/main">
          <x14:cfRule type="dataBar" id="{9F2816D2-E163-4AC6-B7FD-D962208C5A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V155:V185 AN3:AN185 V3:V153 AB3:AB185 AH3:AH185 AT3:AT185</xm:sqref>
        </x14:conditionalFormatting>
        <x14:conditionalFormatting xmlns:xm="http://schemas.microsoft.com/office/excel/2006/main">
          <x14:cfRule type="dataBar" id="{2131F844-7E16-44F2-84F5-E80F625CF5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K195:K202</xm:sqref>
        </x14:conditionalFormatting>
        <x14:conditionalFormatting xmlns:xm="http://schemas.microsoft.com/office/excel/2006/main">
          <x14:cfRule type="dataBar" id="{BB8E98F2-A62C-4DB9-81EA-42A7850870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K203</xm:sqref>
        </x14:conditionalFormatting>
        <x14:conditionalFormatting xmlns:xm="http://schemas.microsoft.com/office/excel/2006/main">
          <x14:cfRule type="dataBar" id="{1E1CE3FE-D0D2-428E-BCE6-C08E2C7393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P195:P202</xm:sqref>
        </x14:conditionalFormatting>
        <x14:conditionalFormatting xmlns:xm="http://schemas.microsoft.com/office/excel/2006/main">
          <x14:cfRule type="dataBar" id="{F59C56FF-9CD7-426A-BCD1-88DADAF45B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P203</xm:sqref>
        </x14:conditionalFormatting>
        <x14:conditionalFormatting xmlns:xm="http://schemas.microsoft.com/office/excel/2006/main">
          <x14:cfRule type="dataBar" id="{B4D1537E-2DE4-4C1C-B17E-6D2845193E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V154</xm:sqref>
        </x14:conditionalFormatting>
        <x14:conditionalFormatting xmlns:xm="http://schemas.microsoft.com/office/excel/2006/main">
          <x14:cfRule type="dataBar" id="{C2C909F5-1CD0-472E-AB94-98477B1DFA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K3:K185</xm:sqref>
        </x14:conditionalFormatting>
        <x14:conditionalFormatting xmlns:xm="http://schemas.microsoft.com/office/excel/2006/main">
          <x14:cfRule type="dataBar" id="{6E8837C4-B498-4F78-B02E-E1E63CF17D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O2:O185</xm:sqref>
        </x14:conditionalFormatting>
        <x14:conditionalFormatting xmlns:xm="http://schemas.microsoft.com/office/excel/2006/main">
          <x14:cfRule type="dataBar" id="{1259ACD3-A2C8-42FD-884A-E034037BB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S3:S185 Y3:Y185 AE3:AE185 AK3:AK185 AQ3:AQ185</xm:sqref>
        </x14:conditionalFormatting>
        <x14:conditionalFormatting xmlns:xm="http://schemas.microsoft.com/office/excel/2006/main">
          <x14:cfRule type="dataBar" id="{1EB6F5ED-8CDF-4E9B-BADB-9FE1932FF3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AU3:AU185</xm:sqref>
        </x14:conditionalFormatting>
        <x14:conditionalFormatting xmlns:xm="http://schemas.microsoft.com/office/excel/2006/main">
          <x14:cfRule type="dataBar" id="{2FFF0DF5-B1D2-46C3-B3C2-FDF05D89A07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AV3:AV185</xm:sqref>
        </x14:conditionalFormatting>
        <x14:conditionalFormatting xmlns:xm="http://schemas.microsoft.com/office/excel/2006/main">
          <x14:cfRule type="dataBar" id="{7A6ED49F-FC02-48C5-B688-E18842E04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AB3:AB185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J47"/>
  <sheetViews>
    <sheetView rightToLeft="1" view="pageBreakPreview" zoomScaleNormal="100" zoomScaleSheetLayoutView="100" workbookViewId="0">
      <selection sqref="A1:J4"/>
    </sheetView>
  </sheetViews>
  <sheetFormatPr defaultRowHeight="15"/>
  <cols>
    <col min="1" max="1" width="15.42578125" customWidth="1"/>
    <col min="3" max="3" width="11.85546875" style="14" bestFit="1" customWidth="1"/>
    <col min="4" max="4" width="88.42578125" customWidth="1"/>
    <col min="5" max="5" width="14.85546875" customWidth="1"/>
    <col min="6" max="6" width="13.140625" style="16" bestFit="1" customWidth="1"/>
    <col min="7" max="7" width="9.140625" style="16"/>
    <col min="8" max="9" width="16.42578125" bestFit="1" customWidth="1"/>
    <col min="10" max="10" width="17.7109375" customWidth="1"/>
  </cols>
  <sheetData>
    <row r="1" spans="1:10" ht="29.25" customHeight="1">
      <c r="A1" s="732" t="s">
        <v>150</v>
      </c>
      <c r="B1" s="732"/>
      <c r="C1" s="732"/>
      <c r="D1" s="732"/>
      <c r="E1" s="732"/>
      <c r="F1" s="732"/>
      <c r="G1" s="732"/>
      <c r="H1" s="732"/>
      <c r="I1" s="732"/>
      <c r="J1" s="732"/>
    </row>
    <row r="2" spans="1:10" ht="29.25" customHeight="1">
      <c r="A2" s="732"/>
      <c r="B2" s="732"/>
      <c r="C2" s="732"/>
      <c r="D2" s="732"/>
      <c r="E2" s="732"/>
      <c r="F2" s="732"/>
      <c r="G2" s="732"/>
      <c r="H2" s="732"/>
      <c r="I2" s="732"/>
      <c r="J2" s="732"/>
    </row>
    <row r="3" spans="1:10" ht="29.25" customHeight="1">
      <c r="A3" s="732"/>
      <c r="B3" s="732"/>
      <c r="C3" s="732"/>
      <c r="D3" s="732"/>
      <c r="E3" s="732"/>
      <c r="F3" s="732"/>
      <c r="G3" s="732"/>
      <c r="H3" s="732"/>
      <c r="I3" s="732"/>
      <c r="J3" s="732"/>
    </row>
    <row r="4" spans="1:10" ht="29.25" customHeight="1">
      <c r="A4" s="732"/>
      <c r="B4" s="732"/>
      <c r="C4" s="732"/>
      <c r="D4" s="732"/>
      <c r="E4" s="732"/>
      <c r="F4" s="732"/>
      <c r="G4" s="732"/>
      <c r="H4" s="732"/>
      <c r="I4" s="732"/>
      <c r="J4" s="732"/>
    </row>
    <row r="5" spans="1:10" ht="45.75" thickBot="1">
      <c r="A5" s="21" t="s">
        <v>47</v>
      </c>
      <c r="B5" s="9" t="s">
        <v>46</v>
      </c>
      <c r="C5" s="10" t="s">
        <v>41</v>
      </c>
      <c r="D5" s="7" t="s">
        <v>2</v>
      </c>
      <c r="E5" s="18" t="s">
        <v>50</v>
      </c>
      <c r="F5" s="18" t="s">
        <v>45</v>
      </c>
      <c r="G5" s="18" t="s">
        <v>62</v>
      </c>
      <c r="H5" s="8" t="s">
        <v>0</v>
      </c>
      <c r="I5" s="8" t="s">
        <v>1</v>
      </c>
      <c r="J5" s="22" t="s">
        <v>43</v>
      </c>
    </row>
    <row r="6" spans="1:10" ht="16.5" thickTop="1">
      <c r="A6" s="23">
        <v>42736</v>
      </c>
      <c r="B6" s="6">
        <v>1</v>
      </c>
      <c r="C6" s="11" t="s">
        <v>42</v>
      </c>
      <c r="D6" s="1" t="s">
        <v>3</v>
      </c>
      <c r="E6" s="30"/>
      <c r="F6" s="19"/>
      <c r="G6" s="41"/>
      <c r="H6" s="28">
        <v>419311</v>
      </c>
      <c r="I6" s="28"/>
      <c r="J6" s="24">
        <f>H6</f>
        <v>419311</v>
      </c>
    </row>
    <row r="7" spans="1:10" ht="15.75">
      <c r="A7" s="23">
        <v>42737</v>
      </c>
      <c r="B7" s="6">
        <v>1</v>
      </c>
      <c r="C7" s="12" t="s">
        <v>140</v>
      </c>
      <c r="D7" s="1" t="s">
        <v>4</v>
      </c>
      <c r="E7" s="31">
        <v>10340</v>
      </c>
      <c r="F7" s="12" t="s">
        <v>67</v>
      </c>
      <c r="G7" s="42"/>
      <c r="H7" s="28">
        <v>97200</v>
      </c>
      <c r="I7" s="28"/>
      <c r="J7" s="24">
        <f t="shared" ref="J7:J42" si="0">J6+H7-I7</f>
        <v>516511</v>
      </c>
    </row>
    <row r="8" spans="1:10" ht="15.75">
      <c r="A8" s="23">
        <v>42751</v>
      </c>
      <c r="B8" s="6">
        <v>1</v>
      </c>
      <c r="C8" s="12" t="s">
        <v>144</v>
      </c>
      <c r="D8" s="1" t="s">
        <v>5</v>
      </c>
      <c r="E8" s="31">
        <v>10320</v>
      </c>
      <c r="F8" s="12" t="s">
        <v>68</v>
      </c>
      <c r="G8" s="42" t="s">
        <v>64</v>
      </c>
      <c r="H8" s="28">
        <v>2000</v>
      </c>
      <c r="I8" s="28"/>
      <c r="J8" s="24">
        <f t="shared" si="0"/>
        <v>518511</v>
      </c>
    </row>
    <row r="9" spans="1:10" ht="15.75">
      <c r="A9" s="23">
        <v>42754</v>
      </c>
      <c r="B9" s="6">
        <v>1</v>
      </c>
      <c r="C9" s="12" t="s">
        <v>53</v>
      </c>
      <c r="D9" s="1" t="s">
        <v>6</v>
      </c>
      <c r="E9" s="31">
        <v>76</v>
      </c>
      <c r="F9" s="12" t="s">
        <v>44</v>
      </c>
      <c r="G9" s="42"/>
      <c r="H9" s="28">
        <v>60000</v>
      </c>
      <c r="I9" s="28"/>
      <c r="J9" s="24">
        <f t="shared" si="0"/>
        <v>578511</v>
      </c>
    </row>
    <row r="10" spans="1:10" ht="15.75">
      <c r="A10" s="23">
        <v>42771</v>
      </c>
      <c r="B10" s="6">
        <v>2</v>
      </c>
      <c r="C10" s="12" t="s">
        <v>140</v>
      </c>
      <c r="D10" s="1" t="s">
        <v>7</v>
      </c>
      <c r="E10" s="31">
        <v>10313</v>
      </c>
      <c r="F10" s="12" t="s">
        <v>67</v>
      </c>
      <c r="G10" s="42"/>
      <c r="H10" s="28">
        <v>8000</v>
      </c>
      <c r="I10" s="28"/>
      <c r="J10" s="24">
        <f t="shared" si="0"/>
        <v>586511</v>
      </c>
    </row>
    <row r="11" spans="1:10" ht="15.75">
      <c r="A11" s="23">
        <v>42779</v>
      </c>
      <c r="B11" s="6">
        <v>2</v>
      </c>
      <c r="C11" s="12" t="s">
        <v>65</v>
      </c>
      <c r="D11" s="1" t="s">
        <v>8</v>
      </c>
      <c r="E11" s="31">
        <v>69</v>
      </c>
      <c r="F11" s="12" t="s">
        <v>60</v>
      </c>
      <c r="G11" s="42" t="s">
        <v>64</v>
      </c>
      <c r="H11" s="28">
        <v>3050</v>
      </c>
      <c r="I11" s="28"/>
      <c r="J11" s="24">
        <f t="shared" si="0"/>
        <v>589561</v>
      </c>
    </row>
    <row r="12" spans="1:10" ht="15.75">
      <c r="A12" s="23">
        <v>42779</v>
      </c>
      <c r="B12" s="6">
        <v>2</v>
      </c>
      <c r="C12" s="12" t="s">
        <v>49</v>
      </c>
      <c r="D12" s="1" t="s">
        <v>9</v>
      </c>
      <c r="E12" s="31">
        <v>271</v>
      </c>
      <c r="F12" s="12" t="s">
        <v>48</v>
      </c>
      <c r="G12" s="42"/>
      <c r="H12" s="28"/>
      <c r="I12" s="28">
        <v>190000</v>
      </c>
      <c r="J12" s="24">
        <f t="shared" si="0"/>
        <v>399561</v>
      </c>
    </row>
    <row r="13" spans="1:10" ht="15.75">
      <c r="A13" s="23">
        <v>42789</v>
      </c>
      <c r="B13" s="6">
        <v>2</v>
      </c>
      <c r="C13" s="12" t="s">
        <v>54</v>
      </c>
      <c r="D13" s="1" t="s">
        <v>10</v>
      </c>
      <c r="E13" s="31">
        <v>272</v>
      </c>
      <c r="F13" s="12" t="s">
        <v>48</v>
      </c>
      <c r="G13" s="42"/>
      <c r="H13" s="28"/>
      <c r="I13" s="28">
        <v>200000</v>
      </c>
      <c r="J13" s="24">
        <f t="shared" si="0"/>
        <v>199561</v>
      </c>
    </row>
    <row r="14" spans="1:10" ht="15.75">
      <c r="A14" s="23">
        <v>42825</v>
      </c>
      <c r="B14" s="6">
        <v>3</v>
      </c>
      <c r="C14" s="12" t="s">
        <v>65</v>
      </c>
      <c r="D14" s="1" t="s">
        <v>11</v>
      </c>
      <c r="E14" s="31">
        <v>67</v>
      </c>
      <c r="F14" s="12" t="s">
        <v>60</v>
      </c>
      <c r="G14" s="42" t="s">
        <v>64</v>
      </c>
      <c r="H14" s="28">
        <v>2600</v>
      </c>
      <c r="I14" s="28"/>
      <c r="J14" s="24">
        <f t="shared" si="0"/>
        <v>202161</v>
      </c>
    </row>
    <row r="15" spans="1:10" ht="15.75">
      <c r="A15" s="23">
        <v>42831</v>
      </c>
      <c r="B15" s="6">
        <v>4</v>
      </c>
      <c r="C15" s="12" t="s">
        <v>140</v>
      </c>
      <c r="D15" s="1" t="s">
        <v>12</v>
      </c>
      <c r="E15" s="31">
        <v>94</v>
      </c>
      <c r="F15" s="12" t="s">
        <v>67</v>
      </c>
      <c r="G15" s="42"/>
      <c r="H15" s="28">
        <v>522000</v>
      </c>
      <c r="I15" s="28"/>
      <c r="J15" s="24">
        <f t="shared" si="0"/>
        <v>724161</v>
      </c>
    </row>
    <row r="16" spans="1:10" ht="15.75">
      <c r="A16" s="23">
        <v>42843</v>
      </c>
      <c r="B16" s="6">
        <v>4</v>
      </c>
      <c r="C16" s="12" t="s">
        <v>55</v>
      </c>
      <c r="D16" s="1" t="s">
        <v>52</v>
      </c>
      <c r="E16" s="31">
        <v>288</v>
      </c>
      <c r="F16" s="12" t="s">
        <v>48</v>
      </c>
      <c r="G16" s="42"/>
      <c r="H16" s="28">
        <v>287500</v>
      </c>
      <c r="I16" s="28"/>
      <c r="J16" s="24">
        <f t="shared" si="0"/>
        <v>1011661</v>
      </c>
    </row>
    <row r="17" spans="1:10" ht="15.75">
      <c r="A17" s="23">
        <v>42843</v>
      </c>
      <c r="B17" s="6">
        <v>4</v>
      </c>
      <c r="C17" s="12" t="s">
        <v>66</v>
      </c>
      <c r="D17" s="1" t="s">
        <v>13</v>
      </c>
      <c r="E17" s="31">
        <v>280</v>
      </c>
      <c r="F17" s="12" t="s">
        <v>48</v>
      </c>
      <c r="G17" s="42"/>
      <c r="H17" s="28"/>
      <c r="I17" s="28">
        <v>100000</v>
      </c>
      <c r="J17" s="24">
        <f t="shared" si="0"/>
        <v>911661</v>
      </c>
    </row>
    <row r="18" spans="1:10" ht="15.75">
      <c r="A18" s="23">
        <v>42843</v>
      </c>
      <c r="B18" s="6">
        <v>4</v>
      </c>
      <c r="C18" s="12" t="s">
        <v>66</v>
      </c>
      <c r="D18" s="1" t="s">
        <v>14</v>
      </c>
      <c r="E18" s="31">
        <v>281</v>
      </c>
      <c r="F18" s="12" t="s">
        <v>48</v>
      </c>
      <c r="G18" s="42"/>
      <c r="H18" s="28"/>
      <c r="I18" s="28">
        <v>78830</v>
      </c>
      <c r="J18" s="24">
        <f t="shared" si="0"/>
        <v>832831</v>
      </c>
    </row>
    <row r="19" spans="1:10" ht="15.75">
      <c r="A19" s="23">
        <v>42843</v>
      </c>
      <c r="B19" s="6">
        <v>4</v>
      </c>
      <c r="C19" s="12" t="s">
        <v>66</v>
      </c>
      <c r="D19" s="1" t="s">
        <v>15</v>
      </c>
      <c r="E19" s="31">
        <v>279</v>
      </c>
      <c r="F19" s="12" t="s">
        <v>48</v>
      </c>
      <c r="G19" s="42"/>
      <c r="H19" s="28"/>
      <c r="I19" s="28">
        <v>50000</v>
      </c>
      <c r="J19" s="24">
        <f t="shared" si="0"/>
        <v>782831</v>
      </c>
    </row>
    <row r="20" spans="1:10" ht="15.75">
      <c r="A20" s="23">
        <v>42855</v>
      </c>
      <c r="B20" s="6">
        <v>4</v>
      </c>
      <c r="C20" s="12" t="s">
        <v>65</v>
      </c>
      <c r="D20" s="1" t="s">
        <v>16</v>
      </c>
      <c r="E20" s="31" t="s">
        <v>61</v>
      </c>
      <c r="F20" s="12" t="s">
        <v>60</v>
      </c>
      <c r="G20" s="42" t="s">
        <v>64</v>
      </c>
      <c r="H20" s="28">
        <v>12250</v>
      </c>
      <c r="I20" s="28"/>
      <c r="J20" s="24">
        <f t="shared" si="0"/>
        <v>795081</v>
      </c>
    </row>
    <row r="21" spans="1:10" ht="15.75">
      <c r="A21" s="23">
        <v>42870</v>
      </c>
      <c r="B21" s="6">
        <v>5</v>
      </c>
      <c r="C21" s="12" t="s">
        <v>144</v>
      </c>
      <c r="D21" s="1" t="s">
        <v>17</v>
      </c>
      <c r="E21" s="31">
        <v>2705</v>
      </c>
      <c r="F21" s="12" t="s">
        <v>69</v>
      </c>
      <c r="G21" s="42" t="s">
        <v>64</v>
      </c>
      <c r="H21" s="28">
        <v>311</v>
      </c>
      <c r="I21" s="28"/>
      <c r="J21" s="24">
        <f t="shared" si="0"/>
        <v>795392</v>
      </c>
    </row>
    <row r="22" spans="1:10" ht="15.75">
      <c r="A22" s="23">
        <v>42880</v>
      </c>
      <c r="B22" s="6">
        <v>5</v>
      </c>
      <c r="C22" s="12" t="s">
        <v>140</v>
      </c>
      <c r="D22" s="1" t="s">
        <v>18</v>
      </c>
      <c r="E22" s="31">
        <v>10400</v>
      </c>
      <c r="F22" s="12" t="s">
        <v>67</v>
      </c>
      <c r="G22" s="42"/>
      <c r="H22" s="28">
        <v>85000</v>
      </c>
      <c r="I22" s="28"/>
      <c r="J22" s="24">
        <f t="shared" si="0"/>
        <v>880392</v>
      </c>
    </row>
    <row r="23" spans="1:10" ht="15.75">
      <c r="A23" s="23">
        <v>42891</v>
      </c>
      <c r="B23" s="6">
        <v>6</v>
      </c>
      <c r="C23" s="12" t="s">
        <v>140</v>
      </c>
      <c r="D23" s="1" t="s">
        <v>19</v>
      </c>
      <c r="E23" s="31">
        <v>10337</v>
      </c>
      <c r="F23" s="12" t="s">
        <v>67</v>
      </c>
      <c r="G23" s="42"/>
      <c r="H23" s="28">
        <v>65000</v>
      </c>
      <c r="I23" s="28"/>
      <c r="J23" s="24">
        <f t="shared" si="0"/>
        <v>945392</v>
      </c>
    </row>
    <row r="24" spans="1:10" ht="15.75">
      <c r="A24" s="23">
        <v>42901</v>
      </c>
      <c r="B24" s="6">
        <v>6</v>
      </c>
      <c r="C24" s="12" t="s">
        <v>144</v>
      </c>
      <c r="D24" s="1" t="s">
        <v>20</v>
      </c>
      <c r="E24" s="31" t="s">
        <v>141</v>
      </c>
      <c r="F24" s="12" t="s">
        <v>70</v>
      </c>
      <c r="G24" s="42" t="s">
        <v>64</v>
      </c>
      <c r="H24" s="28">
        <v>1003</v>
      </c>
      <c r="I24" s="28"/>
      <c r="J24" s="24">
        <f t="shared" si="0"/>
        <v>946395</v>
      </c>
    </row>
    <row r="25" spans="1:10" ht="15.75">
      <c r="A25" s="23">
        <v>42916</v>
      </c>
      <c r="B25" s="6">
        <v>6</v>
      </c>
      <c r="C25" s="12" t="s">
        <v>65</v>
      </c>
      <c r="D25" s="1" t="s">
        <v>21</v>
      </c>
      <c r="E25" s="31">
        <v>209</v>
      </c>
      <c r="F25" s="12" t="s">
        <v>60</v>
      </c>
      <c r="G25" s="42" t="s">
        <v>64</v>
      </c>
      <c r="H25" s="28">
        <v>7300</v>
      </c>
      <c r="I25" s="28"/>
      <c r="J25" s="24">
        <f t="shared" si="0"/>
        <v>953695</v>
      </c>
    </row>
    <row r="26" spans="1:10" ht="15.75">
      <c r="A26" s="35">
        <v>42934</v>
      </c>
      <c r="B26" s="36">
        <v>7</v>
      </c>
      <c r="C26" s="12" t="s">
        <v>59</v>
      </c>
      <c r="D26" s="37" t="s">
        <v>58</v>
      </c>
      <c r="E26" s="31">
        <v>209</v>
      </c>
      <c r="F26" s="12" t="s">
        <v>48</v>
      </c>
      <c r="G26" s="42"/>
      <c r="H26" s="28"/>
      <c r="I26" s="28">
        <v>20000</v>
      </c>
      <c r="J26" s="38">
        <f t="shared" si="0"/>
        <v>933695</v>
      </c>
    </row>
    <row r="27" spans="1:10" ht="15.75">
      <c r="A27" s="23">
        <v>42939</v>
      </c>
      <c r="B27" s="6">
        <v>7</v>
      </c>
      <c r="C27" s="12" t="s">
        <v>55</v>
      </c>
      <c r="D27" s="1" t="s">
        <v>22</v>
      </c>
      <c r="E27" s="31" t="s">
        <v>51</v>
      </c>
      <c r="F27" s="12" t="s">
        <v>48</v>
      </c>
      <c r="G27" s="42"/>
      <c r="H27" s="28"/>
      <c r="I27" s="28">
        <v>340000</v>
      </c>
      <c r="J27" s="24">
        <f t="shared" si="0"/>
        <v>593695</v>
      </c>
    </row>
    <row r="28" spans="1:10" ht="15.75">
      <c r="A28" s="23">
        <v>42946</v>
      </c>
      <c r="B28" s="6">
        <v>7</v>
      </c>
      <c r="C28" s="12" t="s">
        <v>144</v>
      </c>
      <c r="D28" s="1" t="s">
        <v>23</v>
      </c>
      <c r="E28" s="31">
        <v>2919</v>
      </c>
      <c r="F28" s="12" t="s">
        <v>70</v>
      </c>
      <c r="G28" s="42" t="s">
        <v>64</v>
      </c>
      <c r="H28" s="28">
        <v>222</v>
      </c>
      <c r="I28" s="28"/>
      <c r="J28" s="38">
        <f t="shared" si="0"/>
        <v>593917</v>
      </c>
    </row>
    <row r="29" spans="1:10" ht="15.75">
      <c r="A29" s="23">
        <v>42947</v>
      </c>
      <c r="B29" s="6">
        <v>7</v>
      </c>
      <c r="C29" s="12" t="s">
        <v>65</v>
      </c>
      <c r="D29" s="1" t="s">
        <v>24</v>
      </c>
      <c r="E29" s="31">
        <v>258</v>
      </c>
      <c r="F29" s="12" t="s">
        <v>60</v>
      </c>
      <c r="G29" s="42" t="s">
        <v>64</v>
      </c>
      <c r="H29" s="28">
        <v>2600</v>
      </c>
      <c r="I29" s="28"/>
      <c r="J29" s="24">
        <f t="shared" si="0"/>
        <v>596517</v>
      </c>
    </row>
    <row r="30" spans="1:10" ht="15.75">
      <c r="A30" s="46"/>
      <c r="B30" s="47">
        <v>10</v>
      </c>
      <c r="C30" s="12" t="s">
        <v>149</v>
      </c>
      <c r="D30" s="49" t="s">
        <v>148</v>
      </c>
      <c r="E30" s="31" t="s">
        <v>147</v>
      </c>
      <c r="F30" s="12" t="s">
        <v>48</v>
      </c>
      <c r="G30" s="50"/>
      <c r="H30" s="51"/>
      <c r="I30" s="51">
        <v>7833</v>
      </c>
      <c r="J30" s="52">
        <f>J29+H30-I30</f>
        <v>588684</v>
      </c>
    </row>
    <row r="31" spans="1:10" ht="15.75">
      <c r="A31" s="23">
        <v>42978</v>
      </c>
      <c r="B31" s="6">
        <v>8</v>
      </c>
      <c r="C31" s="12" t="s">
        <v>65</v>
      </c>
      <c r="D31" s="1" t="s">
        <v>25</v>
      </c>
      <c r="E31" s="31">
        <v>279</v>
      </c>
      <c r="F31" s="12" t="s">
        <v>60</v>
      </c>
      <c r="G31" s="42" t="s">
        <v>64</v>
      </c>
      <c r="H31" s="28">
        <v>7400</v>
      </c>
      <c r="I31" s="28"/>
      <c r="J31" s="52">
        <f>J30+H31-I31</f>
        <v>596084</v>
      </c>
    </row>
    <row r="32" spans="1:10" ht="15.75">
      <c r="A32" s="23">
        <v>42996</v>
      </c>
      <c r="B32" s="6">
        <v>9</v>
      </c>
      <c r="C32" s="12" t="s">
        <v>56</v>
      </c>
      <c r="D32" s="1" t="s">
        <v>26</v>
      </c>
      <c r="E32" s="31">
        <v>352</v>
      </c>
      <c r="F32" s="12" t="s">
        <v>48</v>
      </c>
      <c r="G32" s="42"/>
      <c r="H32" s="28"/>
      <c r="I32" s="28">
        <v>195000</v>
      </c>
      <c r="J32" s="24">
        <f t="shared" si="0"/>
        <v>401084</v>
      </c>
    </row>
    <row r="33" spans="1:10" ht="15.75">
      <c r="A33" s="23">
        <v>43012</v>
      </c>
      <c r="B33" s="6">
        <v>10</v>
      </c>
      <c r="C33" s="12" t="s">
        <v>57</v>
      </c>
      <c r="D33" s="1" t="s">
        <v>27</v>
      </c>
      <c r="E33" s="31">
        <v>301</v>
      </c>
      <c r="F33" s="12" t="s">
        <v>48</v>
      </c>
      <c r="G33" s="42"/>
      <c r="H33" s="28"/>
      <c r="I33" s="28">
        <v>200000</v>
      </c>
      <c r="J33" s="24">
        <f t="shared" si="0"/>
        <v>201084</v>
      </c>
    </row>
    <row r="34" spans="1:10" ht="15.75">
      <c r="A34" s="46"/>
      <c r="B34" s="47">
        <v>10</v>
      </c>
      <c r="C34" s="48" t="s">
        <v>145</v>
      </c>
      <c r="D34" s="49" t="s">
        <v>146</v>
      </c>
      <c r="E34" s="31">
        <v>1783</v>
      </c>
      <c r="F34" s="12" t="s">
        <v>48</v>
      </c>
      <c r="G34" s="50"/>
      <c r="H34" s="28"/>
      <c r="I34" s="51">
        <v>3000</v>
      </c>
      <c r="J34" s="24">
        <f t="shared" si="0"/>
        <v>198084</v>
      </c>
    </row>
    <row r="35" spans="1:10" ht="15.75">
      <c r="A35" s="23">
        <v>43019</v>
      </c>
      <c r="B35" s="6">
        <v>10</v>
      </c>
      <c r="C35" s="12" t="s">
        <v>65</v>
      </c>
      <c r="D35" s="1" t="s">
        <v>28</v>
      </c>
      <c r="E35" s="31">
        <v>727</v>
      </c>
      <c r="F35" s="12" t="s">
        <v>60</v>
      </c>
      <c r="G35" s="42" t="s">
        <v>64</v>
      </c>
      <c r="H35" s="28">
        <v>8500</v>
      </c>
      <c r="I35" s="28"/>
      <c r="J35" s="24">
        <f t="shared" si="0"/>
        <v>206584</v>
      </c>
    </row>
    <row r="36" spans="1:10" ht="15.75">
      <c r="A36" s="23">
        <v>43026</v>
      </c>
      <c r="B36" s="6">
        <v>10</v>
      </c>
      <c r="C36" s="12" t="s">
        <v>144</v>
      </c>
      <c r="D36" s="1" t="s">
        <v>29</v>
      </c>
      <c r="E36" s="31"/>
      <c r="F36" s="12" t="s">
        <v>71</v>
      </c>
      <c r="G36" s="42" t="s">
        <v>64</v>
      </c>
      <c r="H36" s="28">
        <v>9180</v>
      </c>
      <c r="I36" s="28"/>
      <c r="J36" s="24">
        <f t="shared" si="0"/>
        <v>215764</v>
      </c>
    </row>
    <row r="37" spans="1:10" ht="15.75">
      <c r="A37" s="23">
        <v>43027</v>
      </c>
      <c r="B37" s="6">
        <v>10</v>
      </c>
      <c r="C37" s="12" t="s">
        <v>144</v>
      </c>
      <c r="D37" s="1" t="s">
        <v>30</v>
      </c>
      <c r="E37" s="31"/>
      <c r="F37" s="12" t="s">
        <v>71</v>
      </c>
      <c r="G37" s="42" t="s">
        <v>64</v>
      </c>
      <c r="H37" s="28">
        <v>9180</v>
      </c>
      <c r="I37" s="28"/>
      <c r="J37" s="24">
        <f t="shared" si="0"/>
        <v>224944</v>
      </c>
    </row>
    <row r="38" spans="1:10" ht="15.75">
      <c r="A38" s="23">
        <v>43039</v>
      </c>
      <c r="B38" s="6">
        <v>10</v>
      </c>
      <c r="C38" s="12" t="s">
        <v>144</v>
      </c>
      <c r="D38" s="1" t="s">
        <v>31</v>
      </c>
      <c r="E38" s="31" t="s">
        <v>142</v>
      </c>
      <c r="F38" s="12" t="s">
        <v>70</v>
      </c>
      <c r="G38" s="42" t="s">
        <v>64</v>
      </c>
      <c r="H38" s="28">
        <v>133</v>
      </c>
      <c r="I38" s="28"/>
      <c r="J38" s="24">
        <f t="shared" si="0"/>
        <v>225077</v>
      </c>
    </row>
    <row r="39" spans="1:10" ht="15.75">
      <c r="A39" s="23">
        <v>43069</v>
      </c>
      <c r="B39" s="6">
        <v>11</v>
      </c>
      <c r="C39" s="12" t="s">
        <v>144</v>
      </c>
      <c r="D39" s="1" t="s">
        <v>32</v>
      </c>
      <c r="E39" s="31" t="s">
        <v>143</v>
      </c>
      <c r="F39" s="12" t="s">
        <v>70</v>
      </c>
      <c r="G39" s="42" t="s">
        <v>64</v>
      </c>
      <c r="H39" s="28">
        <v>945</v>
      </c>
      <c r="I39" s="28"/>
      <c r="J39" s="24">
        <f t="shared" si="0"/>
        <v>226022</v>
      </c>
    </row>
    <row r="40" spans="1:10" ht="15.75">
      <c r="A40" s="23">
        <v>43090</v>
      </c>
      <c r="B40" s="6">
        <v>2</v>
      </c>
      <c r="C40" s="12" t="s">
        <v>144</v>
      </c>
      <c r="D40" s="1" t="s">
        <v>33</v>
      </c>
      <c r="E40" s="32">
        <v>4970</v>
      </c>
      <c r="F40" s="12" t="s">
        <v>70</v>
      </c>
      <c r="G40" s="42" t="s">
        <v>64</v>
      </c>
      <c r="H40" s="28">
        <v>2847</v>
      </c>
      <c r="I40" s="28"/>
      <c r="J40" s="24">
        <f t="shared" si="0"/>
        <v>228869</v>
      </c>
    </row>
    <row r="41" spans="1:10" ht="15.75">
      <c r="A41" s="23">
        <v>43097</v>
      </c>
      <c r="B41" s="6">
        <v>12</v>
      </c>
      <c r="C41" s="12" t="s">
        <v>144</v>
      </c>
      <c r="D41" s="1" t="s">
        <v>34</v>
      </c>
      <c r="E41" s="33">
        <v>10406</v>
      </c>
      <c r="F41" s="17" t="s">
        <v>67</v>
      </c>
      <c r="G41" s="43"/>
      <c r="H41" s="28">
        <v>1380000</v>
      </c>
      <c r="I41" s="28"/>
      <c r="J41" s="24">
        <f t="shared" si="0"/>
        <v>1608869</v>
      </c>
    </row>
    <row r="42" spans="1:10" ht="15.75">
      <c r="A42" s="23">
        <v>43100</v>
      </c>
      <c r="B42" s="6">
        <v>12</v>
      </c>
      <c r="C42" s="12" t="s">
        <v>65</v>
      </c>
      <c r="D42" s="2" t="s">
        <v>35</v>
      </c>
      <c r="E42" s="34">
        <v>838</v>
      </c>
      <c r="F42" s="25" t="s">
        <v>60</v>
      </c>
      <c r="G42" s="43" t="s">
        <v>63</v>
      </c>
      <c r="H42" s="29">
        <v>5660</v>
      </c>
      <c r="I42" s="29"/>
      <c r="J42" s="26">
        <f t="shared" si="0"/>
        <v>1614529</v>
      </c>
    </row>
    <row r="43" spans="1:10" ht="24" thickBot="1">
      <c r="A43" s="787" t="s">
        <v>36</v>
      </c>
      <c r="B43" s="788"/>
      <c r="C43" s="788"/>
      <c r="D43" s="788"/>
      <c r="E43" s="788"/>
      <c r="F43" s="789"/>
      <c r="G43" s="44"/>
      <c r="H43" s="27">
        <f>SUBTOTAL(9,H6:H42)</f>
        <v>2999192</v>
      </c>
      <c r="I43" s="27">
        <f>SUBTOTAL(9,I6:I42)</f>
        <v>1384663</v>
      </c>
      <c r="J43" s="20"/>
    </row>
    <row r="44" spans="1:10" ht="22.5" thickTop="1" thickBot="1">
      <c r="A44" s="736" t="s">
        <v>37</v>
      </c>
      <c r="B44" s="736"/>
      <c r="C44" s="736"/>
      <c r="D44" s="736"/>
      <c r="E44" s="736"/>
      <c r="F44" s="736"/>
      <c r="G44" s="45"/>
      <c r="H44" s="39">
        <f>IF(H43&gt;I43,H43-I43,0)</f>
        <v>1614529</v>
      </c>
      <c r="I44" s="40">
        <f>IF(I43&gt;H43,I43-H43,0)</f>
        <v>0</v>
      </c>
      <c r="J44" s="40"/>
    </row>
    <row r="45" spans="1:10" ht="24" thickTop="1">
      <c r="A45" s="5"/>
      <c r="I45" s="3"/>
      <c r="J45" s="3"/>
    </row>
    <row r="46" spans="1:10" ht="23.25">
      <c r="A46" s="737" t="s">
        <v>38</v>
      </c>
      <c r="B46" s="737"/>
      <c r="C46" s="737"/>
      <c r="D46" s="4" t="s">
        <v>39</v>
      </c>
      <c r="E46" s="738" t="s">
        <v>40</v>
      </c>
      <c r="F46" s="738"/>
      <c r="G46" s="738"/>
      <c r="H46" s="738"/>
      <c r="I46" s="738"/>
      <c r="J46" s="738"/>
    </row>
    <row r="47" spans="1:10" ht="15.75">
      <c r="C47" s="13"/>
      <c r="F47" s="15"/>
      <c r="G47" s="15"/>
    </row>
  </sheetData>
  <mergeCells count="5">
    <mergeCell ref="A43:F43"/>
    <mergeCell ref="A44:F44"/>
    <mergeCell ref="A1:J4"/>
    <mergeCell ref="E46:J46"/>
    <mergeCell ref="A46:C46"/>
  </mergeCells>
  <printOptions horizontalCentered="1"/>
  <pageMargins left="0" right="0" top="0.35433070866141736" bottom="0.55118110236220474" header="0.31496062992125984" footer="0.31496062992125984"/>
  <pageSetup paperSize="9" scale="64" orientation="landscape" r:id="rId1"/>
  <ignoredErrors>
    <ignoredError sqref="J6" calculatedColumn="1"/>
    <ignoredError sqref="E27" numberStoredAsText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مصنع وسائط النقل</vt:lpstr>
      <vt:lpstr>حساب الشركة السعودية للتموين ال</vt:lpstr>
      <vt:lpstr>كشف حساب المهندس  محمد ربيع ذكي</vt:lpstr>
      <vt:lpstr>مطابقة حساب أبو نايف 2017 </vt:lpstr>
      <vt:lpstr>أرقام حسابات البنوك</vt:lpstr>
      <vt:lpstr>أصول 2017</vt:lpstr>
      <vt:lpstr>حساب بنك الراجحي مؤسسة 625 </vt:lpstr>
      <vt:lpstr>رواتب الرسين 2017</vt:lpstr>
      <vt:lpstr>كشف حساب القطاع التجاري</vt:lpstr>
      <vt:lpstr>كشف حساب شركة الفهاد</vt:lpstr>
      <vt:lpstr>تحليل حساب الفهاد</vt:lpstr>
      <vt:lpstr>جرد الرسين معدات</vt:lpstr>
      <vt:lpstr>دليل الحسابات المقترح</vt:lpstr>
      <vt:lpstr>مهم جداااا</vt:lpstr>
      <vt:lpstr>'أصول 2017'!Print_Area</vt:lpstr>
      <vt:lpstr>'حساب بنك الراجحي مؤسسة 625 '!Print_Area</vt:lpstr>
      <vt:lpstr>'رواتب الرسين 2017'!Print_Area</vt:lpstr>
      <vt:lpstr>'كشف حساب المهندس  محمد ربيع ذكي'!Print_Area</vt:lpstr>
      <vt:lpstr>'كشف حساب شركة الفهاد'!Print_Area</vt:lpstr>
      <vt:lpstr>'مصنع وسائط النقل'!Print_Area</vt:lpstr>
      <vt:lpstr>'مطابقة حساب أبو نايف 2017 '!Print_Area</vt:lpstr>
      <vt:lpstr>'أصول 2017'!Print_Titles</vt:lpstr>
      <vt:lpstr>'حساب الشركة السعودية للتموين ال'!Print_Titles</vt:lpstr>
      <vt:lpstr>'حساب بنك الراجحي مؤسسة 625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Mohammed Abo Gamil Al Tohami - احمد التهامي</dc:creator>
  <cp:lastModifiedBy>M07AMED MAHDI</cp:lastModifiedBy>
  <cp:lastPrinted>2018-04-04T12:18:22Z</cp:lastPrinted>
  <dcterms:created xsi:type="dcterms:W3CDTF">2018-02-27T08:37:45Z</dcterms:created>
  <dcterms:modified xsi:type="dcterms:W3CDTF">2018-04-04T12:29:15Z</dcterms:modified>
</cp:coreProperties>
</file>