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3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4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145\Desktop\"/>
    </mc:Choice>
  </mc:AlternateContent>
  <xr:revisionPtr revIDLastSave="0" documentId="8_{B6D9F772-6F79-4C86-BE4F-29AFD2439DCC}" xr6:coauthVersionLast="47" xr6:coauthVersionMax="47" xr10:uidLastSave="{00000000-0000-0000-0000-000000000000}"/>
  <bookViews>
    <workbookView xWindow="-110" yWindow="-110" windowWidth="25820" windowHeight="13900" xr2:uid="{190524D8-7CD6-460D-89A1-4F72678233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P10" i="1"/>
  <c r="Q10" i="1"/>
  <c r="R10" i="1"/>
  <c r="O10" i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Q17" i="1"/>
  <c r="R17" i="1"/>
  <c r="P17" i="1"/>
  <c r="R16" i="1"/>
  <c r="Q16" i="1"/>
  <c r="N9" i="1"/>
  <c r="O9" i="1"/>
  <c r="D9" i="1"/>
  <c r="P6" i="1"/>
  <c r="P9" i="1" s="1"/>
  <c r="Q6" i="1"/>
  <c r="Q9" i="1" s="1"/>
  <c r="R6" i="1"/>
  <c r="R9" i="1" s="1"/>
  <c r="E6" i="1"/>
  <c r="E9" i="1" s="1"/>
  <c r="F6" i="1"/>
  <c r="F9" i="1" s="1"/>
  <c r="G6" i="1"/>
  <c r="G9" i="1" s="1"/>
  <c r="H6" i="1"/>
  <c r="H9" i="1" s="1"/>
  <c r="I6" i="1"/>
  <c r="I9" i="1" s="1"/>
  <c r="J6" i="1"/>
  <c r="J9" i="1" s="1"/>
  <c r="K6" i="1"/>
  <c r="K9" i="1" s="1"/>
  <c r="L6" i="1"/>
  <c r="L9" i="1" s="1"/>
  <c r="M6" i="1"/>
  <c r="M9" i="1" s="1"/>
  <c r="N6" i="1"/>
  <c r="O6" i="1"/>
  <c r="D6" i="1"/>
  <c r="M28" i="1" l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E2" i="1"/>
</calcChain>
</file>

<file path=xl/sharedStrings.xml><?xml version="1.0" encoding="utf-8"?>
<sst xmlns="http://schemas.openxmlformats.org/spreadsheetml/2006/main" count="40" uniqueCount="40">
  <si>
    <t>بهار 99</t>
  </si>
  <si>
    <t>تابستان 99</t>
  </si>
  <si>
    <t>پاییز 99</t>
  </si>
  <si>
    <t>زمستان 99</t>
  </si>
  <si>
    <t>فروردین 1400</t>
  </si>
  <si>
    <t xml:space="preserve">    </t>
  </si>
  <si>
    <t>تابستان 1400</t>
  </si>
  <si>
    <t>پاییز 1400</t>
  </si>
  <si>
    <t>زمستان 1400</t>
  </si>
  <si>
    <t>بهار 1401</t>
  </si>
  <si>
    <t>تابستان 1401</t>
  </si>
  <si>
    <t>تعداد سفارش موفق (فصلی)</t>
  </si>
  <si>
    <t>تعدادسفارش ناموفق (فصلی)</t>
  </si>
  <si>
    <t>تعداد سفارش موفق استان(فصلی)</t>
  </si>
  <si>
    <t>تعداد سفارش ناموفق استان(فصلی)</t>
  </si>
  <si>
    <t>درصد سفارش موفق استان(فصلی)</t>
  </si>
  <si>
    <t>تعداد سفارش موفق خودرو سبک(فصلی)</t>
  </si>
  <si>
    <t>تعداد سفارش موفق خودرو سنگین(فصلی)</t>
  </si>
  <si>
    <t>تعداد سفارش درون شهری(فصلی)</t>
  </si>
  <si>
    <t>تعداد سفارش برون شهری(فصلی)</t>
  </si>
  <si>
    <t>گردش مالی(فصلی)</t>
  </si>
  <si>
    <t>درآمد(فصلی)</t>
  </si>
  <si>
    <t>پاییز 1401</t>
  </si>
  <si>
    <t>تعداد کل سفارشات استان(فصلی)</t>
  </si>
  <si>
    <t>تعداد کاربران(تجمیعی)</t>
  </si>
  <si>
    <t>تعداد مشتریان(تجمیعی)</t>
  </si>
  <si>
    <t>تعداد رانندگان (تجمیعی)</t>
  </si>
  <si>
    <t>تعداد رانندگان قراردادی(تجمیعی)</t>
  </si>
  <si>
    <t>تعداد کل سفارش (تجمیعی)</t>
  </si>
  <si>
    <t>تعداد کل سفارش موفق(تجمیعی)</t>
  </si>
  <si>
    <t>گردش مالی(تجمیعی)</t>
  </si>
  <si>
    <t>درآمد(تجمیعی)</t>
  </si>
  <si>
    <t>زمستان 1401</t>
  </si>
  <si>
    <t>بهار 1402</t>
  </si>
  <si>
    <t>تابستان 1402</t>
  </si>
  <si>
    <t>پاییز 1402</t>
  </si>
  <si>
    <t>تعداد کل سفارش ثبت شده (فصلی)</t>
  </si>
  <si>
    <t>تعداد کل سفارش قابل انجام(فصلی)</t>
  </si>
  <si>
    <t>درصد سفارش موفق به کل سفارش ثبت شده (فصلی)</t>
  </si>
  <si>
    <t>درصد سفارش موفق به سفارش قابل انجام (فصلی)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</si>
</sst>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IRANYekan"/>
      <family val="2"/>
    </font>
    <font>
      <sz val="11"/>
      <color theme="1"/>
      <name val="Calibri"/>
      <family val="2"/>
      <scheme val="minor"/>
    </font>
    <font>
      <sz val="11"/>
      <color rgb="FFFF0000"/>
      <name val="IRANYekan"/>
      <family val="2"/>
    </font>
    <font>
      <sz val="12"/>
      <color theme="1"/>
      <name val="IRANYekan"/>
      <family val="2"/>
    </font>
    <font>
      <sz val="12"/>
      <color theme="0"/>
      <name val="IRANYekan"/>
      <family val="2"/>
    </font>
    <font>
      <sz val="16"/>
      <color theme="1"/>
      <name val="Calibri"/>
      <family val="2"/>
      <scheme val="minor"/>
    </font>
    <font>
      <sz val="12"/>
      <name val="IRANYekan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9" fontId="0" fillId="0" borderId="0" xfId="0" applyNumberFormat="1"/>
    <xf numFmtId="37" fontId="1" fillId="0" borderId="0" xfId="1" applyNumberFormat="1" applyFont="1" applyAlignment="1">
      <alignment horizontal="center" vertical="center"/>
    </xf>
    <xf numFmtId="37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7" fontId="4" fillId="0" borderId="0" xfId="1" applyNumberFormat="1" applyFont="1" applyAlignment="1">
      <alignment horizontal="center" vertical="center"/>
    </xf>
    <xf numFmtId="37" fontId="7" fillId="0" borderId="0" xfId="1" applyNumberFormat="1" applyFont="1" applyAlignment="1">
      <alignment horizontal="center" vertical="center"/>
    </xf>
    <xf numFmtId="9" fontId="4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Yekan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 yekan"/>
                <a:ea typeface="+mn-ea"/>
                <a:cs typeface="+mn-cs"/>
              </a:defRPr>
            </a:pPr>
            <a:r>
              <a:rPr lang="fa-IR">
                <a:latin typeface="IRAN yekan"/>
              </a:rPr>
              <a:t>نمودار رشد تعداد سفارش</a:t>
            </a:r>
            <a:endParaRPr lang="en-US">
              <a:latin typeface="IRAN yekan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 yekan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Sheet1!$D$6:$R$6</c:f>
              <c:numCache>
                <c:formatCode>#,##0_);\(#,##0\)</c:formatCode>
                <c:ptCount val="15"/>
                <c:pt idx="0">
                  <c:v>204</c:v>
                </c:pt>
                <c:pt idx="1">
                  <c:v>499</c:v>
                </c:pt>
                <c:pt idx="2">
                  <c:v>544</c:v>
                </c:pt>
                <c:pt idx="3">
                  <c:v>570</c:v>
                </c:pt>
                <c:pt idx="4">
                  <c:v>548</c:v>
                </c:pt>
                <c:pt idx="5">
                  <c:v>1073</c:v>
                </c:pt>
                <c:pt idx="6">
                  <c:v>1158</c:v>
                </c:pt>
                <c:pt idx="7">
                  <c:v>1186</c:v>
                </c:pt>
                <c:pt idx="8">
                  <c:v>1412</c:v>
                </c:pt>
                <c:pt idx="9">
                  <c:v>2110</c:v>
                </c:pt>
                <c:pt idx="10">
                  <c:v>2287</c:v>
                </c:pt>
                <c:pt idx="11">
                  <c:v>2820</c:v>
                </c:pt>
                <c:pt idx="12">
                  <c:v>1996</c:v>
                </c:pt>
                <c:pt idx="13">
                  <c:v>2323</c:v>
                </c:pt>
                <c:pt idx="14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2-4201-802D-89CE8C5C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315887"/>
        <c:axId val="920317967"/>
      </c:barChart>
      <c:catAx>
        <c:axId val="9203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 yekan"/>
                <a:ea typeface="+mn-ea"/>
                <a:cs typeface="+mn-cs"/>
              </a:defRPr>
            </a:pPr>
            <a:endParaRPr lang="en-US"/>
          </a:p>
        </c:txPr>
        <c:crossAx val="920317967"/>
        <c:crosses val="autoZero"/>
        <c:auto val="1"/>
        <c:lblAlgn val="ctr"/>
        <c:lblOffset val="100"/>
        <c:noMultiLvlLbl val="0"/>
      </c:catAx>
      <c:valAx>
        <c:axId val="9203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 yekan"/>
                <a:ea typeface="+mn-ea"/>
                <a:cs typeface="+mn-cs"/>
              </a:defRPr>
            </a:pPr>
            <a:endParaRPr lang="en-US"/>
          </a:p>
        </c:txPr>
        <c:crossAx val="9203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 yek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 تابستان </a:t>
            </a:r>
            <a:r>
              <a:rPr lang="fa-IR" sz="1600" b="1" i="0" u="none" strike="noStrike" baseline="0">
                <a:effectLst/>
              </a:rPr>
              <a:t>1399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6E-4386-9ABC-AF3E797377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6E-4386-9ABC-AF3E79737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Sheet1!$C$17:$C$18</c:f>
              <c:strCache>
                <c:ptCount val="2"/>
                <c:pt idx="0">
                  <c:v>تعداد سفارش درون شهری(فصلی)</c:v>
                </c:pt>
                <c:pt idx="1">
                  <c:v>تعداد سفارش برون شهری(فصلی)</c:v>
                </c:pt>
              </c:strCache>
            </c:strRef>
          </c:cat>
          <c:val>
            <c:numRef>
              <c:f>Sheet1!$E$17:$E$18</c:f>
              <c:numCache>
                <c:formatCode>#,##0_);\(#,##0\)</c:formatCode>
                <c:ptCount val="2"/>
                <c:pt idx="0">
                  <c:v>323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5-4547-8D24-494C4593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پاییز </a:t>
            </a:r>
            <a:r>
              <a:rPr lang="fa-IR" sz="1600" b="1" i="0" u="none" strike="noStrike" baseline="0">
                <a:effectLst/>
              </a:rPr>
              <a:t>1399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8-4CD9-87B4-569D7B4413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8-4CD9-87B4-569D7B4413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Sheet1!$C$17:$C$18</c:f>
              <c:strCache>
                <c:ptCount val="2"/>
                <c:pt idx="0">
                  <c:v>تعداد سفارش درون شهری(فصلی)</c:v>
                </c:pt>
                <c:pt idx="1">
                  <c:v>تعداد سفارش برون شهری(فصلی)</c:v>
                </c:pt>
              </c:strCache>
            </c:strRef>
          </c:cat>
          <c:val>
            <c:numRef>
              <c:f>Sheet1!$F$17:$F$18</c:f>
              <c:numCache>
                <c:formatCode>#,##0_);\(#,##0\)</c:formatCode>
                <c:ptCount val="2"/>
                <c:pt idx="0">
                  <c:v>417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3-4E91-A661-402D1B1A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زمستان 1399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24-4265-B6ED-2E0518AB2E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4-4265-B6ED-2E0518AB2E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Sheet1!$C$17:$C$18</c:f>
              <c:strCache>
                <c:ptCount val="2"/>
                <c:pt idx="0">
                  <c:v>تعداد سفارش درون شهری(فصلی)</c:v>
                </c:pt>
                <c:pt idx="1">
                  <c:v>تعداد سفارش برون شهری(فصلی)</c:v>
                </c:pt>
              </c:strCache>
            </c:strRef>
          </c:cat>
          <c:val>
            <c:numRef>
              <c:f>Sheet1!$G$17:$G$18</c:f>
              <c:numCache>
                <c:formatCode>#,##0_);\(#,##0\)</c:formatCode>
                <c:ptCount val="2"/>
                <c:pt idx="0">
                  <c:v>404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A-459F-A9F8-E1C5837C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 گردش</a:t>
            </a:r>
            <a:r>
              <a:rPr lang="fa-IR" baseline="0"/>
              <a:t> مالی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Sheet1!$D$19:$R$19</c:f>
              <c:numCache>
                <c:formatCode>#,##0_);\(#,##0\)</c:formatCode>
                <c:ptCount val="15"/>
                <c:pt idx="0">
                  <c:v>7367000</c:v>
                </c:pt>
                <c:pt idx="1">
                  <c:v>66062865</c:v>
                </c:pt>
                <c:pt idx="2">
                  <c:v>96891261</c:v>
                </c:pt>
                <c:pt idx="3">
                  <c:v>116681690</c:v>
                </c:pt>
                <c:pt idx="4">
                  <c:v>142802097</c:v>
                </c:pt>
                <c:pt idx="5">
                  <c:v>283150623</c:v>
                </c:pt>
                <c:pt idx="6">
                  <c:v>552335503</c:v>
                </c:pt>
                <c:pt idx="7">
                  <c:v>711768013</c:v>
                </c:pt>
                <c:pt idx="8">
                  <c:v>1136482264</c:v>
                </c:pt>
                <c:pt idx="9">
                  <c:v>2079960736</c:v>
                </c:pt>
                <c:pt idx="10">
                  <c:v>2347703750</c:v>
                </c:pt>
                <c:pt idx="11">
                  <c:v>2479692601</c:v>
                </c:pt>
                <c:pt idx="12">
                  <c:v>2513347823</c:v>
                </c:pt>
                <c:pt idx="13">
                  <c:v>3273177936</c:v>
                </c:pt>
                <c:pt idx="14">
                  <c:v>4707874423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9-4C28-A414-BA8F1E8A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بهار</a:t>
            </a:r>
            <a:r>
              <a:rPr lang="fa-IR" baseline="0"/>
              <a:t> 1400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96-468A-90D2-C6A7F561CC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96-468A-90D2-C6A7F561C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Sheet1!$C$17:$C$18</c:f>
              <c:strCache>
                <c:ptCount val="2"/>
                <c:pt idx="0">
                  <c:v>تعداد سفارش درون شهری(فصلی)</c:v>
                </c:pt>
                <c:pt idx="1">
                  <c:v>تعداد سفارش برون شهری(فصلی)</c:v>
                </c:pt>
              </c:strCache>
            </c:strRef>
          </c:cat>
          <c:val>
            <c:numRef>
              <c:f>Sheet1!$H$17:$H$18</c:f>
              <c:numCache>
                <c:formatCode>#,##0_);\(#,##0\)</c:formatCode>
                <c:ptCount val="2"/>
                <c:pt idx="0">
                  <c:v>445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6-468A-90D2-C6A7F561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تابستان</a:t>
            </a:r>
            <a:r>
              <a:rPr lang="fa-IR" baseline="0"/>
              <a:t> 1400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B-497D-AE48-A18BC7EB35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B-497D-AE48-A18BC7EB3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Sheet1!$C$17:$C$18</c:f>
              <c:strCache>
                <c:ptCount val="2"/>
                <c:pt idx="0">
                  <c:v>تعداد سفارش درون شهری(فصلی)</c:v>
                </c:pt>
                <c:pt idx="1">
                  <c:v>تعداد سفارش برون شهری(فصلی)</c:v>
                </c:pt>
              </c:strCache>
            </c:strRef>
          </c:cat>
          <c:val>
            <c:numRef>
              <c:f>Sheet1!$I$17:$I$18</c:f>
              <c:numCache>
                <c:formatCode>#,##0_);\(#,##0\)</c:formatCode>
                <c:ptCount val="2"/>
                <c:pt idx="0">
                  <c:v>876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B-497D-AE48-A18BC7EB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پاییز</a:t>
            </a:r>
            <a:r>
              <a:rPr lang="fa-IR" baseline="0"/>
              <a:t> 1400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4B-48D0-A0E1-3A9936BB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B-48D0-A0E1-3A9936BB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Sheet1!$C$17:$C$18</c:f>
              <c:strCache>
                <c:ptCount val="2"/>
                <c:pt idx="0">
                  <c:v>تعداد سفارش درون شهری(فصلی)</c:v>
                </c:pt>
                <c:pt idx="1">
                  <c:v>تعداد سفارش برون شهری(فصلی)</c:v>
                </c:pt>
              </c:strCache>
            </c:strRef>
          </c:cat>
          <c:val>
            <c:numRef>
              <c:f>Sheet1!$J$17:$J$18</c:f>
              <c:numCache>
                <c:formatCode>#,##0_);\(#,##0\)</c:formatCode>
                <c:ptCount val="2"/>
                <c:pt idx="0">
                  <c:v>858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B-48D0-A0E1-3A9936BB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زمستان</a:t>
            </a:r>
            <a:r>
              <a:rPr lang="fa-IR" baseline="0"/>
              <a:t> 1400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7-4B0D-97D7-F614164D9D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97-4B0D-97D7-F614164D9D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Sheet1!$C$17:$C$18</c:f>
              <c:strCache>
                <c:ptCount val="2"/>
                <c:pt idx="0">
                  <c:v>تعداد سفارش درون شهری(فصلی)</c:v>
                </c:pt>
                <c:pt idx="1">
                  <c:v>تعداد سفارش برون شهری(فصلی)</c:v>
                </c:pt>
              </c:strCache>
            </c:strRef>
          </c:cat>
          <c:val>
            <c:numRef>
              <c:f>Sheet1!$K$17:$K$18</c:f>
              <c:numCache>
                <c:formatCode>#,##0_);\(#,##0\)</c:formatCode>
                <c:ptCount val="2"/>
                <c:pt idx="0">
                  <c:v>824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97-4B0D-97D7-F614164D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بهار</a:t>
            </a:r>
            <a:r>
              <a:rPr lang="fa-IR" baseline="0"/>
              <a:t> 1400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B-40DF-9068-E157A25723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BB-40DF-9068-E157A25723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Sheet1!$H$15:$H$16</c:f>
              <c:numCache>
                <c:formatCode>#,##0_);\(#,##0\)</c:formatCode>
                <c:ptCount val="2"/>
                <c:pt idx="0">
                  <c:v>427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B-40DF-9068-E157A257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تابستان 1400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61-46DB-9845-F57DDA7FAE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1-46DB-9845-F57DDA7FA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Sheet1!$I$15:$I$16</c:f>
              <c:numCache>
                <c:formatCode>#,##0_);\(#,##0\)</c:formatCode>
                <c:ptCount val="2"/>
                <c:pt idx="0">
                  <c:v>846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1-46DB-9845-F57DDA7F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رشد تعداد سفارش موفق و ناموفق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81935600957753E-2"/>
          <c:y val="0.16708333333333336"/>
          <c:w val="0.93859879693855897"/>
          <c:h val="0.723850612423447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Sheet1!$D$7:$R$7</c:f>
              <c:numCache>
                <c:formatCode>#,##0_);\(#,##0\)</c:formatCode>
                <c:ptCount val="15"/>
                <c:pt idx="0">
                  <c:v>96</c:v>
                </c:pt>
                <c:pt idx="1">
                  <c:v>358</c:v>
                </c:pt>
                <c:pt idx="2">
                  <c:v>453</c:v>
                </c:pt>
                <c:pt idx="3">
                  <c:v>461</c:v>
                </c:pt>
                <c:pt idx="4">
                  <c:v>498</c:v>
                </c:pt>
                <c:pt idx="5">
                  <c:v>971</c:v>
                </c:pt>
                <c:pt idx="6">
                  <c:v>1063</c:v>
                </c:pt>
                <c:pt idx="7">
                  <c:v>1038</c:v>
                </c:pt>
                <c:pt idx="8">
                  <c:v>1271</c:v>
                </c:pt>
                <c:pt idx="9">
                  <c:v>1855</c:v>
                </c:pt>
                <c:pt idx="10">
                  <c:v>1939</c:v>
                </c:pt>
                <c:pt idx="11">
                  <c:v>2318</c:v>
                </c:pt>
                <c:pt idx="12">
                  <c:v>1688</c:v>
                </c:pt>
                <c:pt idx="13">
                  <c:v>1984</c:v>
                </c:pt>
                <c:pt idx="14">
                  <c:v>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F-47ED-BC5E-4B15445D5B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Sheet1!$D$8:$R$8</c:f>
              <c:numCache>
                <c:formatCode>#,##0_);\(#,##0\)</c:formatCode>
                <c:ptCount val="15"/>
                <c:pt idx="0">
                  <c:v>108</c:v>
                </c:pt>
                <c:pt idx="1">
                  <c:v>141</c:v>
                </c:pt>
                <c:pt idx="2">
                  <c:v>91</c:v>
                </c:pt>
                <c:pt idx="3">
                  <c:v>109</c:v>
                </c:pt>
                <c:pt idx="4">
                  <c:v>50</c:v>
                </c:pt>
                <c:pt idx="5">
                  <c:v>102</c:v>
                </c:pt>
                <c:pt idx="6">
                  <c:v>95</c:v>
                </c:pt>
                <c:pt idx="7">
                  <c:v>148</c:v>
                </c:pt>
                <c:pt idx="8">
                  <c:v>141</c:v>
                </c:pt>
                <c:pt idx="9">
                  <c:v>255</c:v>
                </c:pt>
                <c:pt idx="10">
                  <c:v>348</c:v>
                </c:pt>
                <c:pt idx="11">
                  <c:v>502</c:v>
                </c:pt>
                <c:pt idx="12">
                  <c:v>308</c:v>
                </c:pt>
                <c:pt idx="13">
                  <c:v>339</c:v>
                </c:pt>
                <c:pt idx="14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F-47ED-BC5E-4B15445D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36239"/>
        <c:axId val="856737903"/>
      </c:barChart>
      <c:catAx>
        <c:axId val="8567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37903"/>
        <c:crosses val="autoZero"/>
        <c:auto val="1"/>
        <c:lblAlgn val="ctr"/>
        <c:lblOffset val="100"/>
        <c:noMultiLvlLbl val="0"/>
      </c:catAx>
      <c:valAx>
        <c:axId val="8567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3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پاییز 1400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4-4D2F-B10C-025B6CD62C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4-4D2F-B10C-025B6CD62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Sheet1!$J$15:$J$16</c:f>
              <c:numCache>
                <c:formatCode>#,##0_);\(#,##0\)</c:formatCode>
                <c:ptCount val="2"/>
                <c:pt idx="0">
                  <c:v>920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4-4D2F-B10C-025B6CD6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زمستان 1400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6-4ED2-967B-97B76D91D9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6-4ED2-967B-97B76D91D9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Sheet1!$K$15:$K$16</c:f>
              <c:numCache>
                <c:formatCode>#,##0_);\(#,##0\)</c:formatCode>
                <c:ptCount val="2"/>
                <c:pt idx="0">
                  <c:v>805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6-4ED2-967B-97B76D91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رشد درآمد</a:t>
            </a:r>
            <a:r>
              <a:rPr lang="fa-IR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Sheet1!$D$20:$R$20</c:f>
              <c:numCache>
                <c:formatCode>#,##0_);\(#,##0\)</c:formatCode>
                <c:ptCount val="15"/>
                <c:pt idx="0">
                  <c:v>2000000</c:v>
                </c:pt>
                <c:pt idx="1">
                  <c:v>6000000</c:v>
                </c:pt>
                <c:pt idx="2">
                  <c:v>8000000</c:v>
                </c:pt>
                <c:pt idx="3">
                  <c:v>15000000</c:v>
                </c:pt>
                <c:pt idx="4">
                  <c:v>16000000</c:v>
                </c:pt>
                <c:pt idx="5">
                  <c:v>33000000</c:v>
                </c:pt>
                <c:pt idx="6">
                  <c:v>54000000</c:v>
                </c:pt>
                <c:pt idx="7">
                  <c:v>70000000</c:v>
                </c:pt>
                <c:pt idx="8">
                  <c:v>112000000</c:v>
                </c:pt>
                <c:pt idx="9">
                  <c:v>221457996</c:v>
                </c:pt>
                <c:pt idx="10">
                  <c:v>268707851</c:v>
                </c:pt>
                <c:pt idx="11">
                  <c:v>265598297</c:v>
                </c:pt>
                <c:pt idx="12">
                  <c:v>303355510</c:v>
                </c:pt>
                <c:pt idx="13">
                  <c:v>432822273</c:v>
                </c:pt>
                <c:pt idx="14">
                  <c:v>675039120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A-4AC9-8026-8B0376B2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بهار</a:t>
            </a:r>
            <a:r>
              <a:rPr lang="fa-IR" baseline="0"/>
              <a:t> 1401</a:t>
            </a:r>
            <a:endParaRPr lang="en-US"/>
          </a:p>
        </c:rich>
      </c:tx>
      <c:layout>
        <c:manualLayout>
          <c:xMode val="edge"/>
          <c:yMode val="edge"/>
          <c:x val="0.12566605779782114"/>
          <c:y val="2.626970227670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03-46C2-94B1-0DD815399F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03-46C2-94B1-0DD815399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Sheet1!$L$17:$L$18</c:f>
              <c:numCache>
                <c:formatCode>#,##0_);\(#,##0\)</c:formatCode>
                <c:ptCount val="2"/>
                <c:pt idx="0">
                  <c:v>1003</c:v>
                </c:pt>
                <c:pt idx="1">
                  <c:v>268</c:v>
                </c:pt>
              </c:numCache>
            </c:numRef>
          </c:cat>
          <c:val>
            <c:numRef>
              <c:f>Sheet1!$L$17:$L$18</c:f>
              <c:numCache>
                <c:formatCode>#,##0_);\(#,##0\)</c:formatCode>
                <c:ptCount val="2"/>
                <c:pt idx="0">
                  <c:v>1003</c:v>
                </c:pt>
                <c:pt idx="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03-46C2-94B1-0DD815399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بهار 1401</a:t>
            </a:r>
            <a:endParaRPr lang="en-US"/>
          </a:p>
        </c:rich>
      </c:tx>
      <c:layout>
        <c:manualLayout>
          <c:xMode val="edge"/>
          <c:yMode val="edge"/>
          <c:x val="8.6925095901473862E-2"/>
          <c:y val="1.3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45-4BB7-9CCF-7E9EA2BFBD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45-4BB7-9CCF-7E9EA2BFBD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Sheet1!$L$15:$L$16</c:f>
              <c:numCache>
                <c:formatCode>#,##0_);\(#,##0\)</c:formatCode>
                <c:ptCount val="2"/>
                <c:pt idx="0">
                  <c:v>940</c:v>
                </c:pt>
                <c:pt idx="1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5-4BB7-9CCF-7E9EA2BF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تابستان</a:t>
            </a:r>
            <a:r>
              <a:rPr lang="fa-IR" baseline="0"/>
              <a:t> 1401</a:t>
            </a:r>
            <a:endParaRPr lang="en-US"/>
          </a:p>
        </c:rich>
      </c:tx>
      <c:layout>
        <c:manualLayout>
          <c:xMode val="edge"/>
          <c:yMode val="edge"/>
          <c:x val="0.12566605779782114"/>
          <c:y val="2.626970227670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8-433B-8F05-781DA12FA1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8-433B-8F05-781DA12FA1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Sheet1!$M$17:$M$18</c:f>
              <c:numCache>
                <c:formatCode>#,##0_);\(#,##0\)</c:formatCode>
                <c:ptCount val="2"/>
                <c:pt idx="0">
                  <c:v>1487</c:v>
                </c:pt>
                <c:pt idx="1">
                  <c:v>368</c:v>
                </c:pt>
              </c:numCache>
            </c:numRef>
          </c:cat>
          <c:val>
            <c:numRef>
              <c:f>Sheet1!$M$17:$M$18</c:f>
              <c:numCache>
                <c:formatCode>#,##0_);\(#,##0\)</c:formatCode>
                <c:ptCount val="2"/>
                <c:pt idx="0">
                  <c:v>1487</c:v>
                </c:pt>
                <c:pt idx="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8-433B-8F05-781DA12F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تابستان 1401</a:t>
            </a:r>
            <a:endParaRPr lang="en-US"/>
          </a:p>
        </c:rich>
      </c:tx>
      <c:layout>
        <c:manualLayout>
          <c:xMode val="edge"/>
          <c:yMode val="edge"/>
          <c:x val="8.6925095901473862E-2"/>
          <c:y val="8.70370370370370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C-4A78-A275-9C85704E55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C-4A78-A275-9C85704E55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Sheet1!$M$15:$M$16</c:f>
              <c:numCache>
                <c:formatCode>#,##0_);\(#,##0\)</c:formatCode>
                <c:ptCount val="2"/>
                <c:pt idx="0">
                  <c:v>1277</c:v>
                </c:pt>
                <c:pt idx="1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C-4A78-A275-9C85704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 کاربران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Sheet1!$D$21:$R$21</c:f>
              <c:numCache>
                <c:formatCode>#,##0_);\(#,##0\)</c:formatCode>
                <c:ptCount val="15"/>
                <c:pt idx="0">
                  <c:v>5387</c:v>
                </c:pt>
                <c:pt idx="1">
                  <c:v>6691</c:v>
                </c:pt>
                <c:pt idx="2">
                  <c:v>8459</c:v>
                </c:pt>
                <c:pt idx="3">
                  <c:v>10317</c:v>
                </c:pt>
                <c:pt idx="4">
                  <c:v>11291</c:v>
                </c:pt>
                <c:pt idx="5">
                  <c:v>12813</c:v>
                </c:pt>
                <c:pt idx="6">
                  <c:v>14240</c:v>
                </c:pt>
                <c:pt idx="7">
                  <c:v>16388</c:v>
                </c:pt>
                <c:pt idx="8">
                  <c:v>19070</c:v>
                </c:pt>
                <c:pt idx="9">
                  <c:v>23779</c:v>
                </c:pt>
                <c:pt idx="10">
                  <c:v>31379</c:v>
                </c:pt>
                <c:pt idx="11">
                  <c:v>39361</c:v>
                </c:pt>
                <c:pt idx="12">
                  <c:v>44880</c:v>
                </c:pt>
                <c:pt idx="13">
                  <c:v>50804</c:v>
                </c:pt>
                <c:pt idx="14">
                  <c:v>56603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0-43D7-AFDC-B7580B0E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 مشتریان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Sheet1!$D$22:$R$22</c:f>
              <c:numCache>
                <c:formatCode>#,##0_);\(#,##0\)</c:formatCode>
                <c:ptCount val="15"/>
                <c:pt idx="0">
                  <c:v>231</c:v>
                </c:pt>
                <c:pt idx="1">
                  <c:v>375</c:v>
                </c:pt>
                <c:pt idx="2">
                  <c:v>549</c:v>
                </c:pt>
                <c:pt idx="3">
                  <c:v>737</c:v>
                </c:pt>
                <c:pt idx="4">
                  <c:v>878</c:v>
                </c:pt>
                <c:pt idx="5">
                  <c:v>1143</c:v>
                </c:pt>
                <c:pt idx="6">
                  <c:v>1372</c:v>
                </c:pt>
                <c:pt idx="7">
                  <c:v>1636</c:v>
                </c:pt>
                <c:pt idx="8">
                  <c:v>1829</c:v>
                </c:pt>
                <c:pt idx="9">
                  <c:v>2151</c:v>
                </c:pt>
                <c:pt idx="10">
                  <c:v>2586</c:v>
                </c:pt>
                <c:pt idx="11">
                  <c:v>2958</c:v>
                </c:pt>
                <c:pt idx="12">
                  <c:v>3217</c:v>
                </c:pt>
                <c:pt idx="13">
                  <c:v>3491</c:v>
                </c:pt>
                <c:pt idx="14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F-49BB-8152-28C5CE7D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رانندگان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Sheet1!$D$23:$R$23</c:f>
              <c:numCache>
                <c:formatCode>#,##0_);\(#,##0\)</c:formatCode>
                <c:ptCount val="15"/>
                <c:pt idx="0">
                  <c:v>1519</c:v>
                </c:pt>
                <c:pt idx="1">
                  <c:v>2060</c:v>
                </c:pt>
                <c:pt idx="2">
                  <c:v>2528</c:v>
                </c:pt>
                <c:pt idx="3">
                  <c:v>3104</c:v>
                </c:pt>
                <c:pt idx="4">
                  <c:v>3435</c:v>
                </c:pt>
                <c:pt idx="5">
                  <c:v>3936</c:v>
                </c:pt>
                <c:pt idx="6">
                  <c:v>4505</c:v>
                </c:pt>
                <c:pt idx="7">
                  <c:v>5153</c:v>
                </c:pt>
                <c:pt idx="8">
                  <c:v>5610</c:v>
                </c:pt>
                <c:pt idx="9">
                  <c:v>6575</c:v>
                </c:pt>
                <c:pt idx="10">
                  <c:v>8393</c:v>
                </c:pt>
                <c:pt idx="11">
                  <c:v>10944</c:v>
                </c:pt>
                <c:pt idx="12">
                  <c:v>12631</c:v>
                </c:pt>
                <c:pt idx="13">
                  <c:v>14531</c:v>
                </c:pt>
                <c:pt idx="14">
                  <c:v>16764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9-4D0B-BA5B-CCA6FBBF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رشد تعداد سفارش استان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Sheet1!$D$4:$N$4</c:f>
              <c:strCache>
                <c:ptCount val="11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</c:strCache>
            </c:strRef>
          </c:cat>
          <c:val>
            <c:numRef>
              <c:f>Sheet1!$D$11:$N$11</c:f>
              <c:numCache>
                <c:formatCode>#,##0_);\(#,##0\)</c:formatCode>
                <c:ptCount val="11"/>
                <c:pt idx="0">
                  <c:v>323</c:v>
                </c:pt>
                <c:pt idx="1">
                  <c:v>698</c:v>
                </c:pt>
                <c:pt idx="2">
                  <c:v>664</c:v>
                </c:pt>
                <c:pt idx="3">
                  <c:v>641</c:v>
                </c:pt>
                <c:pt idx="4">
                  <c:v>557</c:v>
                </c:pt>
                <c:pt idx="5">
                  <c:v>1057</c:v>
                </c:pt>
                <c:pt idx="6">
                  <c:v>1056</c:v>
                </c:pt>
                <c:pt idx="7">
                  <c:v>1192</c:v>
                </c:pt>
                <c:pt idx="8">
                  <c:v>1646</c:v>
                </c:pt>
                <c:pt idx="9">
                  <c:v>2431</c:v>
                </c:pt>
                <c:pt idx="10">
                  <c:v>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DFF-B278-F603D930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375167"/>
        <c:axId val="1014395135"/>
      </c:barChart>
      <c:catAx>
        <c:axId val="10143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95135"/>
        <c:crosses val="autoZero"/>
        <c:auto val="1"/>
        <c:lblAlgn val="ctr"/>
        <c:lblOffset val="100"/>
        <c:noMultiLvlLbl val="0"/>
      </c:catAx>
      <c:valAx>
        <c:axId val="10143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رانندگان</a:t>
            </a:r>
            <a:r>
              <a:rPr lang="en-US" baseline="0"/>
              <a:t> </a:t>
            </a:r>
            <a:r>
              <a:rPr lang="fa-IR" baseline="0"/>
              <a:t> قراردادی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Sheet1!$D$24:$R$24</c:f>
              <c:numCache>
                <c:formatCode>#,##0_);\(#,##0\)</c:formatCode>
                <c:ptCount val="15"/>
                <c:pt idx="0">
                  <c:v>129</c:v>
                </c:pt>
                <c:pt idx="1">
                  <c:v>180</c:v>
                </c:pt>
                <c:pt idx="2">
                  <c:v>243</c:v>
                </c:pt>
                <c:pt idx="3">
                  <c:v>300</c:v>
                </c:pt>
                <c:pt idx="4">
                  <c:v>368</c:v>
                </c:pt>
                <c:pt idx="5">
                  <c:v>493</c:v>
                </c:pt>
                <c:pt idx="6">
                  <c:v>635</c:v>
                </c:pt>
                <c:pt idx="7">
                  <c:v>828</c:v>
                </c:pt>
                <c:pt idx="8">
                  <c:v>964</c:v>
                </c:pt>
                <c:pt idx="9">
                  <c:v>1218</c:v>
                </c:pt>
                <c:pt idx="10">
                  <c:v>1565</c:v>
                </c:pt>
                <c:pt idx="11">
                  <c:v>1792</c:v>
                </c:pt>
                <c:pt idx="12">
                  <c:v>1961</c:v>
                </c:pt>
                <c:pt idx="13">
                  <c:v>2173</c:v>
                </c:pt>
                <c:pt idx="14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2-4623-97B0-2E3E4A69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سفارش ها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Sheet1!$D$25:$R$25</c:f>
              <c:numCache>
                <c:formatCode>#,##0_);\(#,##0\)</c:formatCode>
                <c:ptCount val="15"/>
                <c:pt idx="0">
                  <c:v>5959</c:v>
                </c:pt>
                <c:pt idx="1">
                  <c:v>6458</c:v>
                </c:pt>
                <c:pt idx="2">
                  <c:v>7002</c:v>
                </c:pt>
                <c:pt idx="3">
                  <c:v>7572</c:v>
                </c:pt>
                <c:pt idx="4">
                  <c:v>8120</c:v>
                </c:pt>
                <c:pt idx="5">
                  <c:v>9193</c:v>
                </c:pt>
                <c:pt idx="6">
                  <c:v>10351</c:v>
                </c:pt>
                <c:pt idx="7">
                  <c:v>11537</c:v>
                </c:pt>
                <c:pt idx="8">
                  <c:v>12949</c:v>
                </c:pt>
                <c:pt idx="9">
                  <c:v>15059</c:v>
                </c:pt>
                <c:pt idx="10">
                  <c:v>34824</c:v>
                </c:pt>
                <c:pt idx="11">
                  <c:v>39784</c:v>
                </c:pt>
                <c:pt idx="12">
                  <c:v>44947</c:v>
                </c:pt>
                <c:pt idx="13">
                  <c:v>50588</c:v>
                </c:pt>
                <c:pt idx="14">
                  <c:v>56834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9-4194-99B7-8FC5812C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سفارش های موفق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Sheet1!$D$26:$R$26</c:f>
              <c:numCache>
                <c:formatCode>#,##0_);\(#,##0\)</c:formatCode>
                <c:ptCount val="15"/>
                <c:pt idx="0">
                  <c:v>583</c:v>
                </c:pt>
                <c:pt idx="1">
                  <c:v>941</c:v>
                </c:pt>
                <c:pt idx="2">
                  <c:v>1394</c:v>
                </c:pt>
                <c:pt idx="3">
                  <c:v>1855</c:v>
                </c:pt>
                <c:pt idx="4">
                  <c:v>2353</c:v>
                </c:pt>
                <c:pt idx="5">
                  <c:v>3324</c:v>
                </c:pt>
                <c:pt idx="6">
                  <c:v>4387</c:v>
                </c:pt>
                <c:pt idx="7">
                  <c:v>5425</c:v>
                </c:pt>
                <c:pt idx="8">
                  <c:v>6696</c:v>
                </c:pt>
                <c:pt idx="9">
                  <c:v>8551</c:v>
                </c:pt>
                <c:pt idx="10">
                  <c:v>12185</c:v>
                </c:pt>
                <c:pt idx="11">
                  <c:v>13077</c:v>
                </c:pt>
                <c:pt idx="12">
                  <c:v>14765</c:v>
                </c:pt>
                <c:pt idx="13">
                  <c:v>16749</c:v>
                </c:pt>
                <c:pt idx="14">
                  <c:v>18918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E-4AED-AEFC-2D8813F0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گردش مالی کل</a:t>
            </a:r>
            <a:endParaRPr lang="fa-I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Sheet1!$D$27:$R$27</c:f>
              <c:numCache>
                <c:formatCode>#,##0_);\(#,##0\)</c:formatCode>
                <c:ptCount val="15"/>
                <c:pt idx="0">
                  <c:v>159055450</c:v>
                </c:pt>
                <c:pt idx="1">
                  <c:v>225118315</c:v>
                </c:pt>
                <c:pt idx="2">
                  <c:v>322009576</c:v>
                </c:pt>
                <c:pt idx="3">
                  <c:v>438691266</c:v>
                </c:pt>
                <c:pt idx="4">
                  <c:v>581493363</c:v>
                </c:pt>
                <c:pt idx="5">
                  <c:v>864643986</c:v>
                </c:pt>
                <c:pt idx="6">
                  <c:v>1416979489</c:v>
                </c:pt>
                <c:pt idx="7">
                  <c:v>2128747502</c:v>
                </c:pt>
                <c:pt idx="8">
                  <c:v>3265229766</c:v>
                </c:pt>
                <c:pt idx="9">
                  <c:v>5345190502</c:v>
                </c:pt>
                <c:pt idx="10">
                  <c:v>8469064175</c:v>
                </c:pt>
                <c:pt idx="11">
                  <c:v>10339312844</c:v>
                </c:pt>
                <c:pt idx="12">
                  <c:v>12852660667</c:v>
                </c:pt>
                <c:pt idx="13">
                  <c:v>16125838603</c:v>
                </c:pt>
                <c:pt idx="14">
                  <c:v>20833713026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7-4F84-B776-AB5282AF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درآمد کل</a:t>
            </a:r>
            <a:endParaRPr lang="fa-I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Sheet1!$D$4:$R$4</c:f>
              <c:strCache>
                <c:ptCount val="15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  <c:pt idx="11">
                  <c:v>زمستان 1401</c:v>
                </c:pt>
                <c:pt idx="12">
                  <c:v>بهار 1402</c:v>
                </c:pt>
                <c:pt idx="13">
                  <c:v>تابستان 1402</c:v>
                </c:pt>
                <c:pt idx="14">
                  <c:v>پاییز 1402</c:v>
                </c:pt>
              </c:strCache>
            </c:strRef>
          </c:cat>
          <c:val>
            <c:numRef>
              <c:f>Sheet1!$D$28:$R$28</c:f>
              <c:numCache>
                <c:formatCode>#,##0_);\(#,##0\)</c:formatCode>
                <c:ptCount val="15"/>
                <c:pt idx="0">
                  <c:v>5770414</c:v>
                </c:pt>
                <c:pt idx="1">
                  <c:v>11770414</c:v>
                </c:pt>
                <c:pt idx="2">
                  <c:v>19770414</c:v>
                </c:pt>
                <c:pt idx="3">
                  <c:v>34770414</c:v>
                </c:pt>
                <c:pt idx="4">
                  <c:v>50770414</c:v>
                </c:pt>
                <c:pt idx="5">
                  <c:v>83770414</c:v>
                </c:pt>
                <c:pt idx="6">
                  <c:v>137770414</c:v>
                </c:pt>
                <c:pt idx="7">
                  <c:v>207770414</c:v>
                </c:pt>
                <c:pt idx="8">
                  <c:v>319770414</c:v>
                </c:pt>
                <c:pt idx="9">
                  <c:v>539228410</c:v>
                </c:pt>
                <c:pt idx="10">
                  <c:v>874785662</c:v>
                </c:pt>
                <c:pt idx="11">
                  <c:v>1081621955</c:v>
                </c:pt>
                <c:pt idx="12">
                  <c:v>1384977465</c:v>
                </c:pt>
                <c:pt idx="13">
                  <c:v>1817799738</c:v>
                </c:pt>
                <c:pt idx="14">
                  <c:v>2492838858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D-4F67-BEA8-70D8B5F6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6143"/>
        <c:axId val="860724047"/>
      </c:barChart>
      <c:catAx>
        <c:axId val="860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4047"/>
        <c:crosses val="autoZero"/>
        <c:auto val="1"/>
        <c:lblAlgn val="ctr"/>
        <c:lblOffset val="100"/>
        <c:noMultiLvlLbl val="0"/>
      </c:catAx>
      <c:valAx>
        <c:axId val="860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پاییز</a:t>
            </a:r>
            <a:r>
              <a:rPr lang="fa-IR" baseline="0"/>
              <a:t> 1401</a:t>
            </a:r>
            <a:endParaRPr lang="en-US"/>
          </a:p>
        </c:rich>
      </c:tx>
      <c:layout>
        <c:manualLayout>
          <c:xMode val="edge"/>
          <c:yMode val="edge"/>
          <c:x val="0.12566605779782114"/>
          <c:y val="2.6269702276707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C-445D-97B6-59C9F73CCC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C-445D-97B6-59C9F73CCC36}"/>
              </c:ext>
            </c:extLst>
          </c:dPt>
          <c:cat>
            <c:numRef>
              <c:f>Sheet1!$N$17:$N$18</c:f>
              <c:numCache>
                <c:formatCode>#,##0_);\(#,##0\)</c:formatCode>
                <c:ptCount val="2"/>
                <c:pt idx="0">
                  <c:v>1519</c:v>
                </c:pt>
                <c:pt idx="1">
                  <c:v>424</c:v>
                </c:pt>
              </c:numCache>
            </c:numRef>
          </c:cat>
          <c:val>
            <c:numRef>
              <c:f>Sheet1!$N$17:$N$18</c:f>
              <c:numCache>
                <c:formatCode>#,##0_);\(#,##0\)</c:formatCode>
                <c:ptCount val="2"/>
                <c:pt idx="0">
                  <c:v>1519</c:v>
                </c:pt>
                <c:pt idx="1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C-445D-97B6-59C9F73CC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پاییز 1401</a:t>
            </a:r>
            <a:endParaRPr lang="en-US"/>
          </a:p>
        </c:rich>
      </c:tx>
      <c:layout>
        <c:manualLayout>
          <c:xMode val="edge"/>
          <c:yMode val="edge"/>
          <c:x val="8.6925095901473862E-2"/>
          <c:y val="8.70370370370370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C-490D-8DC1-E5CC183F09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C-490D-8DC1-E5CC183F096F}"/>
              </c:ext>
            </c:extLst>
          </c:dPt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Sheet1!$N$15:$N$16</c:f>
              <c:numCache>
                <c:formatCode>#,##0_);\(#,##0\)</c:formatCode>
                <c:ptCount val="2"/>
                <c:pt idx="0">
                  <c:v>1390</c:v>
                </c:pt>
                <c:pt idx="1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C-490D-8DC1-E5CC183F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 رشد تعداد سفارش موفق استان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Sheet1!$D$4:$N$4</c:f>
              <c:strCache>
                <c:ptCount val="11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</c:strCache>
            </c:strRef>
          </c:cat>
          <c:val>
            <c:numRef>
              <c:f>Sheet1!$D$12:$N$12</c:f>
              <c:numCache>
                <c:formatCode>#,##0_);\(#,##0\)</c:formatCode>
                <c:ptCount val="11"/>
                <c:pt idx="0">
                  <c:v>96</c:v>
                </c:pt>
                <c:pt idx="1">
                  <c:v>321</c:v>
                </c:pt>
                <c:pt idx="2">
                  <c:v>406</c:v>
                </c:pt>
                <c:pt idx="3">
                  <c:v>390</c:v>
                </c:pt>
                <c:pt idx="4">
                  <c:v>396</c:v>
                </c:pt>
                <c:pt idx="5">
                  <c:v>765</c:v>
                </c:pt>
                <c:pt idx="6">
                  <c:v>807</c:v>
                </c:pt>
                <c:pt idx="7">
                  <c:v>840</c:v>
                </c:pt>
                <c:pt idx="8">
                  <c:v>1049</c:v>
                </c:pt>
                <c:pt idx="9">
                  <c:v>1544</c:v>
                </c:pt>
                <c:pt idx="10">
                  <c:v>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5-4899-9BC9-7E6B0B0066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Sheet1!$D$4:$N$4</c:f>
              <c:strCache>
                <c:ptCount val="11"/>
                <c:pt idx="0">
                  <c:v>بهار 99</c:v>
                </c:pt>
                <c:pt idx="1">
                  <c:v>تابستان 99</c:v>
                </c:pt>
                <c:pt idx="2">
                  <c:v>پاییز 99</c:v>
                </c:pt>
                <c:pt idx="3">
                  <c:v>زمستان 99</c:v>
                </c:pt>
                <c:pt idx="4">
                  <c:v>فروردین 1400</c:v>
                </c:pt>
                <c:pt idx="5">
                  <c:v>تابستان 1400</c:v>
                </c:pt>
                <c:pt idx="6">
                  <c:v>پاییز 1400</c:v>
                </c:pt>
                <c:pt idx="7">
                  <c:v>زمستان 1400</c:v>
                </c:pt>
                <c:pt idx="8">
                  <c:v>بهار 1401</c:v>
                </c:pt>
                <c:pt idx="9">
                  <c:v>تابستان 1401</c:v>
                </c:pt>
                <c:pt idx="10">
                  <c:v>پاییز 1401</c:v>
                </c:pt>
              </c:strCache>
            </c:strRef>
          </c:cat>
          <c:val>
            <c:numRef>
              <c:f>Sheet1!$D$13:$K$13</c:f>
              <c:numCache>
                <c:formatCode>#,##0_);\(#,##0\)</c:formatCode>
                <c:ptCount val="8"/>
                <c:pt idx="0">
                  <c:v>227</c:v>
                </c:pt>
                <c:pt idx="1">
                  <c:v>377</c:v>
                </c:pt>
                <c:pt idx="2">
                  <c:v>258</c:v>
                </c:pt>
                <c:pt idx="3">
                  <c:v>251</c:v>
                </c:pt>
                <c:pt idx="4">
                  <c:v>161</c:v>
                </c:pt>
                <c:pt idx="5">
                  <c:v>292</c:v>
                </c:pt>
                <c:pt idx="6">
                  <c:v>249</c:v>
                </c:pt>
                <c:pt idx="7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5-4899-9BC9-7E6B0B00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401375"/>
        <c:axId val="1014395967"/>
      </c:barChart>
      <c:catAx>
        <c:axId val="101440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95967"/>
        <c:crosses val="autoZero"/>
        <c:auto val="1"/>
        <c:lblAlgn val="ctr"/>
        <c:lblOffset val="100"/>
        <c:noMultiLvlLbl val="0"/>
      </c:catAx>
      <c:valAx>
        <c:axId val="10143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بهار</a:t>
            </a:r>
            <a:r>
              <a:rPr lang="en-US"/>
              <a:t> 1399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4E-4771-9791-B75D49AD1B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4E-4771-9791-B75D49AD1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Sheet1!$D$15:$D$16</c:f>
              <c:numCache>
                <c:formatCode>#,##0_);\(#,##0\)</c:formatCode>
                <c:ptCount val="2"/>
                <c:pt idx="0">
                  <c:v>74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3-4AA2-B48F-BF5DBD8057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خودرها در فصل تابستان</a:t>
            </a:r>
            <a:r>
              <a:rPr lang="en-US"/>
              <a:t> </a:t>
            </a:r>
            <a:r>
              <a:rPr lang="en-US" sz="1600" b="1" i="0" u="none" strike="noStrike" baseline="0">
                <a:effectLst/>
              </a:rPr>
              <a:t>1399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BC-4982-BBEE-B835622919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BC-4982-BBEE-B83562291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Sheet1!$E$15:$E$16</c:f>
              <c:numCache>
                <c:formatCode>#,##0_);\(#,##0\)</c:formatCode>
                <c:ptCount val="2"/>
                <c:pt idx="0">
                  <c:v>287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4-42B3-BB7E-DA0078EA41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پاییز</a:t>
            </a:r>
            <a:r>
              <a:rPr lang="en-US"/>
              <a:t> </a:t>
            </a:r>
            <a:r>
              <a:rPr lang="en-US" sz="1600" b="1" i="0" u="none" strike="noStrike" baseline="0">
                <a:effectLst/>
              </a:rPr>
              <a:t>1399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A3-4379-997E-F426AAA927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3-4379-997E-F426AAA927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Sheet1!$F$15:$F$16</c:f>
              <c:numCache>
                <c:formatCode>#,##0_);\(#,##0\)</c:formatCode>
                <c:ptCount val="2"/>
                <c:pt idx="0">
                  <c:v>356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E-4A8F-A917-3A32CB46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خودروها در فصل زمستان</a:t>
            </a:r>
            <a:r>
              <a:rPr lang="en-US"/>
              <a:t> </a:t>
            </a:r>
            <a:r>
              <a:rPr lang="en-US" sz="1600" b="1" i="0" u="none" strike="noStrike" baseline="0">
                <a:effectLst/>
              </a:rPr>
              <a:t>1399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3-465B-B727-990D642273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3-465B-B727-990D642273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Sheet1!$C$15:$C$16</c:f>
              <c:strCache>
                <c:ptCount val="2"/>
                <c:pt idx="0">
                  <c:v>تعداد سفارش موفق خودرو سبک(فصلی)</c:v>
                </c:pt>
                <c:pt idx="1">
                  <c:v>تعداد سفارش موفق خودرو سنگین(فصلی)</c:v>
                </c:pt>
              </c:strCache>
            </c:strRef>
          </c:cat>
          <c:val>
            <c:numRef>
              <c:f>Sheet1!$G$15:$G$16</c:f>
              <c:numCache>
                <c:formatCode>#,##0_);\(#,##0\)</c:formatCode>
                <c:ptCount val="2"/>
                <c:pt idx="0">
                  <c:v>383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1-4068-BA45-3B2B07C9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توزیع سفارشات شهری بهار </a:t>
            </a:r>
            <a:r>
              <a:rPr lang="fa-IR" sz="1600" b="1" i="0" u="none" strike="noStrike" baseline="0">
                <a:effectLst/>
              </a:rPr>
              <a:t>1399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47-4B9E-8BB3-FCAA10CC67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47-4B9E-8BB3-FCAA10CC6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Sheet1!$C$17:$C$18</c:f>
              <c:strCache>
                <c:ptCount val="2"/>
                <c:pt idx="0">
                  <c:v>تعداد سفارش درون شهری(فصلی)</c:v>
                </c:pt>
                <c:pt idx="1">
                  <c:v>تعداد سفارش برون شهری(فصلی)</c:v>
                </c:pt>
              </c:strCache>
            </c:strRef>
          </c:cat>
          <c:val>
            <c:numRef>
              <c:f>Sheet1!$D$17:$D$18</c:f>
              <c:numCache>
                <c:formatCode>#,##0_);\(#,##0\)</c:formatCode>
                <c:ptCount val="2"/>
                <c:pt idx="0">
                  <c:v>95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6-470C-9334-D4AE46B9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65</xdr:row>
      <xdr:rowOff>152400</xdr:rowOff>
    </xdr:from>
    <xdr:to>
      <xdr:col>5</xdr:col>
      <xdr:colOff>708660</xdr:colOff>
      <xdr:row>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EC2E7-B311-4587-99A3-4AB5727FB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65</xdr:row>
      <xdr:rowOff>144780</xdr:rowOff>
    </xdr:from>
    <xdr:to>
      <xdr:col>14</xdr:col>
      <xdr:colOff>523875</xdr:colOff>
      <xdr:row>80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3A954-49DE-4570-A71B-30C21856C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601980</xdr:colOff>
      <xdr:row>82</xdr:row>
      <xdr:rowOff>152400</xdr:rowOff>
    </xdr:from>
    <xdr:to>
      <xdr:col>5</xdr:col>
      <xdr:colOff>693420</xdr:colOff>
      <xdr:row>97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A2BDC-6AA8-4324-9E3A-DA41C003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82</xdr:row>
      <xdr:rowOff>152400</xdr:rowOff>
    </xdr:from>
    <xdr:to>
      <xdr:col>13</xdr:col>
      <xdr:colOff>396240</xdr:colOff>
      <xdr:row>97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69DDA0-90BA-4713-B670-72BE1ED4B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49</xdr:row>
      <xdr:rowOff>76200</xdr:rowOff>
    </xdr:from>
    <xdr:to>
      <xdr:col>3</xdr:col>
      <xdr:colOff>830580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B4756-A81E-473D-80C4-31892748E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982980</xdr:colOff>
      <xdr:row>49</xdr:row>
      <xdr:rowOff>60960</xdr:rowOff>
    </xdr:from>
    <xdr:to>
      <xdr:col>6</xdr:col>
      <xdr:colOff>952500</xdr:colOff>
      <xdr:row>64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486BC-5066-4E17-9AED-12B3AF41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560070</xdr:colOff>
      <xdr:row>49</xdr:row>
      <xdr:rowOff>77470</xdr:rowOff>
    </xdr:from>
    <xdr:to>
      <xdr:col>10</xdr:col>
      <xdr:colOff>501650</xdr:colOff>
      <xdr:row>64</xdr:row>
      <xdr:rowOff>77470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1EDCAE-FC5F-441B-88F8-DD3DF1B76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914400</xdr:colOff>
      <xdr:row>49</xdr:row>
      <xdr:rowOff>44450</xdr:rowOff>
    </xdr:from>
    <xdr:to>
      <xdr:col>15</xdr:col>
      <xdr:colOff>311150</xdr:colOff>
      <xdr:row>64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A184FC-A107-4006-A19F-C189A4A79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7620</xdr:colOff>
      <xdr:row>31</xdr:row>
      <xdr:rowOff>60960</xdr:rowOff>
    </xdr:from>
    <xdr:to>
      <xdr:col>3</xdr:col>
      <xdr:colOff>708660</xdr:colOff>
      <xdr:row>46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793611-215D-47D6-A285-E5FA05ED6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975360</xdr:colOff>
      <xdr:row>31</xdr:row>
      <xdr:rowOff>53340</xdr:rowOff>
    </xdr:from>
    <xdr:to>
      <xdr:col>6</xdr:col>
      <xdr:colOff>914400</xdr:colOff>
      <xdr:row>45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8A67EF-4F5D-4AFD-9178-D189867E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1104900</xdr:colOff>
      <xdr:row>31</xdr:row>
      <xdr:rowOff>44450</xdr:rowOff>
    </xdr:from>
    <xdr:to>
      <xdr:col>10</xdr:col>
      <xdr:colOff>819150</xdr:colOff>
      <xdr:row>46</xdr:row>
      <xdr:rowOff>44450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1240A4B-3E8A-4455-830C-4C303D12D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165100</xdr:colOff>
      <xdr:row>31</xdr:row>
      <xdr:rowOff>38100</xdr:rowOff>
    </xdr:from>
    <xdr:to>
      <xdr:col>16</xdr:col>
      <xdr:colOff>19050</xdr:colOff>
      <xdr:row>46</xdr:row>
      <xdr:rowOff>82550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BCEEA7-3761-48B4-834B-228D47A7B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586740</xdr:colOff>
      <xdr:row>100</xdr:row>
      <xdr:rowOff>15240</xdr:rowOff>
    </xdr:from>
    <xdr:to>
      <xdr:col>5</xdr:col>
      <xdr:colOff>701040</xdr:colOff>
      <xdr:row>115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06A1C5-85EF-48FC-8ED6-AE178425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322580</xdr:colOff>
      <xdr:row>31</xdr:row>
      <xdr:rowOff>36830</xdr:rowOff>
    </xdr:from>
    <xdr:to>
      <xdr:col>21</xdr:col>
      <xdr:colOff>176530</xdr:colOff>
      <xdr:row>46</xdr:row>
      <xdr:rowOff>82550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AEC21D6-B0D1-4940-A033-185DDCB19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311150</xdr:colOff>
      <xdr:row>30</xdr:row>
      <xdr:rowOff>165100</xdr:rowOff>
    </xdr:from>
    <xdr:to>
      <xdr:col>26</xdr:col>
      <xdr:colOff>170180</xdr:colOff>
      <xdr:row>46</xdr:row>
      <xdr:rowOff>24130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FEE897-CB81-4E4C-8F30-454D3D00A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412750</xdr:colOff>
      <xdr:row>30</xdr:row>
      <xdr:rowOff>165100</xdr:rowOff>
    </xdr:from>
    <xdr:to>
      <xdr:col>31</xdr:col>
      <xdr:colOff>271780</xdr:colOff>
      <xdr:row>46</xdr:row>
      <xdr:rowOff>24130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580E728-2378-44A6-948C-C3ED58FFC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469900</xdr:colOff>
      <xdr:row>30</xdr:row>
      <xdr:rowOff>139700</xdr:rowOff>
    </xdr:from>
    <xdr:to>
      <xdr:col>36</xdr:col>
      <xdr:colOff>328930</xdr:colOff>
      <xdr:row>45</xdr:row>
      <xdr:rowOff>182880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A6F7C0-91E3-402E-B697-C28EEBC21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44450</xdr:colOff>
      <xdr:row>49</xdr:row>
      <xdr:rowOff>25400</xdr:rowOff>
    </xdr:from>
    <xdr:to>
      <xdr:col>22</xdr:col>
      <xdr:colOff>482600</xdr:colOff>
      <xdr:row>64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661B3D-039A-45C6-BBA0-240DAA56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577850</xdr:colOff>
      <xdr:row>48</xdr:row>
      <xdr:rowOff>177800</xdr:rowOff>
    </xdr:from>
    <xdr:to>
      <xdr:col>27</xdr:col>
      <xdr:colOff>374650</xdr:colOff>
      <xdr:row>63</xdr:row>
      <xdr:rowOff>177800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7A41BAC-085B-4107-9E22-94847CB10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546100</xdr:colOff>
      <xdr:row>49</xdr:row>
      <xdr:rowOff>0</xdr:rowOff>
    </xdr:from>
    <xdr:to>
      <xdr:col>32</xdr:col>
      <xdr:colOff>347980</xdr:colOff>
      <xdr:row>64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C164EA-6482-4FEC-AFA4-DC5BC381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546100</xdr:colOff>
      <xdr:row>48</xdr:row>
      <xdr:rowOff>152400</xdr:rowOff>
    </xdr:from>
    <xdr:to>
      <xdr:col>37</xdr:col>
      <xdr:colOff>347980</xdr:colOff>
      <xdr:row>63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47CFDD4-6AD6-42B6-82A0-7EAF641D5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1073150</xdr:colOff>
      <xdr:row>100</xdr:row>
      <xdr:rowOff>25400</xdr:rowOff>
    </xdr:from>
    <xdr:to>
      <xdr:col>10</xdr:col>
      <xdr:colOff>547370</xdr:colOff>
      <xdr:row>115</xdr:row>
      <xdr:rowOff>172720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7660F66-0AB5-489B-B2D5-BB123DB70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133350</xdr:colOff>
      <xdr:row>30</xdr:row>
      <xdr:rowOff>123825</xdr:rowOff>
    </xdr:from>
    <xdr:to>
      <xdr:col>41</xdr:col>
      <xdr:colOff>601980</xdr:colOff>
      <xdr:row>45</xdr:row>
      <xdr:rowOff>167005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57B7ED-DBF6-42C6-AA85-382A0F4E8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48</xdr:row>
      <xdr:rowOff>142875</xdr:rowOff>
    </xdr:from>
    <xdr:to>
      <xdr:col>42</xdr:col>
      <xdr:colOff>411480</xdr:colOff>
      <xdr:row>63</xdr:row>
      <xdr:rowOff>142875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91608C0-E69F-434E-8EE4-F4C204A65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19050</xdr:colOff>
      <xdr:row>30</xdr:row>
      <xdr:rowOff>175260</xdr:rowOff>
    </xdr:from>
    <xdr:to>
      <xdr:col>47</xdr:col>
      <xdr:colOff>487680</xdr:colOff>
      <xdr:row>46</xdr:row>
      <xdr:rowOff>35560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14D93-CC96-40E3-9161-6668E4A80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628650</xdr:colOff>
      <xdr:row>48</xdr:row>
      <xdr:rowOff>152400</xdr:rowOff>
    </xdr:from>
    <xdr:to>
      <xdr:col>48</xdr:col>
      <xdr:colOff>400050</xdr:colOff>
      <xdr:row>63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C982F-D622-43FA-B4EA-BB21A0E1A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122</xdr:row>
      <xdr:rowOff>0</xdr:rowOff>
    </xdr:from>
    <xdr:to>
      <xdr:col>5</xdr:col>
      <xdr:colOff>754380</xdr:colOff>
      <xdr:row>137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024E01-F184-42E4-970C-FD9A3E4E9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122</xdr:row>
      <xdr:rowOff>0</xdr:rowOff>
    </xdr:from>
    <xdr:to>
      <xdr:col>11</xdr:col>
      <xdr:colOff>777240</xdr:colOff>
      <xdr:row>137</xdr:row>
      <xdr:rowOff>144780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3A91CF-27E3-42F7-8540-739A4383A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140</xdr:row>
      <xdr:rowOff>0</xdr:rowOff>
    </xdr:from>
    <xdr:to>
      <xdr:col>5</xdr:col>
      <xdr:colOff>754380</xdr:colOff>
      <xdr:row>155</xdr:row>
      <xdr:rowOff>144780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3315BD2-D9AC-472D-B0AF-3EAD4A08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10</xdr:col>
      <xdr:colOff>571500</xdr:colOff>
      <xdr:row>155</xdr:row>
      <xdr:rowOff>144780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5A6A61B-384A-43FF-AE80-76A3CB1D2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160</xdr:row>
      <xdr:rowOff>0</xdr:rowOff>
    </xdr:from>
    <xdr:to>
      <xdr:col>11</xdr:col>
      <xdr:colOff>777240</xdr:colOff>
      <xdr:row>175</xdr:row>
      <xdr:rowOff>144780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DF807AA-8F87-4CE5-ABE7-188A32581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160</xdr:row>
      <xdr:rowOff>0</xdr:rowOff>
    </xdr:from>
    <xdr:to>
      <xdr:col>5</xdr:col>
      <xdr:colOff>754380</xdr:colOff>
      <xdr:row>175</xdr:row>
      <xdr:rowOff>144780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C347D85-40C6-42F8-ABFA-5930BCCD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621030</xdr:colOff>
      <xdr:row>178</xdr:row>
      <xdr:rowOff>0</xdr:rowOff>
    </xdr:from>
    <xdr:to>
      <xdr:col>5</xdr:col>
      <xdr:colOff>944880</xdr:colOff>
      <xdr:row>193</xdr:row>
      <xdr:rowOff>144780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BDE5785-6D35-47CC-8C70-5DF2B2D10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178</xdr:row>
      <xdr:rowOff>0</xdr:rowOff>
    </xdr:from>
    <xdr:to>
      <xdr:col>10</xdr:col>
      <xdr:colOff>571500</xdr:colOff>
      <xdr:row>193</xdr:row>
      <xdr:rowOff>144780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30EF73E-072B-49BD-B1B8-DD079AFE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49</xdr:col>
      <xdr:colOff>0</xdr:colOff>
      <xdr:row>31</xdr:row>
      <xdr:rowOff>0</xdr:rowOff>
    </xdr:from>
    <xdr:to>
      <xdr:col>53</xdr:col>
      <xdr:colOff>468630</xdr:colOff>
      <xdr:row>46</xdr:row>
      <xdr:rowOff>44450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C201F28-E5AC-49D2-B9E1-43CB883D5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54</xdr:col>
      <xdr:colOff>400050</xdr:colOff>
      <xdr:row>64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C387615-31F3-455C-B42F-967CB3F63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7A9AF-B4B5-4D1E-AB5A-32839510C047}" name="Table1" displayName="Table1" ref="C4:R28" totalsRowShown="0" headerRowDxfId="17" dataDxfId="16">
  <autoFilter ref="C4:R28" xr:uid="{1CE37FB4-3BB2-4C35-A371-06FB3F72CD58}"/>
  <tableColumns count="16">
    <tableColumn id="1" xr3:uid="{F1E4F564-8D39-4F22-8407-A0803DE337EC}" name="    " dataDxfId="15"/>
    <tableColumn id="2" xr3:uid="{377D1856-3A6E-4948-9E44-C7280B453EE2}" name="بهار 99" dataDxfId="14" dataCellStyle="Comma"/>
    <tableColumn id="3" xr3:uid="{1659C9AF-C931-4944-9C16-F74B2D61A4FB}" name="تابستان 99" dataDxfId="13" dataCellStyle="Comma"/>
    <tableColumn id="4" xr3:uid="{2BF1AA45-466B-48B7-BF1F-08155C11C6B8}" name="پاییز 99" dataDxfId="12" dataCellStyle="Comma"/>
    <tableColumn id="5" xr3:uid="{CD37268E-0009-4BDF-93F9-0918B93E063D}" name="زمستان 99" dataDxfId="11" dataCellStyle="Comma"/>
    <tableColumn id="6" xr3:uid="{87E65B74-C67E-4A5B-8E6F-B3BDEC25745C}" name="فروردین 1400" dataDxfId="10" dataCellStyle="Comma"/>
    <tableColumn id="7" xr3:uid="{5B1161E1-4400-478B-BEA1-B6A2ABBEFB10}" name="تابستان 1400" dataDxfId="9" dataCellStyle="Comma"/>
    <tableColumn id="8" xr3:uid="{24045F92-2D84-42ED-A8B6-AEAB8E3CED26}" name="پاییز 1400" dataDxfId="8" dataCellStyle="Comma"/>
    <tableColumn id="9" xr3:uid="{7D1A2F8B-2D3C-4E9B-A667-6E6C25D77179}" name="زمستان 1400" dataDxfId="7" dataCellStyle="Comma"/>
    <tableColumn id="10" xr3:uid="{199D08B5-86D4-46DB-964C-93F7A36DA4C5}" name="بهار 1401" dataDxfId="6" dataCellStyle="Comma"/>
    <tableColumn id="11" xr3:uid="{C10F5300-921B-42A8-8DB0-C9115EC31DE0}" name="تابستان 1401" dataDxfId="5" dataCellStyle="Comma"/>
    <tableColumn id="12" xr3:uid="{FB3F54E6-5B89-45F4-A530-222CBC5A5E50}" name="پاییز 1401" dataDxfId="4" dataCellStyle="Comma"/>
    <tableColumn id="13" xr3:uid="{2FEEBC16-B91A-47E2-8B2A-FF17DD2FBEA5}" name="زمستان 1401" dataDxfId="3" dataCellStyle="Comma"/>
    <tableColumn id="14" xr3:uid="{FD49FFD2-7FE3-413A-A939-5A6CE6E738C1}" name="بهار 1402" dataDxfId="2" dataCellStyle="Comma"/>
    <tableColumn id="15" xr3:uid="{9890C492-BE9F-473D-8190-22381CACBB3B}" name="تابستان 1402" dataDxfId="1" dataCellStyle="Comma"/>
    <tableColumn id="16" xr3:uid="{79020D68-4E69-4391-A4D7-F19684A37F55}" name="پاییز 1402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8835-5DCA-4241-A3FD-35441A0E35F1}">
  <dimension ref="C2:AG30"/>
  <sheetViews>
    <sheetView tabSelected="1" topLeftCell="A13" zoomScale="61" zoomScaleNormal="115" workbookViewId="0">
      <selection activeCell="AQ9" sqref="AQ9"/>
    </sheetView>
  </sheetViews>
  <sheetFormatPr defaultRowHeight="14.5"/>
  <cols>
    <col min="1" max="1" width="14.90625" customWidth="1"/>
    <col min="2" max="2" width="17.90625" customWidth="1"/>
    <col min="3" max="3" width="45.1796875" customWidth="1"/>
    <col min="4" max="4" width="14.453125" customWidth="1"/>
    <col min="5" max="5" width="14.54296875" customWidth="1"/>
    <col min="6" max="6" width="22.36328125" customWidth="1"/>
    <col min="7" max="7" width="17.26953125" customWidth="1"/>
    <col min="8" max="8" width="16.81640625" customWidth="1"/>
    <col min="9" max="9" width="22.90625" customWidth="1"/>
    <col min="10" max="10" width="20.54296875" customWidth="1"/>
    <col min="11" max="11" width="18.54296875" customWidth="1"/>
    <col min="12" max="12" width="24.6328125" customWidth="1"/>
    <col min="13" max="13" width="20.08984375" customWidth="1"/>
    <col min="14" max="14" width="17.81640625" customWidth="1"/>
    <col min="15" max="16" width="25.08984375" customWidth="1"/>
    <col min="17" max="17" width="18.54296875" customWidth="1"/>
    <col min="18" max="18" width="16.90625" customWidth="1"/>
    <col min="25" max="25" width="3.90625" customWidth="1"/>
    <col min="26" max="26" width="29.453125" customWidth="1"/>
    <col min="27" max="27" width="13.7265625" customWidth="1"/>
    <col min="28" max="28" width="16.08984375" customWidth="1"/>
    <col min="29" max="29" width="13.54296875" customWidth="1"/>
    <col min="30" max="30" width="15.81640625" customWidth="1"/>
    <col min="31" max="31" width="14.54296875" customWidth="1"/>
    <col min="32" max="32" width="15" customWidth="1"/>
    <col min="33" max="33" width="15.453125" customWidth="1"/>
    <col min="34" max="34" width="17.1796875" customWidth="1"/>
    <col min="35" max="35" width="13.1796875" customWidth="1"/>
    <col min="36" max="36" width="14.08984375" customWidth="1"/>
    <col min="37" max="37" width="20.453125" customWidth="1"/>
    <col min="38" max="38" width="18.36328125" customWidth="1"/>
  </cols>
  <sheetData>
    <row r="2" spans="3:33">
      <c r="E2">
        <f>SUM(D7+E7)</f>
        <v>454</v>
      </c>
      <c r="AC2" s="10"/>
      <c r="AD2" s="10"/>
      <c r="AE2" s="10"/>
      <c r="AF2" s="10"/>
      <c r="AG2" s="10"/>
    </row>
    <row r="3" spans="3:33">
      <c r="AC3" s="11"/>
      <c r="AD3" s="11"/>
      <c r="AE3" s="11"/>
      <c r="AF3" s="11"/>
      <c r="AG3" s="11"/>
    </row>
    <row r="4" spans="3:33" ht="15.5">
      <c r="C4" s="5" t="s">
        <v>5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6" t="s">
        <v>22</v>
      </c>
      <c r="O4" s="6" t="s">
        <v>32</v>
      </c>
      <c r="P4" s="5" t="s">
        <v>33</v>
      </c>
      <c r="Q4" s="5" t="s">
        <v>34</v>
      </c>
      <c r="R4" s="7" t="s">
        <v>35</v>
      </c>
    </row>
    <row r="5" spans="3:33" ht="15.5">
      <c r="C5" s="5" t="s">
        <v>36</v>
      </c>
      <c r="D5" s="7">
        <v>534</v>
      </c>
      <c r="E5" s="7">
        <v>1241</v>
      </c>
      <c r="F5" s="7">
        <v>989</v>
      </c>
      <c r="G5" s="7">
        <v>1303</v>
      </c>
      <c r="H5" s="7">
        <v>1004</v>
      </c>
      <c r="I5" s="7">
        <v>1860</v>
      </c>
      <c r="J5" s="7">
        <v>1863</v>
      </c>
      <c r="K5" s="7">
        <v>2139</v>
      </c>
      <c r="L5" s="7">
        <v>3137</v>
      </c>
      <c r="M5" s="7">
        <v>4939</v>
      </c>
      <c r="N5" s="7">
        <v>6293</v>
      </c>
      <c r="O5" s="8">
        <v>8104</v>
      </c>
      <c r="P5" s="7">
        <v>5163</v>
      </c>
      <c r="Q5" s="7">
        <v>5641</v>
      </c>
      <c r="R5" s="7">
        <v>6246</v>
      </c>
    </row>
    <row r="6" spans="3:33" ht="15.5">
      <c r="C6" s="5" t="s">
        <v>37</v>
      </c>
      <c r="D6" s="7">
        <f>D7+D8</f>
        <v>204</v>
      </c>
      <c r="E6" s="7">
        <f t="shared" ref="E6:O6" si="0">E7+E8</f>
        <v>499</v>
      </c>
      <c r="F6" s="7">
        <f t="shared" si="0"/>
        <v>544</v>
      </c>
      <c r="G6" s="7">
        <f t="shared" si="0"/>
        <v>570</v>
      </c>
      <c r="H6" s="7">
        <f t="shared" si="0"/>
        <v>548</v>
      </c>
      <c r="I6" s="7">
        <f t="shared" si="0"/>
        <v>1073</v>
      </c>
      <c r="J6" s="7">
        <f t="shared" si="0"/>
        <v>1158</v>
      </c>
      <c r="K6" s="7">
        <f t="shared" si="0"/>
        <v>1186</v>
      </c>
      <c r="L6" s="7">
        <f t="shared" si="0"/>
        <v>1412</v>
      </c>
      <c r="M6" s="7">
        <f t="shared" si="0"/>
        <v>2110</v>
      </c>
      <c r="N6" s="7">
        <f t="shared" si="0"/>
        <v>2287</v>
      </c>
      <c r="O6" s="7">
        <f t="shared" si="0"/>
        <v>2820</v>
      </c>
      <c r="P6" s="7">
        <f t="shared" ref="P6" si="1">P7+P8</f>
        <v>1996</v>
      </c>
      <c r="Q6" s="7">
        <f t="shared" ref="Q6" si="2">Q7+Q8</f>
        <v>2323</v>
      </c>
      <c r="R6" s="7">
        <f t="shared" ref="R6" si="3">R7+R8</f>
        <v>2557</v>
      </c>
    </row>
    <row r="7" spans="3:33" ht="15.5">
      <c r="C7" s="5" t="s">
        <v>11</v>
      </c>
      <c r="D7" s="7">
        <v>96</v>
      </c>
      <c r="E7" s="7">
        <v>358</v>
      </c>
      <c r="F7" s="7">
        <v>453</v>
      </c>
      <c r="G7" s="7">
        <v>461</v>
      </c>
      <c r="H7" s="7">
        <v>498</v>
      </c>
      <c r="I7" s="7">
        <v>971</v>
      </c>
      <c r="J7" s="7">
        <v>1063</v>
      </c>
      <c r="K7" s="7">
        <v>1038</v>
      </c>
      <c r="L7" s="7">
        <v>1271</v>
      </c>
      <c r="M7" s="7">
        <v>1855</v>
      </c>
      <c r="N7" s="7">
        <v>1939</v>
      </c>
      <c r="O7" s="8">
        <v>2318</v>
      </c>
      <c r="P7" s="7">
        <v>1688</v>
      </c>
      <c r="Q7" s="7">
        <v>1984</v>
      </c>
      <c r="R7" s="7">
        <v>2169</v>
      </c>
      <c r="X7" s="2"/>
    </row>
    <row r="8" spans="3:33" ht="15.5">
      <c r="C8" s="5" t="s">
        <v>12</v>
      </c>
      <c r="D8" s="7">
        <v>108</v>
      </c>
      <c r="E8" s="7">
        <v>141</v>
      </c>
      <c r="F8" s="7">
        <v>91</v>
      </c>
      <c r="G8" s="7">
        <v>109</v>
      </c>
      <c r="H8" s="7">
        <v>50</v>
      </c>
      <c r="I8" s="7">
        <v>102</v>
      </c>
      <c r="J8" s="7">
        <v>95</v>
      </c>
      <c r="K8" s="7">
        <v>148</v>
      </c>
      <c r="L8" s="7">
        <v>141</v>
      </c>
      <c r="M8" s="7">
        <v>255</v>
      </c>
      <c r="N8" s="7">
        <v>348</v>
      </c>
      <c r="O8" s="8">
        <v>502</v>
      </c>
      <c r="P8" s="7">
        <v>308</v>
      </c>
      <c r="Q8" s="7">
        <v>339</v>
      </c>
      <c r="R8" s="7">
        <v>388</v>
      </c>
      <c r="X8" s="2"/>
    </row>
    <row r="9" spans="3:33" ht="15.5">
      <c r="C9" s="5" t="s">
        <v>39</v>
      </c>
      <c r="D9" s="9">
        <f t="shared" ref="D9:R9" si="4">D7/D6</f>
        <v>0.47058823529411764</v>
      </c>
      <c r="E9" s="9">
        <f t="shared" si="4"/>
        <v>0.71743486973947901</v>
      </c>
      <c r="F9" s="9">
        <f t="shared" si="4"/>
        <v>0.83272058823529416</v>
      </c>
      <c r="G9" s="9">
        <f t="shared" si="4"/>
        <v>0.80877192982456136</v>
      </c>
      <c r="H9" s="9">
        <f t="shared" si="4"/>
        <v>0.90875912408759119</v>
      </c>
      <c r="I9" s="9">
        <f t="shared" si="4"/>
        <v>0.90493942218080148</v>
      </c>
      <c r="J9" s="9">
        <f t="shared" si="4"/>
        <v>0.9179620034542314</v>
      </c>
      <c r="K9" s="9">
        <f t="shared" si="4"/>
        <v>0.87521079258010115</v>
      </c>
      <c r="L9" s="9">
        <f t="shared" si="4"/>
        <v>0.90014164305949007</v>
      </c>
      <c r="M9" s="9">
        <f t="shared" si="4"/>
        <v>0.87914691943127965</v>
      </c>
      <c r="N9" s="9">
        <f t="shared" si="4"/>
        <v>0.84783559247923046</v>
      </c>
      <c r="O9" s="9">
        <f t="shared" si="4"/>
        <v>0.8219858156028369</v>
      </c>
      <c r="P9" s="9">
        <f t="shared" si="4"/>
        <v>0.84569138276553102</v>
      </c>
      <c r="Q9" s="9">
        <f t="shared" si="4"/>
        <v>0.8540680154972019</v>
      </c>
      <c r="R9" s="9">
        <f t="shared" si="4"/>
        <v>0.84825967931169344</v>
      </c>
    </row>
    <row r="10" spans="3:33" ht="15.5">
      <c r="C10" s="5" t="s">
        <v>38</v>
      </c>
      <c r="D10" s="9">
        <f t="shared" ref="D10:N10" si="5">D7/D5</f>
        <v>0.1797752808988764</v>
      </c>
      <c r="E10" s="9">
        <f t="shared" si="5"/>
        <v>0.28847703464947622</v>
      </c>
      <c r="F10" s="9">
        <f t="shared" si="5"/>
        <v>0.45803842264914052</v>
      </c>
      <c r="G10" s="9">
        <f t="shared" si="5"/>
        <v>0.35379892555640829</v>
      </c>
      <c r="H10" s="9">
        <f t="shared" si="5"/>
        <v>0.49601593625498008</v>
      </c>
      <c r="I10" s="9">
        <f t="shared" si="5"/>
        <v>0.52204301075268822</v>
      </c>
      <c r="J10" s="9">
        <f t="shared" si="5"/>
        <v>0.57058507783145462</v>
      </c>
      <c r="K10" s="9">
        <f t="shared" si="5"/>
        <v>0.48527349228611499</v>
      </c>
      <c r="L10" s="9">
        <f t="shared" si="5"/>
        <v>0.4051641695887791</v>
      </c>
      <c r="M10" s="9">
        <f t="shared" si="5"/>
        <v>0.3755821016400081</v>
      </c>
      <c r="N10" s="9">
        <f t="shared" si="5"/>
        <v>0.3081201334816463</v>
      </c>
      <c r="O10" s="9">
        <f>O7/O5</f>
        <v>0.28603158933859824</v>
      </c>
      <c r="P10" s="9">
        <f t="shared" ref="P10:R10" si="6">P7/P5</f>
        <v>0.32694170056168892</v>
      </c>
      <c r="Q10" s="9">
        <f t="shared" si="6"/>
        <v>0.35171068959404361</v>
      </c>
      <c r="R10" s="9">
        <f t="shared" si="6"/>
        <v>0.3472622478386167</v>
      </c>
    </row>
    <row r="11" spans="3:33" ht="15.5">
      <c r="C11" s="1" t="s">
        <v>23</v>
      </c>
      <c r="D11" s="7">
        <v>323</v>
      </c>
      <c r="E11" s="7">
        <v>698</v>
      </c>
      <c r="F11" s="7">
        <v>664</v>
      </c>
      <c r="G11" s="7">
        <v>641</v>
      </c>
      <c r="H11" s="7">
        <v>557</v>
      </c>
      <c r="I11" s="7">
        <v>1057</v>
      </c>
      <c r="J11" s="7">
        <v>1056</v>
      </c>
      <c r="K11" s="7">
        <v>1192</v>
      </c>
      <c r="L11" s="7">
        <v>1646</v>
      </c>
      <c r="M11" s="7">
        <v>2431</v>
      </c>
      <c r="N11" s="7">
        <v>2591</v>
      </c>
      <c r="O11" s="8">
        <v>3536</v>
      </c>
      <c r="P11" s="7"/>
      <c r="Q11" s="7"/>
      <c r="R11" s="7"/>
    </row>
    <row r="12" spans="3:33" ht="15.5">
      <c r="C12" s="5" t="s">
        <v>13</v>
      </c>
      <c r="D12" s="7">
        <v>96</v>
      </c>
      <c r="E12" s="7">
        <v>321</v>
      </c>
      <c r="F12" s="7">
        <v>406</v>
      </c>
      <c r="G12" s="7">
        <v>390</v>
      </c>
      <c r="H12" s="7">
        <v>396</v>
      </c>
      <c r="I12" s="7">
        <v>765</v>
      </c>
      <c r="J12" s="7">
        <v>807</v>
      </c>
      <c r="K12" s="7">
        <v>840</v>
      </c>
      <c r="L12" s="7">
        <v>1049</v>
      </c>
      <c r="M12" s="7">
        <v>1544</v>
      </c>
      <c r="N12" s="7">
        <v>1619</v>
      </c>
      <c r="O12" s="8">
        <v>1778</v>
      </c>
      <c r="P12" s="7"/>
      <c r="Q12" s="7"/>
      <c r="R12" s="7"/>
    </row>
    <row r="13" spans="3:33" ht="15.5">
      <c r="C13" s="5" t="s">
        <v>14</v>
      </c>
      <c r="D13" s="7">
        <v>227</v>
      </c>
      <c r="E13" s="7">
        <v>377</v>
      </c>
      <c r="F13" s="7">
        <v>258</v>
      </c>
      <c r="G13" s="7">
        <v>251</v>
      </c>
      <c r="H13" s="7">
        <v>161</v>
      </c>
      <c r="I13" s="7">
        <v>292</v>
      </c>
      <c r="J13" s="7">
        <v>249</v>
      </c>
      <c r="K13" s="7">
        <v>352</v>
      </c>
      <c r="L13" s="7">
        <v>597</v>
      </c>
      <c r="M13" s="7">
        <v>887</v>
      </c>
      <c r="N13" s="7">
        <v>972</v>
      </c>
      <c r="O13" s="8">
        <v>1758</v>
      </c>
      <c r="P13" s="7"/>
      <c r="Q13" s="7"/>
      <c r="R13" s="7"/>
    </row>
    <row r="14" spans="3:33" ht="15.5">
      <c r="C14" s="5" t="s">
        <v>15</v>
      </c>
      <c r="D14" s="7">
        <v>42</v>
      </c>
      <c r="E14" s="7">
        <v>45</v>
      </c>
      <c r="F14" s="7">
        <v>61</v>
      </c>
      <c r="G14" s="7">
        <v>60</v>
      </c>
      <c r="H14" s="7">
        <v>71</v>
      </c>
      <c r="I14" s="7">
        <v>72</v>
      </c>
      <c r="J14" s="7">
        <v>76</v>
      </c>
      <c r="K14" s="7">
        <v>70</v>
      </c>
      <c r="L14" s="7">
        <v>63</v>
      </c>
      <c r="M14" s="7">
        <v>63</v>
      </c>
      <c r="N14" s="7">
        <v>62</v>
      </c>
      <c r="O14" s="8">
        <v>50</v>
      </c>
      <c r="P14" s="7"/>
      <c r="Q14" s="7"/>
      <c r="R14" s="7"/>
    </row>
    <row r="15" spans="3:33" ht="15.5">
      <c r="C15" s="5" t="s">
        <v>16</v>
      </c>
      <c r="D15" s="7">
        <v>74</v>
      </c>
      <c r="E15" s="7">
        <v>287</v>
      </c>
      <c r="F15" s="7">
        <v>356</v>
      </c>
      <c r="G15" s="7">
        <v>383</v>
      </c>
      <c r="H15" s="7">
        <v>427</v>
      </c>
      <c r="I15" s="7">
        <v>846</v>
      </c>
      <c r="J15" s="7">
        <v>920</v>
      </c>
      <c r="K15" s="7">
        <v>805</v>
      </c>
      <c r="L15" s="7">
        <v>940</v>
      </c>
      <c r="M15" s="7">
        <v>1277</v>
      </c>
      <c r="N15" s="7">
        <v>1390</v>
      </c>
      <c r="O15" s="8">
        <v>1835</v>
      </c>
      <c r="P15" s="7">
        <v>1269</v>
      </c>
      <c r="Q15" s="7">
        <v>1505</v>
      </c>
      <c r="R15" s="7">
        <v>1577</v>
      </c>
    </row>
    <row r="16" spans="3:33" ht="15.5">
      <c r="C16" s="5" t="s">
        <v>17</v>
      </c>
      <c r="D16" s="7">
        <v>22</v>
      </c>
      <c r="E16" s="7">
        <v>71</v>
      </c>
      <c r="F16" s="7">
        <v>97</v>
      </c>
      <c r="G16" s="7">
        <v>78</v>
      </c>
      <c r="H16" s="7">
        <v>71</v>
      </c>
      <c r="I16" s="7">
        <v>125</v>
      </c>
      <c r="J16" s="7">
        <v>143</v>
      </c>
      <c r="K16" s="7">
        <v>233</v>
      </c>
      <c r="L16" s="7">
        <v>331</v>
      </c>
      <c r="M16" s="7">
        <v>578</v>
      </c>
      <c r="N16" s="7">
        <v>553</v>
      </c>
      <c r="O16" s="8">
        <v>483</v>
      </c>
      <c r="P16" s="7">
        <v>419</v>
      </c>
      <c r="Q16" s="7">
        <f>Q7-Q15</f>
        <v>479</v>
      </c>
      <c r="R16" s="7">
        <f>R7-R15</f>
        <v>592</v>
      </c>
    </row>
    <row r="17" spans="3:18" ht="15.5">
      <c r="C17" s="5" t="s">
        <v>18</v>
      </c>
      <c r="D17" s="7">
        <v>95</v>
      </c>
      <c r="E17" s="7">
        <v>323</v>
      </c>
      <c r="F17" s="7">
        <v>417</v>
      </c>
      <c r="G17" s="7">
        <v>404</v>
      </c>
      <c r="H17" s="7">
        <v>445</v>
      </c>
      <c r="I17" s="7">
        <v>876</v>
      </c>
      <c r="J17" s="7">
        <v>858</v>
      </c>
      <c r="K17" s="7">
        <v>824</v>
      </c>
      <c r="L17" s="7">
        <v>1003</v>
      </c>
      <c r="M17" s="7">
        <v>1487</v>
      </c>
      <c r="N17" s="7">
        <v>1519</v>
      </c>
      <c r="O17" s="8">
        <v>1714</v>
      </c>
      <c r="P17" s="7">
        <f>P7 - P18</f>
        <v>1225</v>
      </c>
      <c r="Q17" s="7">
        <f>Q7 - Q18</f>
        <v>1497</v>
      </c>
      <c r="R17" s="7">
        <f>R7 - R18</f>
        <v>1590</v>
      </c>
    </row>
    <row r="18" spans="3:18" ht="15.5">
      <c r="C18" s="5" t="s">
        <v>19</v>
      </c>
      <c r="D18" s="7">
        <v>1</v>
      </c>
      <c r="E18" s="7">
        <v>35</v>
      </c>
      <c r="F18" s="7">
        <v>36</v>
      </c>
      <c r="G18" s="7">
        <v>57</v>
      </c>
      <c r="H18" s="7">
        <v>53</v>
      </c>
      <c r="I18" s="7">
        <v>95</v>
      </c>
      <c r="J18" s="7">
        <v>205</v>
      </c>
      <c r="K18" s="7">
        <v>214</v>
      </c>
      <c r="L18" s="7">
        <v>268</v>
      </c>
      <c r="M18" s="7">
        <v>368</v>
      </c>
      <c r="N18" s="7">
        <v>424</v>
      </c>
      <c r="O18" s="8">
        <v>604</v>
      </c>
      <c r="P18" s="7">
        <v>463</v>
      </c>
      <c r="Q18" s="7">
        <v>487</v>
      </c>
      <c r="R18" s="7">
        <v>579</v>
      </c>
    </row>
    <row r="19" spans="3:18" ht="15.5">
      <c r="C19" s="5" t="s">
        <v>20</v>
      </c>
      <c r="D19" s="7">
        <v>7367000</v>
      </c>
      <c r="E19" s="7">
        <v>66062865</v>
      </c>
      <c r="F19" s="7">
        <v>96891261</v>
      </c>
      <c r="G19" s="7">
        <v>116681690</v>
      </c>
      <c r="H19" s="7">
        <v>142802097</v>
      </c>
      <c r="I19" s="7">
        <v>283150623</v>
      </c>
      <c r="J19" s="7">
        <v>552335503</v>
      </c>
      <c r="K19" s="7">
        <v>711768013</v>
      </c>
      <c r="L19" s="7">
        <v>1136482264</v>
      </c>
      <c r="M19" s="7">
        <v>2079960736</v>
      </c>
      <c r="N19" s="7">
        <v>2347703750</v>
      </c>
      <c r="O19" s="8">
        <v>2479692601</v>
      </c>
      <c r="P19" s="7">
        <v>2513347823</v>
      </c>
      <c r="Q19" s="7">
        <v>3273177936</v>
      </c>
      <c r="R19" s="7">
        <v>4707874423</v>
      </c>
    </row>
    <row r="20" spans="3:18" ht="15.5">
      <c r="C20" s="5" t="s">
        <v>21</v>
      </c>
      <c r="D20" s="7">
        <v>2000000</v>
      </c>
      <c r="E20" s="7">
        <v>6000000</v>
      </c>
      <c r="F20" s="7">
        <v>8000000</v>
      </c>
      <c r="G20" s="7">
        <v>15000000</v>
      </c>
      <c r="H20" s="7">
        <v>16000000</v>
      </c>
      <c r="I20" s="7">
        <v>33000000</v>
      </c>
      <c r="J20" s="7">
        <v>54000000</v>
      </c>
      <c r="K20" s="7">
        <v>70000000</v>
      </c>
      <c r="L20" s="7">
        <v>112000000</v>
      </c>
      <c r="M20" s="7">
        <v>221457996</v>
      </c>
      <c r="N20" s="7">
        <v>268707851</v>
      </c>
      <c r="O20" s="8">
        <v>265598297</v>
      </c>
      <c r="P20" s="7">
        <v>303355510</v>
      </c>
      <c r="Q20" s="7">
        <v>432822273</v>
      </c>
      <c r="R20" s="7">
        <v>675039120</v>
      </c>
    </row>
    <row r="21" spans="3:18" ht="15.5">
      <c r="C21" s="5" t="s">
        <v>24</v>
      </c>
      <c r="D21" s="7">
        <v>5387</v>
      </c>
      <c r="E21" s="7">
        <v>6691</v>
      </c>
      <c r="F21" s="7">
        <v>8459</v>
      </c>
      <c r="G21" s="7">
        <v>10317</v>
      </c>
      <c r="H21" s="7">
        <v>11291</v>
      </c>
      <c r="I21" s="7">
        <v>12813</v>
      </c>
      <c r="J21" s="7">
        <v>14240</v>
      </c>
      <c r="K21" s="7">
        <v>16388</v>
      </c>
      <c r="L21" s="7">
        <v>19070</v>
      </c>
      <c r="M21" s="7">
        <v>23779</v>
      </c>
      <c r="N21" s="7">
        <v>31379</v>
      </c>
      <c r="O21" s="8">
        <v>39361</v>
      </c>
      <c r="P21" s="7">
        <v>44880</v>
      </c>
      <c r="Q21" s="7">
        <v>50804</v>
      </c>
      <c r="R21" s="7">
        <v>56603</v>
      </c>
    </row>
    <row r="22" spans="3:18" ht="15.5">
      <c r="C22" s="5" t="s">
        <v>25</v>
      </c>
      <c r="D22" s="7">
        <v>231</v>
      </c>
      <c r="E22" s="7">
        <v>375</v>
      </c>
      <c r="F22" s="7">
        <v>549</v>
      </c>
      <c r="G22" s="7">
        <v>737</v>
      </c>
      <c r="H22" s="7">
        <v>878</v>
      </c>
      <c r="I22" s="7">
        <v>1143</v>
      </c>
      <c r="J22" s="7">
        <v>1372</v>
      </c>
      <c r="K22" s="7">
        <v>1636</v>
      </c>
      <c r="L22" s="7">
        <v>1829</v>
      </c>
      <c r="M22" s="7">
        <v>2151</v>
      </c>
      <c r="N22" s="7">
        <v>2586</v>
      </c>
      <c r="O22" s="8">
        <v>2958</v>
      </c>
      <c r="P22" s="7">
        <v>3217</v>
      </c>
      <c r="Q22" s="7">
        <v>3491</v>
      </c>
      <c r="R22" s="7">
        <v>3786</v>
      </c>
    </row>
    <row r="23" spans="3:18" ht="15.5">
      <c r="C23" s="5" t="s">
        <v>26</v>
      </c>
      <c r="D23" s="7">
        <v>1519</v>
      </c>
      <c r="E23" s="7">
        <v>2060</v>
      </c>
      <c r="F23" s="7">
        <v>2528</v>
      </c>
      <c r="G23" s="7">
        <v>3104</v>
      </c>
      <c r="H23" s="7">
        <v>3435</v>
      </c>
      <c r="I23" s="7">
        <v>3936</v>
      </c>
      <c r="J23" s="7">
        <v>4505</v>
      </c>
      <c r="K23" s="7">
        <v>5153</v>
      </c>
      <c r="L23" s="7">
        <v>5610</v>
      </c>
      <c r="M23" s="7">
        <v>6575</v>
      </c>
      <c r="N23" s="7">
        <v>8393</v>
      </c>
      <c r="O23" s="8">
        <v>10944</v>
      </c>
      <c r="P23" s="7">
        <v>12631</v>
      </c>
      <c r="Q23" s="7">
        <v>14531</v>
      </c>
      <c r="R23" s="7">
        <v>16764</v>
      </c>
    </row>
    <row r="24" spans="3:18" ht="15.5">
      <c r="C24" s="5" t="s">
        <v>27</v>
      </c>
      <c r="D24" s="7">
        <v>129</v>
      </c>
      <c r="E24" s="7">
        <v>180</v>
      </c>
      <c r="F24" s="7">
        <v>243</v>
      </c>
      <c r="G24" s="7">
        <v>300</v>
      </c>
      <c r="H24" s="7">
        <v>368</v>
      </c>
      <c r="I24" s="7">
        <v>493</v>
      </c>
      <c r="J24" s="7">
        <v>635</v>
      </c>
      <c r="K24" s="7">
        <v>828</v>
      </c>
      <c r="L24" s="7">
        <v>964</v>
      </c>
      <c r="M24" s="7">
        <v>1218</v>
      </c>
      <c r="N24" s="7">
        <v>1565</v>
      </c>
      <c r="O24" s="8">
        <v>1792</v>
      </c>
      <c r="P24" s="7">
        <v>1961</v>
      </c>
      <c r="Q24" s="7">
        <v>2173</v>
      </c>
      <c r="R24" s="7">
        <v>2484</v>
      </c>
    </row>
    <row r="25" spans="3:18" ht="15.5">
      <c r="C25" s="5" t="s">
        <v>28</v>
      </c>
      <c r="D25" s="7">
        <f>SUM(D6)+5755</f>
        <v>5959</v>
      </c>
      <c r="E25" s="7">
        <f>SUM(D6,E6)+5755</f>
        <v>6458</v>
      </c>
      <c r="F25" s="7">
        <f>SUM(D6,E6,F6)+5755</f>
        <v>7002</v>
      </c>
      <c r="G25" s="7">
        <f>SUM(D6,E6,F6,G6)+5755</f>
        <v>7572</v>
      </c>
      <c r="H25" s="7">
        <f>SUM(D6,E6,F6,G6,H6)+5755</f>
        <v>8120</v>
      </c>
      <c r="I25" s="7">
        <f>SUM(D6,E6,F6,G6,H6,I6)+5755</f>
        <v>9193</v>
      </c>
      <c r="J25" s="7">
        <f>SUM(D6,E6,F6,G6,H6,I6,J6)+5755</f>
        <v>10351</v>
      </c>
      <c r="K25" s="7">
        <f>SUM(D6,E6,F6,G6,H6,I6,J6,K6)+5755</f>
        <v>11537</v>
      </c>
      <c r="L25" s="7">
        <f>SUM(D6,E6,F6,G6,H6,I6,J6,K6,L6)+5755</f>
        <v>12949</v>
      </c>
      <c r="M25" s="7">
        <f>SUM(D6,E6,F6,G6,H6,I6,J6,K6,L6,M6)+5755</f>
        <v>15059</v>
      </c>
      <c r="N25" s="7">
        <v>34824</v>
      </c>
      <c r="O25" s="8">
        <v>39784</v>
      </c>
      <c r="P25" s="7">
        <f>Table1[[#This Row],[زمستان 1401]]+P5</f>
        <v>44947</v>
      </c>
      <c r="Q25" s="7">
        <f>Table1[[#This Row],[بهار 1402]]+Q5</f>
        <v>50588</v>
      </c>
      <c r="R25" s="7">
        <f>Table1[[#This Row],[تابستان 1402]]+R5</f>
        <v>56834</v>
      </c>
    </row>
    <row r="26" spans="3:18" ht="15.5">
      <c r="C26" s="5" t="s">
        <v>29</v>
      </c>
      <c r="D26" s="7">
        <f>SUM(D7)+487</f>
        <v>583</v>
      </c>
      <c r="E26" s="7">
        <f>SUM(D7,E7)+487</f>
        <v>941</v>
      </c>
      <c r="F26" s="7">
        <f>SUM(D7,E7,F7)+487</f>
        <v>1394</v>
      </c>
      <c r="G26" s="7">
        <f>SUM(D7,E7,F7,G7)+487</f>
        <v>1855</v>
      </c>
      <c r="H26" s="7">
        <f>SUM(D7,E7,F7,G7,H7)+487</f>
        <v>2353</v>
      </c>
      <c r="I26" s="7">
        <f>SUM(D7,E7,F7,G7,H7,I7)+487</f>
        <v>3324</v>
      </c>
      <c r="J26" s="7">
        <f>SUM(D7,E7,F7,G7,H7,I7,J7)+487</f>
        <v>4387</v>
      </c>
      <c r="K26" s="7">
        <f>SUM(D7,E7,F7,G7,H7,I7,J7,K7)+487</f>
        <v>5425</v>
      </c>
      <c r="L26" s="7">
        <f>SUM(D7,E7,F7,G7,H7,I7,J7,K7,L7)+487</f>
        <v>6696</v>
      </c>
      <c r="M26" s="7">
        <f>SUM(D7,E7,F7,G7,H7,I7,J7,K7,L7,M7)+487</f>
        <v>8551</v>
      </c>
      <c r="N26" s="7">
        <v>12185</v>
      </c>
      <c r="O26" s="8">
        <v>13077</v>
      </c>
      <c r="P26" s="7">
        <f>Table1[[#This Row],[زمستان 1401]]+P7</f>
        <v>14765</v>
      </c>
      <c r="Q26" s="7">
        <f>Table1[[#This Row],[بهار 1402]]+Q7</f>
        <v>16749</v>
      </c>
      <c r="R26" s="7">
        <f>Table1[[#This Row],[تابستان 1402]]+R7</f>
        <v>18918</v>
      </c>
    </row>
    <row r="27" spans="3:18" ht="15.5">
      <c r="C27" s="5" t="s">
        <v>30</v>
      </c>
      <c r="D27" s="7">
        <f>SUM(D19)+151688450</f>
        <v>159055450</v>
      </c>
      <c r="E27" s="7">
        <f>SUM(D19,E19)+151688450</f>
        <v>225118315</v>
      </c>
      <c r="F27" s="7">
        <f>SUM(D19,E19,F19)+151688450</f>
        <v>322009576</v>
      </c>
      <c r="G27" s="7">
        <f>SUM(D19,E19,F19,G19)+151688450</f>
        <v>438691266</v>
      </c>
      <c r="H27" s="7">
        <f>SUM(D19:E19,F19,G19,H19)+151688450</f>
        <v>581493363</v>
      </c>
      <c r="I27" s="7">
        <f>SUM(D19:F19,G19,H19,I19)+151688450</f>
        <v>864643986</v>
      </c>
      <c r="J27" s="7">
        <f>SUM(D19,E19:G19,H19,I19,J19)+151688450</f>
        <v>1416979489</v>
      </c>
      <c r="K27" s="7">
        <f>SUM(D19,E19,F19:H19,I19,J19,K19)+151688450</f>
        <v>2128747502</v>
      </c>
      <c r="L27" s="7">
        <f>SUM(D19,E19,F19,G19:I19,J19,K19,L19)+151688450</f>
        <v>3265229766</v>
      </c>
      <c r="M27" s="7">
        <f>SUM(D19,E19,F19,G19,H19:J19,K19,L19,M19)+151688450</f>
        <v>5345190502</v>
      </c>
      <c r="N27" s="7">
        <v>8469064175</v>
      </c>
      <c r="O27" s="8">
        <v>10339312844</v>
      </c>
      <c r="P27" s="7">
        <f>Table1[[#This Row],[زمستان 1401]]+P19</f>
        <v>12852660667</v>
      </c>
      <c r="Q27" s="7">
        <f>Table1[[#This Row],[بهار 1402]]+Q19</f>
        <v>16125838603</v>
      </c>
      <c r="R27" s="7">
        <f>Table1[[#This Row],[تابستان 1402]]+R19</f>
        <v>20833713026</v>
      </c>
    </row>
    <row r="28" spans="3:18" ht="15.5">
      <c r="C28" s="5" t="s">
        <v>31</v>
      </c>
      <c r="D28" s="7">
        <f>SUM(D20)+3770414</f>
        <v>5770414</v>
      </c>
      <c r="E28" s="7">
        <f>SUM(D20,E20)+3770414</f>
        <v>11770414</v>
      </c>
      <c r="F28" s="7">
        <f>SUM(D20,E20,F20)+3770414</f>
        <v>19770414</v>
      </c>
      <c r="G28" s="7">
        <f>SUM(D20:E20,F20,G20)+3770414</f>
        <v>34770414</v>
      </c>
      <c r="H28" s="7">
        <f>SUM(D20,E20:F20,G20,H20)+3770414</f>
        <v>50770414</v>
      </c>
      <c r="I28" s="7">
        <f>SUM(D20,E20,F20:G20,H20,I20)+3770414</f>
        <v>83770414</v>
      </c>
      <c r="J28" s="7">
        <f>SUM(D20,E20,F20,G20:H20,I20,J20)+3770414</f>
        <v>137770414</v>
      </c>
      <c r="K28" s="7">
        <f>SUM(D20,E20,F20,G20,H20:I20,J20,K20)+3770414</f>
        <v>207770414</v>
      </c>
      <c r="L28" s="7">
        <f>SUM(D20,E20,F20,G20,H20,I20:J20,K20,L20)+3770414</f>
        <v>319770414</v>
      </c>
      <c r="M28" s="7">
        <f>SUM(E20,F20,G20,H20,I20,J20:K20,L20,M20)+3770414</f>
        <v>539228410</v>
      </c>
      <c r="N28" s="7">
        <v>874785662</v>
      </c>
      <c r="O28" s="8">
        <v>1081621955</v>
      </c>
      <c r="P28" s="7">
        <f>P20+Table1[[#This Row],[زمستان 1401]]</f>
        <v>1384977465</v>
      </c>
      <c r="Q28" s="7">
        <f>Q20+Table1[[#This Row],[بهار 1402]]</f>
        <v>1817799738</v>
      </c>
      <c r="R28" s="7">
        <f>R20+Table1[[#This Row],[تابستان 1402]]</f>
        <v>2492838858</v>
      </c>
    </row>
    <row r="29" spans="3:18"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3:18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mergeCells count="1">
    <mergeCell ref="AC2:AG3"/>
  </mergeCells>
  <phoneticPr fontId="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Elyas</dc:creator>
  <cp:lastModifiedBy>navid nili</cp:lastModifiedBy>
  <dcterms:created xsi:type="dcterms:W3CDTF">2021-04-26T09:38:25Z</dcterms:created>
  <dcterms:modified xsi:type="dcterms:W3CDTF">2024-02-06T13:42:11Z</dcterms:modified>
</cp:coreProperties>
</file>