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420" windowWidth="14808" windowHeight="7692" activeTab="2"/>
  </bookViews>
  <sheets>
    <sheet name="Overview" sheetId="12" r:id="rId1"/>
    <sheet name="Free Spins Symbol" sheetId="18" r:id="rId2"/>
    <sheet name="Free Spins Pay Combo" sheetId="23" r:id="rId3"/>
    <sheet name="Transition Prob." sheetId="24" r:id="rId4"/>
    <sheet name="HELP" sheetId="22" r:id="rId5"/>
  </sheets>
  <externalReferences>
    <externalReference r:id="rId6"/>
    <externalReference r:id="rId7"/>
  </externalReferences>
  <calcPr calcId="145621"/>
</workbook>
</file>

<file path=xl/calcChain.xml><?xml version="1.0" encoding="utf-8"?>
<calcChain xmlns="http://schemas.openxmlformats.org/spreadsheetml/2006/main">
  <c r="M702" i="23" l="1"/>
  <c r="M706" i="23"/>
  <c r="M707" i="23"/>
  <c r="M709" i="23"/>
  <c r="M710" i="23"/>
  <c r="M711" i="23"/>
  <c r="M712" i="23"/>
  <c r="M713" i="23"/>
  <c r="M714" i="23"/>
  <c r="M715" i="23"/>
  <c r="M716" i="23"/>
  <c r="M717" i="23"/>
  <c r="M719" i="23"/>
  <c r="M720" i="23"/>
  <c r="M722" i="23"/>
  <c r="M723" i="23"/>
  <c r="M721" i="23"/>
  <c r="M705" i="23"/>
  <c r="M704" i="23"/>
  <c r="BN65" i="24"/>
  <c r="BK65" i="24"/>
  <c r="BJ65" i="24"/>
  <c r="BH65" i="24"/>
  <c r="BG65" i="24"/>
  <c r="BF65" i="24"/>
  <c r="BE65" i="24"/>
  <c r="BD65" i="24"/>
  <c r="AZ65" i="24"/>
  <c r="AY65" i="24"/>
  <c r="AX65" i="24"/>
  <c r="AW65" i="24"/>
  <c r="AV65" i="24"/>
  <c r="AU65" i="24"/>
  <c r="AT65" i="24"/>
  <c r="AQ65" i="24"/>
  <c r="AP65" i="24"/>
  <c r="AN65" i="24"/>
  <c r="AM65" i="24"/>
  <c r="AL65" i="24"/>
  <c r="AK65" i="24"/>
  <c r="AJ65" i="24"/>
  <c r="B65" i="24"/>
  <c r="AX64" i="24"/>
  <c r="AW64" i="24"/>
  <c r="B64" i="24"/>
  <c r="AX63" i="24"/>
  <c r="AW63" i="24"/>
  <c r="AR63" i="24"/>
  <c r="AQ63" i="24"/>
  <c r="AP63" i="24"/>
  <c r="AJ63" i="24"/>
  <c r="B63" i="24"/>
  <c r="AN63" i="24" s="1"/>
  <c r="BK62" i="24"/>
  <c r="BF62" i="24"/>
  <c r="BC62" i="24"/>
  <c r="AR62" i="24"/>
  <c r="AQ62" i="24"/>
  <c r="AO62" i="24"/>
  <c r="AN62" i="24"/>
  <c r="AM62" i="24"/>
  <c r="AK62" i="24"/>
  <c r="B62" i="24"/>
  <c r="AJ62" i="24" s="1"/>
  <c r="BJ61" i="24"/>
  <c r="BC61" i="24"/>
  <c r="AW61" i="24"/>
  <c r="AU61" i="24"/>
  <c r="AL61" i="24"/>
  <c r="AK61" i="24"/>
  <c r="AJ61" i="24"/>
  <c r="AI61" i="24"/>
  <c r="B61" i="24"/>
  <c r="AT60" i="24"/>
  <c r="AQ60" i="24"/>
  <c r="AP60" i="24"/>
  <c r="AI60" i="24"/>
  <c r="B60" i="24"/>
  <c r="AX59" i="24"/>
  <c r="AW59" i="24"/>
  <c r="AL59" i="24"/>
  <c r="B59" i="24"/>
  <c r="AX58" i="24"/>
  <c r="AU58" i="24"/>
  <c r="B58" i="24"/>
  <c r="AN58" i="24" s="1"/>
  <c r="BF57" i="24"/>
  <c r="AN57" i="24"/>
  <c r="B57" i="24"/>
  <c r="AW56" i="24"/>
  <c r="AU56" i="24"/>
  <c r="AN56" i="24"/>
  <c r="AL56" i="24"/>
  <c r="B56" i="24"/>
  <c r="AR55" i="24"/>
  <c r="AN55" i="24"/>
  <c r="AJ55" i="24"/>
  <c r="B55" i="24"/>
  <c r="AI55" i="24" s="1"/>
  <c r="BC54" i="24"/>
  <c r="AN54" i="24"/>
  <c r="AJ54" i="24"/>
  <c r="AI54" i="24"/>
  <c r="B54" i="24"/>
  <c r="AR54" i="24" s="1"/>
  <c r="AL53" i="24"/>
  <c r="AK53" i="24"/>
  <c r="AI53" i="24"/>
  <c r="B53" i="24"/>
  <c r="AI52" i="24"/>
  <c r="B52" i="24"/>
  <c r="B51" i="24"/>
  <c r="B50" i="24"/>
  <c r="AN49" i="24"/>
  <c r="B49" i="24"/>
  <c r="AI49" i="24" s="1"/>
  <c r="B48" i="24"/>
  <c r="B16" i="24" s="1"/>
  <c r="AM47" i="24"/>
  <c r="AL47" i="24"/>
  <c r="B47" i="24"/>
  <c r="AI47" i="24" s="1"/>
  <c r="AN46" i="24"/>
  <c r="B46" i="24"/>
  <c r="AM45" i="24"/>
  <c r="AK45" i="24"/>
  <c r="B45" i="24"/>
  <c r="AI45" i="24" s="1"/>
  <c r="B44" i="24"/>
  <c r="AR43" i="24"/>
  <c r="AN43" i="24"/>
  <c r="B43" i="24"/>
  <c r="AI43" i="24" s="1"/>
  <c r="B42" i="24"/>
  <c r="AJ41" i="24"/>
  <c r="B41" i="24"/>
  <c r="AI41" i="24" s="1"/>
  <c r="AI40" i="24"/>
  <c r="B40" i="24"/>
  <c r="B39" i="24"/>
  <c r="B7" i="24" s="1"/>
  <c r="B38" i="24"/>
  <c r="AL37" i="24"/>
  <c r="B37" i="24"/>
  <c r="AI37" i="24" s="1"/>
  <c r="B36" i="24"/>
  <c r="B4" i="24" s="1"/>
  <c r="C4" i="24" s="1"/>
  <c r="B35" i="24"/>
  <c r="B34" i="24"/>
  <c r="BN33" i="24"/>
  <c r="BI33" i="24"/>
  <c r="BB33" i="24"/>
  <c r="AG33" i="24"/>
  <c r="P33" i="24"/>
  <c r="O33" i="24"/>
  <c r="N33" i="24"/>
  <c r="M33" i="24"/>
  <c r="L33" i="24"/>
  <c r="H33" i="24"/>
  <c r="E33" i="24"/>
  <c r="B33" i="24"/>
  <c r="BM33" i="24" s="1"/>
  <c r="Y32" i="24"/>
  <c r="V32" i="24"/>
  <c r="R32" i="24"/>
  <c r="Q32" i="24"/>
  <c r="C32" i="24"/>
  <c r="B32" i="24"/>
  <c r="BL31" i="24"/>
  <c r="BL63" i="24" s="1"/>
  <c r="Z31" i="24"/>
  <c r="X31" i="24"/>
  <c r="U31" i="24"/>
  <c r="R31" i="24"/>
  <c r="Q31" i="24"/>
  <c r="J31" i="24"/>
  <c r="F31" i="24"/>
  <c r="B31" i="24"/>
  <c r="BK30" i="24"/>
  <c r="BJ29" i="24"/>
  <c r="BF25" i="24"/>
  <c r="AQ25" i="24"/>
  <c r="AQ57" i="24" s="1"/>
  <c r="B25" i="24"/>
  <c r="D25" i="24" s="1"/>
  <c r="B24" i="24"/>
  <c r="AS24" i="24" s="1"/>
  <c r="AS56" i="24" s="1"/>
  <c r="BD23" i="24"/>
  <c r="BD55" i="24" s="1"/>
  <c r="L23" i="24"/>
  <c r="H23" i="24"/>
  <c r="F23" i="24"/>
  <c r="D23" i="24"/>
  <c r="C23" i="24"/>
  <c r="B23" i="24"/>
  <c r="BC22" i="24"/>
  <c r="W22" i="24"/>
  <c r="O22" i="24"/>
  <c r="L22" i="24"/>
  <c r="I22" i="24"/>
  <c r="H22" i="24"/>
  <c r="E22" i="24"/>
  <c r="B22" i="24"/>
  <c r="D22" i="24" s="1"/>
  <c r="AX17" i="24"/>
  <c r="AX49" i="24" s="1"/>
  <c r="AM17" i="24"/>
  <c r="AM49" i="24" s="1"/>
  <c r="R17" i="24"/>
  <c r="H17" i="24"/>
  <c r="B17" i="24"/>
  <c r="G17" i="24" s="1"/>
  <c r="B15" i="24"/>
  <c r="F15" i="24" s="1"/>
  <c r="N13" i="24"/>
  <c r="B13" i="24"/>
  <c r="AT13" i="24" s="1"/>
  <c r="AT45" i="24" s="1"/>
  <c r="AR11" i="24"/>
  <c r="AN11" i="24"/>
  <c r="AJ11" i="24"/>
  <c r="AJ43" i="24" s="1"/>
  <c r="AI11" i="24"/>
  <c r="L11" i="24"/>
  <c r="B11" i="24"/>
  <c r="H11" i="24" s="1"/>
  <c r="J9" i="24"/>
  <c r="D9" i="24"/>
  <c r="B9" i="24"/>
  <c r="B8" i="24"/>
  <c r="AO8" i="24" s="1"/>
  <c r="B6" i="24"/>
  <c r="B5" i="24"/>
  <c r="AL5" i="24" s="1"/>
  <c r="B3" i="24"/>
  <c r="AI2" i="24"/>
  <c r="B2" i="24"/>
  <c r="C2" i="24" s="1"/>
  <c r="AH1" i="24"/>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 r="G569" i="23"/>
  <c r="G568" i="23"/>
  <c r="G567" i="23"/>
  <c r="G566" i="23"/>
  <c r="G565" i="23"/>
  <c r="G564" i="23"/>
  <c r="G563" i="23"/>
  <c r="G562" i="23"/>
  <c r="G561" i="23"/>
  <c r="G560" i="23"/>
  <c r="G559" i="23"/>
  <c r="G558" i="23"/>
  <c r="G557" i="23"/>
  <c r="G556" i="23"/>
  <c r="G555" i="23"/>
  <c r="G554" i="23"/>
  <c r="G553" i="23"/>
  <c r="G552" i="23"/>
  <c r="G551" i="23"/>
  <c r="G550" i="23"/>
  <c r="G549" i="23"/>
  <c r="G548" i="23"/>
  <c r="G544" i="23"/>
  <c r="G542" i="23"/>
  <c r="G539" i="23"/>
  <c r="G547" i="23" s="1"/>
  <c r="G610" i="23"/>
  <c r="G609" i="23"/>
  <c r="G608" i="23"/>
  <c r="G607" i="23"/>
  <c r="G606" i="23"/>
  <c r="G605" i="23"/>
  <c r="G604" i="23"/>
  <c r="G603" i="23"/>
  <c r="G602" i="23"/>
  <c r="G601" i="23"/>
  <c r="G600" i="23"/>
  <c r="G599" i="23"/>
  <c r="G598" i="23"/>
  <c r="G597" i="23"/>
  <c r="G596" i="23"/>
  <c r="G595" i="23"/>
  <c r="G594" i="23"/>
  <c r="G593" i="23"/>
  <c r="G592" i="23"/>
  <c r="G591" i="23"/>
  <c r="G590" i="23"/>
  <c r="G589" i="23"/>
  <c r="G588" i="23"/>
  <c r="G587" i="23"/>
  <c r="G586" i="23"/>
  <c r="G585" i="23"/>
  <c r="G580" i="23"/>
  <c r="G584" i="23" s="1"/>
  <c r="G630" i="23"/>
  <c r="G641" i="23"/>
  <c r="G640" i="23"/>
  <c r="G639" i="23"/>
  <c r="G638" i="23"/>
  <c r="G637" i="23"/>
  <c r="G682" i="23"/>
  <c r="G681" i="23"/>
  <c r="G680" i="23"/>
  <c r="G679" i="23"/>
  <c r="G678" i="23"/>
  <c r="K701" i="23"/>
  <c r="G732" i="23"/>
  <c r="G731" i="23"/>
  <c r="G730" i="23"/>
  <c r="G729" i="23"/>
  <c r="G728" i="23"/>
  <c r="G727" i="23"/>
  <c r="G726" i="23"/>
  <c r="G725" i="23"/>
  <c r="G724" i="23"/>
  <c r="G723" i="23"/>
  <c r="G722" i="23"/>
  <c r="G721" i="23"/>
  <c r="G720" i="23"/>
  <c r="G719" i="23"/>
  <c r="G718" i="23"/>
  <c r="G717" i="23"/>
  <c r="G716" i="23"/>
  <c r="G715" i="23"/>
  <c r="G714" i="23"/>
  <c r="G713" i="23"/>
  <c r="G703" i="23"/>
  <c r="G712" i="23" s="1"/>
  <c r="G764" i="23"/>
  <c r="G763" i="23"/>
  <c r="G762" i="23"/>
  <c r="G761" i="23"/>
  <c r="G778" i="23"/>
  <c r="G777" i="23"/>
  <c r="G776" i="23"/>
  <c r="G775" i="23"/>
  <c r="G774" i="23"/>
  <c r="G773" i="23"/>
  <c r="G772" i="23"/>
  <c r="G771" i="23"/>
  <c r="G770" i="23"/>
  <c r="G769" i="23"/>
  <c r="G768" i="23"/>
  <c r="G767" i="23"/>
  <c r="G766" i="23"/>
  <c r="G765" i="23"/>
  <c r="G760" i="23"/>
  <c r="G758" i="23"/>
  <c r="G757" i="23"/>
  <c r="G756" i="23"/>
  <c r="G755" i="23"/>
  <c r="G749" i="23"/>
  <c r="G744" i="23"/>
  <c r="G754" i="23" s="1"/>
  <c r="G901" i="23"/>
  <c r="G900" i="23"/>
  <c r="G899" i="23"/>
  <c r="G898" i="23"/>
  <c r="G897" i="23"/>
  <c r="G896" i="23"/>
  <c r="G895" i="23"/>
  <c r="G894" i="23"/>
  <c r="G893" i="23"/>
  <c r="G892" i="23"/>
  <c r="G891" i="23"/>
  <c r="G890" i="23"/>
  <c r="G889" i="23"/>
  <c r="G888" i="23"/>
  <c r="G887" i="23"/>
  <c r="G886" i="23"/>
  <c r="G885" i="23"/>
  <c r="G884" i="23"/>
  <c r="G883" i="23"/>
  <c r="G881" i="23"/>
  <c r="G880" i="23"/>
  <c r="G879" i="23"/>
  <c r="G878" i="23"/>
  <c r="G872" i="23"/>
  <c r="G867" i="23"/>
  <c r="G877" i="23" s="1"/>
  <c r="K906" i="23"/>
  <c r="G1040" i="23"/>
  <c r="G1081" i="23"/>
  <c r="M799" i="23"/>
  <c r="M798" i="23"/>
  <c r="M797" i="23"/>
  <c r="M796" i="23"/>
  <c r="M795" i="23"/>
  <c r="M794" i="23"/>
  <c r="M793" i="23"/>
  <c r="M805" i="23"/>
  <c r="M804" i="23"/>
  <c r="M803" i="23"/>
  <c r="M802" i="23"/>
  <c r="M801" i="23"/>
  <c r="M786" i="23"/>
  <c r="M787" i="23"/>
  <c r="M788" i="23"/>
  <c r="M792" i="23"/>
  <c r="M789" i="23"/>
  <c r="M791" i="23"/>
  <c r="G805" i="23"/>
  <c r="G804" i="23"/>
  <c r="G803" i="23"/>
  <c r="G802" i="23"/>
  <c r="G819" i="23"/>
  <c r="G818" i="23"/>
  <c r="G817" i="23"/>
  <c r="G816" i="23"/>
  <c r="G815" i="23"/>
  <c r="G814" i="23"/>
  <c r="G813" i="23"/>
  <c r="G812" i="23"/>
  <c r="G811" i="23"/>
  <c r="G810" i="23"/>
  <c r="G809" i="23"/>
  <c r="G808" i="23"/>
  <c r="G807" i="23"/>
  <c r="G806" i="23"/>
  <c r="G801" i="23"/>
  <c r="G800" i="23"/>
  <c r="G799" i="23"/>
  <c r="G798" i="23"/>
  <c r="G797" i="23"/>
  <c r="G796" i="23"/>
  <c r="G785" i="23"/>
  <c r="G794" i="23" s="1"/>
  <c r="G691" i="23"/>
  <c r="G690" i="23"/>
  <c r="G689" i="23"/>
  <c r="G688" i="23"/>
  <c r="G687" i="23"/>
  <c r="G686" i="23"/>
  <c r="G685" i="23"/>
  <c r="G684" i="23"/>
  <c r="G683" i="23"/>
  <c r="G855" i="23"/>
  <c r="G854" i="23"/>
  <c r="G853" i="23"/>
  <c r="G852" i="23"/>
  <c r="G851" i="23"/>
  <c r="G850" i="23"/>
  <c r="G849" i="23"/>
  <c r="G848" i="23"/>
  <c r="G847" i="23"/>
  <c r="M929" i="23"/>
  <c r="G929" i="23"/>
  <c r="G930" i="23"/>
  <c r="G917" i="23"/>
  <c r="G978" i="23"/>
  <c r="G977" i="23"/>
  <c r="G976" i="23"/>
  <c r="G975" i="23"/>
  <c r="G974" i="23"/>
  <c r="G973" i="23"/>
  <c r="G972" i="23"/>
  <c r="G971" i="23"/>
  <c r="G970" i="23"/>
  <c r="G969" i="23"/>
  <c r="G968" i="23"/>
  <c r="G967" i="23"/>
  <c r="G966" i="23"/>
  <c r="G965" i="23"/>
  <c r="G964" i="23"/>
  <c r="G963" i="23"/>
  <c r="G962" i="23"/>
  <c r="G961" i="23"/>
  <c r="G960" i="23"/>
  <c r="G959" i="23"/>
  <c r="G958" i="23"/>
  <c r="G957" i="23"/>
  <c r="G956" i="23"/>
  <c r="G955" i="23"/>
  <c r="G954" i="23"/>
  <c r="M907" i="23"/>
  <c r="M916" i="23"/>
  <c r="M915" i="23"/>
  <c r="M914" i="23"/>
  <c r="M912" i="23"/>
  <c r="M911" i="23"/>
  <c r="M910" i="23"/>
  <c r="M909" i="23"/>
  <c r="M917" i="23"/>
  <c r="M918" i="23"/>
  <c r="M930" i="23"/>
  <c r="M931" i="23"/>
  <c r="M937" i="23"/>
  <c r="M936" i="23"/>
  <c r="M935" i="23"/>
  <c r="M934" i="23"/>
  <c r="M933" i="23"/>
  <c r="M932" i="23"/>
  <c r="G925" i="23"/>
  <c r="G926" i="23"/>
  <c r="G927" i="23"/>
  <c r="G928" i="23"/>
  <c r="G924" i="23"/>
  <c r="G937" i="23"/>
  <c r="G10" i="23"/>
  <c r="Q10" i="23"/>
  <c r="O10" i="23"/>
  <c r="N10" i="23"/>
  <c r="M10" i="23"/>
  <c r="P10" i="23"/>
  <c r="J2" i="23"/>
  <c r="P6" i="23"/>
  <c r="O6" i="23"/>
  <c r="N6" i="23"/>
  <c r="M6" i="23"/>
  <c r="P5" i="23"/>
  <c r="N5" i="23"/>
  <c r="O5" i="23"/>
  <c r="P4" i="23"/>
  <c r="O4" i="23"/>
  <c r="M5" i="23"/>
  <c r="N4" i="23"/>
  <c r="M4" i="23"/>
  <c r="M3" i="23"/>
  <c r="AW16" i="24" l="1"/>
  <c r="AL16" i="24"/>
  <c r="Q16" i="24"/>
  <c r="F16" i="24"/>
  <c r="H16" i="24"/>
  <c r="C16" i="24"/>
  <c r="AN7" i="24"/>
  <c r="AI7" i="24"/>
  <c r="AI39" i="24" s="1"/>
  <c r="H7" i="24"/>
  <c r="C7" i="24"/>
  <c r="AJ3" i="24"/>
  <c r="AJ35" i="24" s="1"/>
  <c r="AI3" i="24"/>
  <c r="E4" i="24"/>
  <c r="D3" i="24"/>
  <c r="Q24" i="24"/>
  <c r="O32" i="24"/>
  <c r="N32" i="24"/>
  <c r="M32" i="24"/>
  <c r="G32" i="24"/>
  <c r="F32" i="24"/>
  <c r="BM32" i="24"/>
  <c r="AA32" i="24"/>
  <c r="BB32" i="24"/>
  <c r="BB64" i="24" s="1"/>
  <c r="AB32" i="24"/>
  <c r="AG32" i="24"/>
  <c r="W33" i="24"/>
  <c r="AI46" i="24"/>
  <c r="B14" i="24"/>
  <c r="AQ52" i="24"/>
  <c r="AM52" i="24"/>
  <c r="AL52" i="24"/>
  <c r="AP50" i="24"/>
  <c r="AO50" i="24"/>
  <c r="AL50" i="24"/>
  <c r="AJ50" i="24"/>
  <c r="AI50" i="24"/>
  <c r="C3" i="24"/>
  <c r="C24" i="24"/>
  <c r="B12" i="24"/>
  <c r="AK44" i="24"/>
  <c r="AL44" i="24"/>
  <c r="Y24" i="24"/>
  <c r="BE24" i="24"/>
  <c r="K25" i="24"/>
  <c r="H25" i="24"/>
  <c r="G25" i="24"/>
  <c r="C25" i="24"/>
  <c r="AX25" i="24"/>
  <c r="AX57" i="24" s="1"/>
  <c r="L25" i="24"/>
  <c r="X33" i="24"/>
  <c r="AN39" i="24"/>
  <c r="AU64" i="24"/>
  <c r="AT64" i="24"/>
  <c r="AS64" i="24"/>
  <c r="AN64" i="24"/>
  <c r="AM64" i="24"/>
  <c r="AL64" i="24"/>
  <c r="BH64" i="24"/>
  <c r="BG64" i="24"/>
  <c r="BM64" i="24"/>
  <c r="R25" i="24"/>
  <c r="E32" i="24"/>
  <c r="Y33" i="24"/>
  <c r="AJ40" i="24"/>
  <c r="AO40" i="24"/>
  <c r="AJ52" i="24"/>
  <c r="BE56" i="24"/>
  <c r="AI64" i="24"/>
  <c r="AI44" i="24"/>
  <c r="B19" i="24"/>
  <c r="AI51" i="24"/>
  <c r="AJ51" i="24"/>
  <c r="V33" i="24"/>
  <c r="B20" i="24"/>
  <c r="Z25" i="24"/>
  <c r="H32" i="24"/>
  <c r="AB33" i="24"/>
  <c r="AP52" i="24"/>
  <c r="AK64" i="24"/>
  <c r="AI36" i="24"/>
  <c r="AK51" i="24"/>
  <c r="AQ51" i="24"/>
  <c r="AM51" i="24"/>
  <c r="AO51" i="24"/>
  <c r="AK4" i="24"/>
  <c r="AK36" i="24" s="1"/>
  <c r="AV15" i="24"/>
  <c r="AV47" i="24" s="1"/>
  <c r="P15" i="24"/>
  <c r="G15" i="24"/>
  <c r="C15" i="24"/>
  <c r="C5" i="24"/>
  <c r="F5" i="24"/>
  <c r="AM6" i="24"/>
  <c r="AM38" i="24" s="1"/>
  <c r="G6" i="24"/>
  <c r="C6" i="24"/>
  <c r="AL23" i="24"/>
  <c r="AL55" i="24" s="1"/>
  <c r="X23" i="24"/>
  <c r="Q23" i="24"/>
  <c r="J23" i="24"/>
  <c r="AM25" i="24"/>
  <c r="AM57" i="24" s="1"/>
  <c r="P32" i="24"/>
  <c r="AF33" i="24"/>
  <c r="B21" i="24"/>
  <c r="AS53" i="24"/>
  <c r="AT53" i="24"/>
  <c r="AV53" i="24"/>
  <c r="BA60" i="24"/>
  <c r="AY60" i="24"/>
  <c r="AV60" i="24"/>
  <c r="AO60" i="24"/>
  <c r="B28" i="24"/>
  <c r="AJ60" i="24"/>
  <c r="AM60" i="24"/>
  <c r="AK60" i="24"/>
  <c r="AL60" i="24"/>
  <c r="AV64" i="24"/>
  <c r="AL48" i="24"/>
  <c r="AN48" i="24"/>
  <c r="AW48" i="24"/>
  <c r="B10" i="24"/>
  <c r="AJ42" i="24"/>
  <c r="AI42" i="24"/>
  <c r="AM53" i="24"/>
  <c r="AJ57" i="24"/>
  <c r="AI57" i="24"/>
  <c r="AS60" i="24"/>
  <c r="BE64" i="24"/>
  <c r="BM65" i="24"/>
  <c r="C13" i="24"/>
  <c r="O24" i="24"/>
  <c r="M24" i="24"/>
  <c r="H24" i="24"/>
  <c r="E24" i="24"/>
  <c r="F24" i="24"/>
  <c r="AK50" i="24"/>
  <c r="I8" i="24"/>
  <c r="E8" i="24"/>
  <c r="D8" i="24"/>
  <c r="C8" i="24"/>
  <c r="AI48" i="24"/>
  <c r="AK8" i="24"/>
  <c r="AK40" i="24" s="1"/>
  <c r="P31" i="24"/>
  <c r="L31" i="24"/>
  <c r="K31" i="24"/>
  <c r="H31" i="24"/>
  <c r="G31" i="24"/>
  <c r="BH31" i="24"/>
  <c r="BA31" i="24"/>
  <c r="BA63" i="24" s="1"/>
  <c r="AB31" i="24"/>
  <c r="AV31" i="24"/>
  <c r="AV63" i="24" s="1"/>
  <c r="AF31" i="24"/>
  <c r="AE33" i="24"/>
  <c r="K33" i="24"/>
  <c r="AD33" i="24"/>
  <c r="J33" i="24"/>
  <c r="AC33" i="24"/>
  <c r="I33" i="24"/>
  <c r="AA33" i="24"/>
  <c r="G33" i="24"/>
  <c r="Z33" i="24"/>
  <c r="F33" i="24"/>
  <c r="U33" i="24"/>
  <c r="T33" i="24"/>
  <c r="Q33" i="24"/>
  <c r="S33" i="24"/>
  <c r="R33" i="24"/>
  <c r="AP9" i="24"/>
  <c r="AP41" i="24" s="1"/>
  <c r="AL9" i="24"/>
  <c r="AL41" i="24" s="1"/>
  <c r="F9" i="24"/>
  <c r="E13" i="24"/>
  <c r="B18" i="24"/>
  <c r="AP23" i="24"/>
  <c r="AP55" i="24" s="1"/>
  <c r="C31" i="24"/>
  <c r="C33" i="24"/>
  <c r="AI34" i="24"/>
  <c r="AZ60" i="24"/>
  <c r="C9" i="24"/>
  <c r="G13" i="24"/>
  <c r="AW23" i="24"/>
  <c r="AW55" i="24" s="1"/>
  <c r="D31" i="24"/>
  <c r="D33" i="24"/>
  <c r="AI35" i="24"/>
  <c r="AR57" i="24"/>
  <c r="BD61" i="24"/>
  <c r="AR61" i="24"/>
  <c r="B29" i="24"/>
  <c r="AN61" i="24"/>
  <c r="AO61" i="24"/>
  <c r="AP61" i="24"/>
  <c r="AO22" i="24"/>
  <c r="AO54" i="24" s="1"/>
  <c r="B26" i="24"/>
  <c r="AK58" i="24"/>
  <c r="AU62" i="24"/>
  <c r="BD63" i="24"/>
  <c r="BA65" i="24"/>
  <c r="AI58" i="24"/>
  <c r="AI56" i="24"/>
  <c r="AM58" i="24"/>
  <c r="AX62" i="24"/>
  <c r="BF63" i="24"/>
  <c r="BB65" i="24"/>
  <c r="AK22" i="24"/>
  <c r="AK54" i="24" s="1"/>
  <c r="C11" i="24"/>
  <c r="D11" i="24"/>
  <c r="C17" i="24"/>
  <c r="AU22" i="24"/>
  <c r="AU54" i="24" s="1"/>
  <c r="B30" i="24"/>
  <c r="AK56" i="24"/>
  <c r="BH63" i="24"/>
  <c r="AI65" i="24"/>
  <c r="BC65" i="24"/>
  <c r="AI59" i="24"/>
  <c r="AI63" i="24"/>
  <c r="AO65" i="24"/>
  <c r="BI65" i="24"/>
  <c r="AM59" i="24"/>
  <c r="AL63" i="24"/>
  <c r="C22" i="24"/>
  <c r="B27" i="24"/>
  <c r="AI38" i="24"/>
  <c r="AN59" i="24"/>
  <c r="AI62" i="24"/>
  <c r="AM63" i="24"/>
  <c r="AR65" i="24"/>
  <c r="BL65" i="24"/>
  <c r="AS65" i="24"/>
  <c r="G540" i="23"/>
  <c r="G541" i="23"/>
  <c r="G543" i="23"/>
  <c r="G545" i="23"/>
  <c r="G546" i="23"/>
  <c r="G582" i="23"/>
  <c r="G583" i="23"/>
  <c r="G581" i="23"/>
  <c r="G704" i="23"/>
  <c r="G705" i="23"/>
  <c r="G706" i="23"/>
  <c r="G707" i="23"/>
  <c r="G709" i="23"/>
  <c r="G710" i="23"/>
  <c r="G711" i="23"/>
  <c r="G745" i="23"/>
  <c r="G746" i="23"/>
  <c r="G747" i="23"/>
  <c r="G748" i="23"/>
  <c r="G750" i="23"/>
  <c r="G751" i="23"/>
  <c r="G752" i="23"/>
  <c r="G753" i="23"/>
  <c r="G868" i="23"/>
  <c r="G869" i="23"/>
  <c r="G870" i="23"/>
  <c r="G871" i="23"/>
  <c r="G873" i="23"/>
  <c r="G874" i="23"/>
  <c r="G875" i="23"/>
  <c r="G876" i="23"/>
  <c r="M784" i="23"/>
  <c r="G789" i="23"/>
  <c r="G787" i="23"/>
  <c r="G791" i="23"/>
  <c r="G795" i="23"/>
  <c r="G786" i="23"/>
  <c r="G788" i="23"/>
  <c r="G792" i="23"/>
  <c r="G793" i="23"/>
  <c r="C10" i="24" l="1"/>
  <c r="K10" i="24"/>
  <c r="AQ10" i="24"/>
  <c r="AQ42" i="24" s="1"/>
  <c r="G10" i="24"/>
  <c r="D10" i="24"/>
  <c r="AM10" i="24"/>
  <c r="AM42" i="24" s="1"/>
  <c r="V21" i="24"/>
  <c r="E21" i="24"/>
  <c r="C21" i="24"/>
  <c r="G21" i="24"/>
  <c r="F21" i="24"/>
  <c r="P21" i="24"/>
  <c r="N21" i="24"/>
  <c r="M21" i="24"/>
  <c r="BB21" i="24"/>
  <c r="BB53" i="24" s="1"/>
  <c r="BG26" i="24"/>
  <c r="BG58" i="24" s="1"/>
  <c r="AA26" i="24"/>
  <c r="R26" i="24"/>
  <c r="E26" i="24"/>
  <c r="C26" i="24"/>
  <c r="AT26" i="24"/>
  <c r="AT58" i="24" s="1"/>
  <c r="O26" i="24"/>
  <c r="N26" i="24"/>
  <c r="G26" i="24"/>
  <c r="H26" i="24"/>
  <c r="E14" i="24"/>
  <c r="C14" i="24"/>
  <c r="H14" i="24"/>
  <c r="AU14" i="24"/>
  <c r="AU46" i="24" s="1"/>
  <c r="O14" i="24"/>
  <c r="AK14" i="24"/>
  <c r="AK46" i="24" s="1"/>
  <c r="O30" i="24"/>
  <c r="N30" i="24"/>
  <c r="L30" i="24"/>
  <c r="I30" i="24"/>
  <c r="H30" i="24"/>
  <c r="AE30" i="24"/>
  <c r="BG30" i="24"/>
  <c r="BG62" i="24" s="1"/>
  <c r="AT30" i="24"/>
  <c r="AT62" i="24" s="1"/>
  <c r="AZ30" i="24"/>
  <c r="AZ62" i="24" s="1"/>
  <c r="AA30" i="24"/>
  <c r="Z30" i="24"/>
  <c r="W30" i="24"/>
  <c r="T30" i="24"/>
  <c r="R30" i="24"/>
  <c r="K30" i="24"/>
  <c r="G30" i="24"/>
  <c r="D30" i="24"/>
  <c r="C30" i="24"/>
  <c r="E30" i="24"/>
  <c r="I18" i="24"/>
  <c r="F18" i="24"/>
  <c r="E18" i="24"/>
  <c r="C18" i="24"/>
  <c r="D18" i="24"/>
  <c r="M18" i="24"/>
  <c r="AS18" i="24"/>
  <c r="AS50" i="24" s="1"/>
  <c r="S18" i="24"/>
  <c r="J18" i="24"/>
  <c r="AY18" i="24"/>
  <c r="AY50" i="24" s="1"/>
  <c r="M12" i="24"/>
  <c r="F12" i="24"/>
  <c r="E12" i="24"/>
  <c r="AS12" i="24"/>
  <c r="AS44" i="24" s="1"/>
  <c r="C12" i="24"/>
  <c r="C27" i="24"/>
  <c r="BH27" i="24"/>
  <c r="BH59" i="24" s="1"/>
  <c r="AB27" i="24"/>
  <c r="R27" i="24"/>
  <c r="AV27" i="24"/>
  <c r="AV59" i="24" s="1"/>
  <c r="Q27" i="24"/>
  <c r="P27" i="24"/>
  <c r="H27" i="24"/>
  <c r="G27" i="24"/>
  <c r="F27" i="24"/>
  <c r="AZ19" i="24"/>
  <c r="AZ51" i="24" s="1"/>
  <c r="G19" i="24"/>
  <c r="E19" i="24"/>
  <c r="D19" i="24"/>
  <c r="C19" i="24"/>
  <c r="T19" i="24"/>
  <c r="K19" i="24"/>
  <c r="AT19" i="24"/>
  <c r="AT51" i="24" s="1"/>
  <c r="N19" i="24"/>
  <c r="I19" i="24"/>
  <c r="N28" i="24"/>
  <c r="M28" i="24"/>
  <c r="K28" i="24"/>
  <c r="I28" i="24"/>
  <c r="G28" i="24"/>
  <c r="AC28" i="24"/>
  <c r="BB28" i="24"/>
  <c r="BB60" i="24" s="1"/>
  <c r="BI28" i="24"/>
  <c r="BI60" i="24" s="1"/>
  <c r="V28" i="24"/>
  <c r="U28" i="24"/>
  <c r="T28" i="24"/>
  <c r="S28" i="24"/>
  <c r="E28" i="24"/>
  <c r="P28" i="24"/>
  <c r="J28" i="24"/>
  <c r="D28" i="24"/>
  <c r="C28" i="24"/>
  <c r="F28" i="24"/>
  <c r="F20" i="24"/>
  <c r="D20" i="24"/>
  <c r="C20" i="24"/>
  <c r="BA20" i="24"/>
  <c r="BA52" i="24" s="1"/>
  <c r="AV20" i="24"/>
  <c r="AV52" i="24" s="1"/>
  <c r="U20" i="24"/>
  <c r="K20" i="24"/>
  <c r="P20" i="24"/>
  <c r="J20" i="24"/>
  <c r="G20" i="24"/>
  <c r="Q29" i="24"/>
  <c r="O29" i="24"/>
  <c r="M29" i="24"/>
  <c r="J29" i="24"/>
  <c r="I29" i="24"/>
  <c r="C29" i="24"/>
  <c r="AS29" i="24"/>
  <c r="AS61" i="24" s="1"/>
  <c r="BE29" i="24"/>
  <c r="BE61" i="24" s="1"/>
  <c r="AY29" i="24"/>
  <c r="AY61" i="24" s="1"/>
  <c r="L29" i="24"/>
  <c r="H29" i="24"/>
  <c r="D29" i="24"/>
  <c r="W29" i="24"/>
  <c r="F29" i="24"/>
  <c r="S29" i="24"/>
  <c r="E29" i="24"/>
  <c r="AD29" i="24"/>
  <c r="X29" i="24"/>
  <c r="Y29" i="24"/>
  <c r="G432" i="23" l="1"/>
  <c r="G1311" i="23"/>
  <c r="G1310" i="23"/>
  <c r="G1309" i="23"/>
  <c r="G1308" i="23"/>
  <c r="G1307" i="23"/>
  <c r="G1270" i="23"/>
  <c r="G1269" i="23"/>
  <c r="G1268" i="23"/>
  <c r="G1267" i="23"/>
  <c r="G1266" i="23"/>
  <c r="G1229" i="23"/>
  <c r="G1228" i="23"/>
  <c r="G1227" i="23"/>
  <c r="G1226" i="23"/>
  <c r="G1225" i="23"/>
  <c r="H1225" i="23" s="1"/>
  <c r="G1188" i="23"/>
  <c r="G1187" i="23"/>
  <c r="G1186" i="23"/>
  <c r="G1185" i="23"/>
  <c r="G1184" i="23"/>
  <c r="G1024" i="23"/>
  <c r="G1023" i="23"/>
  <c r="G1022" i="23"/>
  <c r="G1021" i="23"/>
  <c r="G1020" i="23"/>
  <c r="G983" i="23"/>
  <c r="G982" i="23"/>
  <c r="G981" i="23"/>
  <c r="G980" i="23"/>
  <c r="G979" i="23"/>
  <c r="G860" i="23"/>
  <c r="G859" i="23"/>
  <c r="G858" i="23"/>
  <c r="G857" i="23"/>
  <c r="G856" i="23"/>
  <c r="G696" i="23"/>
  <c r="G695" i="23"/>
  <c r="G694" i="23"/>
  <c r="G693" i="23"/>
  <c r="G692" i="23"/>
  <c r="G655" i="23"/>
  <c r="G654" i="23"/>
  <c r="G653" i="23"/>
  <c r="G652" i="23"/>
  <c r="G651" i="23"/>
  <c r="G573" i="23"/>
  <c r="G572" i="23"/>
  <c r="G571" i="23"/>
  <c r="G570" i="23"/>
  <c r="G532" i="23"/>
  <c r="G531" i="23"/>
  <c r="G530" i="23"/>
  <c r="G529" i="23"/>
  <c r="G528" i="23"/>
  <c r="G491" i="23"/>
  <c r="G490" i="23"/>
  <c r="G489" i="23"/>
  <c r="G488" i="23"/>
  <c r="G487" i="23"/>
  <c r="G450" i="23"/>
  <c r="G449" i="23"/>
  <c r="G448" i="23"/>
  <c r="G447" i="23"/>
  <c r="G446" i="23"/>
  <c r="G409" i="23"/>
  <c r="G408" i="23"/>
  <c r="G407" i="23"/>
  <c r="G406" i="23"/>
  <c r="G405" i="23"/>
  <c r="G368" i="23"/>
  <c r="G367" i="23"/>
  <c r="G366" i="23"/>
  <c r="G365" i="23"/>
  <c r="G364" i="23"/>
  <c r="G327" i="23"/>
  <c r="G326" i="23"/>
  <c r="G325" i="23"/>
  <c r="G324" i="23"/>
  <c r="G323" i="23"/>
  <c r="G286" i="23"/>
  <c r="G285" i="23"/>
  <c r="G284" i="23"/>
  <c r="G283" i="23"/>
  <c r="G282" i="23"/>
  <c r="G245" i="23"/>
  <c r="G244" i="23"/>
  <c r="G243" i="23"/>
  <c r="G242" i="23"/>
  <c r="G241" i="23"/>
  <c r="G204" i="23"/>
  <c r="G203" i="23"/>
  <c r="G202" i="23"/>
  <c r="G201" i="23"/>
  <c r="G200" i="23"/>
  <c r="G161" i="23"/>
  <c r="G160" i="23"/>
  <c r="G159" i="23"/>
  <c r="G158" i="23"/>
  <c r="G157" i="23"/>
  <c r="G79" i="23"/>
  <c r="G78" i="23"/>
  <c r="G77" i="23"/>
  <c r="G76" i="23"/>
  <c r="G75" i="23"/>
  <c r="G120" i="23"/>
  <c r="G119" i="23"/>
  <c r="G118" i="23"/>
  <c r="G117" i="23"/>
  <c r="G116" i="23"/>
  <c r="G34" i="23"/>
  <c r="G38" i="23"/>
  <c r="G37" i="23"/>
  <c r="G36" i="23"/>
  <c r="G35" i="23"/>
  <c r="H1184" i="23"/>
  <c r="G1204" i="23"/>
  <c r="G1205" i="23"/>
  <c r="G1202" i="23"/>
  <c r="G1201" i="23"/>
  <c r="G1243" i="23"/>
  <c r="G1242" i="23"/>
  <c r="G1244" i="23"/>
  <c r="G1246" i="23"/>
  <c r="G1135" i="23"/>
  <c r="G1134" i="23"/>
  <c r="E1278" i="23"/>
  <c r="E1279" i="23"/>
  <c r="E1280" i="23"/>
  <c r="E1281" i="23"/>
  <c r="E1282" i="23"/>
  <c r="E1283" i="23"/>
  <c r="E1284" i="23"/>
  <c r="E1285" i="23"/>
  <c r="E1286" i="23"/>
  <c r="E1287" i="23"/>
  <c r="E1288" i="23"/>
  <c r="E1289" i="23"/>
  <c r="E1290" i="23"/>
  <c r="E1291" i="23"/>
  <c r="E1292" i="23"/>
  <c r="E1293" i="23"/>
  <c r="E1294" i="23"/>
  <c r="E1295" i="23"/>
  <c r="E1296" i="23"/>
  <c r="E1297" i="23"/>
  <c r="E1298" i="23"/>
  <c r="E1299" i="23"/>
  <c r="E1300" i="23"/>
  <c r="E1301" i="23"/>
  <c r="E1302" i="23"/>
  <c r="E1303" i="23"/>
  <c r="E1304" i="23"/>
  <c r="E1305" i="23"/>
  <c r="E1306" i="23"/>
  <c r="E1307" i="23"/>
  <c r="E1308" i="23"/>
  <c r="E1309" i="23"/>
  <c r="E1310" i="23"/>
  <c r="E1311" i="23"/>
  <c r="E1277" i="23"/>
  <c r="D1278" i="23"/>
  <c r="D1279" i="23"/>
  <c r="D1280" i="23"/>
  <c r="D1281" i="23"/>
  <c r="D1282" i="23"/>
  <c r="D1283" i="23"/>
  <c r="D1284" i="23"/>
  <c r="D1285" i="23"/>
  <c r="D1286" i="23"/>
  <c r="D1287" i="23"/>
  <c r="D1288" i="23"/>
  <c r="D1289" i="23"/>
  <c r="D1290" i="23"/>
  <c r="D1291" i="23"/>
  <c r="D1292" i="23"/>
  <c r="D1293" i="23"/>
  <c r="D1294" i="23"/>
  <c r="D1295" i="23"/>
  <c r="D1296" i="23"/>
  <c r="D1297" i="23"/>
  <c r="D1298" i="23"/>
  <c r="D1299" i="23"/>
  <c r="D1300" i="23"/>
  <c r="D1301" i="23"/>
  <c r="D1302" i="23"/>
  <c r="D1303" i="23"/>
  <c r="D1304" i="23"/>
  <c r="D1305" i="23"/>
  <c r="D1306" i="23"/>
  <c r="D1307" i="23"/>
  <c r="D1308" i="23"/>
  <c r="D1309" i="23"/>
  <c r="D1310" i="23"/>
  <c r="D1311" i="23"/>
  <c r="D1277" i="23"/>
  <c r="C1277" i="23"/>
  <c r="C1278" i="23"/>
  <c r="C1279" i="23"/>
  <c r="C1280" i="23"/>
  <c r="C1281" i="23"/>
  <c r="C1282" i="23"/>
  <c r="C1283" i="23"/>
  <c r="C1284" i="23"/>
  <c r="C1285" i="23"/>
  <c r="C1286" i="23"/>
  <c r="C1287" i="23"/>
  <c r="C1288" i="23"/>
  <c r="C1289" i="23"/>
  <c r="C1290" i="23"/>
  <c r="C1291" i="23"/>
  <c r="C1292" i="23"/>
  <c r="C1293" i="23"/>
  <c r="C1294" i="23"/>
  <c r="C1295" i="23"/>
  <c r="C1296" i="23"/>
  <c r="C1297" i="23"/>
  <c r="C1298" i="23"/>
  <c r="C1299" i="23"/>
  <c r="C1300" i="23"/>
  <c r="C1301" i="23"/>
  <c r="C1302" i="23"/>
  <c r="C1303" i="23"/>
  <c r="C1304" i="23"/>
  <c r="C1305" i="23"/>
  <c r="C1306" i="23"/>
  <c r="C1307" i="23"/>
  <c r="C1308" i="23"/>
  <c r="C1309" i="23"/>
  <c r="C1310" i="23"/>
  <c r="C1311" i="23"/>
  <c r="B1278" i="23"/>
  <c r="B1279" i="23"/>
  <c r="B1280" i="23"/>
  <c r="B1281" i="23"/>
  <c r="B1282" i="23"/>
  <c r="B1283" i="23"/>
  <c r="B1284" i="23"/>
  <c r="B1285" i="23"/>
  <c r="B1286" i="23"/>
  <c r="B1287" i="23"/>
  <c r="B1288" i="23"/>
  <c r="B1289" i="23"/>
  <c r="B1290" i="23"/>
  <c r="B1291" i="23"/>
  <c r="B1292" i="23"/>
  <c r="B1293" i="23"/>
  <c r="B1294" i="23"/>
  <c r="B1295" i="23"/>
  <c r="B1296" i="23"/>
  <c r="B1297" i="23"/>
  <c r="B1298" i="23"/>
  <c r="B1299" i="23"/>
  <c r="B1300" i="23"/>
  <c r="B1301" i="23"/>
  <c r="B1302" i="23"/>
  <c r="B1303" i="23"/>
  <c r="B1304" i="23"/>
  <c r="B1305" i="23"/>
  <c r="B1306" i="23"/>
  <c r="B1307" i="23"/>
  <c r="B1308" i="23"/>
  <c r="B1309" i="23"/>
  <c r="B1310" i="23"/>
  <c r="B1311" i="23"/>
  <c r="B1277" i="23"/>
  <c r="H1312" i="23"/>
  <c r="B1275" i="23"/>
  <c r="F1278" i="23"/>
  <c r="F1279" i="23"/>
  <c r="F1280" i="23"/>
  <c r="F1281" i="23"/>
  <c r="F1282" i="23"/>
  <c r="F1283" i="23"/>
  <c r="F1284" i="23"/>
  <c r="F1285" i="23"/>
  <c r="F1286" i="23"/>
  <c r="F1287" i="23"/>
  <c r="F1288" i="23"/>
  <c r="F1289" i="23"/>
  <c r="F1290" i="23"/>
  <c r="F1291" i="23"/>
  <c r="F1292" i="23"/>
  <c r="F1293" i="23"/>
  <c r="F1294" i="23"/>
  <c r="F1295" i="23"/>
  <c r="F1296" i="23"/>
  <c r="F1297" i="23"/>
  <c r="F1298" i="23"/>
  <c r="F1299" i="23"/>
  <c r="F1300" i="23"/>
  <c r="F1301" i="23"/>
  <c r="F1302" i="23"/>
  <c r="F1303" i="23"/>
  <c r="F1304" i="23"/>
  <c r="F1305" i="23"/>
  <c r="F1306" i="23"/>
  <c r="F1307" i="23"/>
  <c r="F1308" i="23"/>
  <c r="F1309" i="23"/>
  <c r="F1310" i="23"/>
  <c r="F1311" i="23"/>
  <c r="F1277" i="23"/>
  <c r="G19" i="23"/>
  <c r="F1237" i="23"/>
  <c r="F1238" i="23"/>
  <c r="F1239" i="23"/>
  <c r="F1240" i="23"/>
  <c r="F1241" i="23"/>
  <c r="F1242" i="23"/>
  <c r="F1243" i="23"/>
  <c r="F1244" i="23"/>
  <c r="F1245" i="23"/>
  <c r="F1246" i="23"/>
  <c r="F1247" i="23"/>
  <c r="F1248" i="23"/>
  <c r="F1249" i="23"/>
  <c r="F1250" i="23"/>
  <c r="F1251" i="23"/>
  <c r="F1252" i="23"/>
  <c r="F1253" i="23"/>
  <c r="F1254" i="23"/>
  <c r="F1255" i="23"/>
  <c r="F1256" i="23"/>
  <c r="F1257" i="23"/>
  <c r="F1258" i="23"/>
  <c r="F1259" i="23"/>
  <c r="F1260" i="23"/>
  <c r="F1261" i="23"/>
  <c r="F1262" i="23"/>
  <c r="F1263" i="23"/>
  <c r="F1264" i="23"/>
  <c r="F1265" i="23"/>
  <c r="F1266" i="23"/>
  <c r="F1267" i="23"/>
  <c r="F1268" i="23"/>
  <c r="F1269" i="23"/>
  <c r="F1270" i="23"/>
  <c r="F1236" i="23"/>
  <c r="E1237" i="23"/>
  <c r="E1238" i="23"/>
  <c r="E1239" i="23"/>
  <c r="E1240" i="23"/>
  <c r="E1241" i="23"/>
  <c r="E1242" i="23"/>
  <c r="E1243" i="23"/>
  <c r="E1244" i="23"/>
  <c r="E1245" i="23"/>
  <c r="E1246" i="23"/>
  <c r="E1247" i="23"/>
  <c r="E1248" i="23"/>
  <c r="E1249" i="23"/>
  <c r="E1250" i="23"/>
  <c r="E1251" i="23"/>
  <c r="E1252" i="23"/>
  <c r="E1253" i="23"/>
  <c r="E1254" i="23"/>
  <c r="E1255" i="23"/>
  <c r="E1256" i="23"/>
  <c r="G1265" i="23" s="1"/>
  <c r="H1265" i="23" s="1"/>
  <c r="E1257" i="23"/>
  <c r="E1258" i="23"/>
  <c r="E1259" i="23"/>
  <c r="E1260" i="23"/>
  <c r="E1261" i="23"/>
  <c r="E1262" i="23"/>
  <c r="E1263" i="23"/>
  <c r="E1264" i="23"/>
  <c r="E1265" i="23"/>
  <c r="E1266" i="23"/>
  <c r="E1267" i="23"/>
  <c r="E1268" i="23"/>
  <c r="E1269" i="23"/>
  <c r="E1270" i="23"/>
  <c r="E1236" i="23"/>
  <c r="H1271" i="23"/>
  <c r="B1234" i="23"/>
  <c r="D1237" i="23"/>
  <c r="D1238" i="23"/>
  <c r="D1239" i="23"/>
  <c r="D1240" i="23"/>
  <c r="D1241" i="23"/>
  <c r="D1242" i="23"/>
  <c r="D1243" i="23"/>
  <c r="D1244" i="23"/>
  <c r="D1245" i="23"/>
  <c r="D1246" i="23"/>
  <c r="D1247" i="23"/>
  <c r="D1248" i="23"/>
  <c r="D1249" i="23"/>
  <c r="D1250" i="23"/>
  <c r="D1251" i="23"/>
  <c r="D1252" i="23"/>
  <c r="D1253" i="23"/>
  <c r="D1254" i="23"/>
  <c r="D1255" i="23"/>
  <c r="D1256" i="23"/>
  <c r="D1257" i="23"/>
  <c r="D1258" i="23"/>
  <c r="D1259" i="23"/>
  <c r="D1260" i="23"/>
  <c r="D1261" i="23"/>
  <c r="D1262" i="23"/>
  <c r="D1263" i="23"/>
  <c r="D1264" i="23"/>
  <c r="D1265" i="23"/>
  <c r="D1266" i="23"/>
  <c r="D1267" i="23"/>
  <c r="D1268" i="23"/>
  <c r="D1269" i="23"/>
  <c r="D1270" i="23"/>
  <c r="D1236" i="23"/>
  <c r="C1237" i="23"/>
  <c r="C1238" i="23"/>
  <c r="C1239" i="23"/>
  <c r="C1240" i="23"/>
  <c r="C1241" i="23"/>
  <c r="C1242" i="23"/>
  <c r="C1243" i="23"/>
  <c r="C1244" i="23"/>
  <c r="C1245" i="23"/>
  <c r="C1246" i="23"/>
  <c r="C1247" i="23"/>
  <c r="C1248" i="23"/>
  <c r="C1249" i="23"/>
  <c r="C1250" i="23"/>
  <c r="C1251" i="23"/>
  <c r="C1252" i="23"/>
  <c r="C1253" i="23"/>
  <c r="C1254" i="23"/>
  <c r="C1255" i="23"/>
  <c r="C1256" i="23"/>
  <c r="C1257" i="23"/>
  <c r="C1258" i="23"/>
  <c r="C1259" i="23"/>
  <c r="C1260" i="23"/>
  <c r="C1261" i="23"/>
  <c r="C1262" i="23"/>
  <c r="C1263" i="23"/>
  <c r="C1264" i="23"/>
  <c r="C1265" i="23"/>
  <c r="C1266" i="23"/>
  <c r="C1267" i="23"/>
  <c r="C1268" i="23"/>
  <c r="C1269" i="23"/>
  <c r="C1270" i="23"/>
  <c r="C1236" i="23"/>
  <c r="H1196" i="23"/>
  <c r="H1197" i="23"/>
  <c r="H1198" i="23"/>
  <c r="H1199" i="23"/>
  <c r="H1200" i="23"/>
  <c r="H1201" i="23"/>
  <c r="H1202" i="23"/>
  <c r="H1203" i="23"/>
  <c r="H1204" i="23"/>
  <c r="H1205" i="23"/>
  <c r="H1206" i="23"/>
  <c r="H1207" i="23"/>
  <c r="H1208" i="23"/>
  <c r="H1209" i="23"/>
  <c r="H1210" i="23"/>
  <c r="H1211" i="23"/>
  <c r="H1212" i="23"/>
  <c r="H1213" i="23"/>
  <c r="H1214" i="23"/>
  <c r="H1215" i="23"/>
  <c r="H1216" i="23"/>
  <c r="H1217" i="23"/>
  <c r="H1218" i="23"/>
  <c r="H1219" i="23"/>
  <c r="H1220" i="23"/>
  <c r="H1221" i="23"/>
  <c r="H1222" i="23"/>
  <c r="H1223" i="23"/>
  <c r="H1224" i="23"/>
  <c r="H1226" i="23"/>
  <c r="H1227" i="23"/>
  <c r="H1228" i="23"/>
  <c r="H1229" i="23"/>
  <c r="H1230" i="23"/>
  <c r="H1195" i="23"/>
  <c r="B1193" i="23"/>
  <c r="G1224" i="23"/>
  <c r="F1196" i="23"/>
  <c r="F1197" i="23"/>
  <c r="F1198" i="23"/>
  <c r="F1199" i="23"/>
  <c r="F1200" i="23"/>
  <c r="F1201" i="23"/>
  <c r="F1202" i="23"/>
  <c r="F1203" i="23"/>
  <c r="F1204" i="23"/>
  <c r="F1205" i="23"/>
  <c r="F1206" i="23"/>
  <c r="F1207" i="23"/>
  <c r="F1208" i="23"/>
  <c r="F1209" i="23"/>
  <c r="F1210" i="23"/>
  <c r="F1211" i="23"/>
  <c r="F1212" i="23"/>
  <c r="F1213" i="23"/>
  <c r="F1214" i="23"/>
  <c r="F1215" i="23"/>
  <c r="F1216" i="23"/>
  <c r="F1217" i="23"/>
  <c r="F1218" i="23"/>
  <c r="F1219" i="23"/>
  <c r="F1220" i="23"/>
  <c r="F1221" i="23"/>
  <c r="F1222" i="23"/>
  <c r="F1223" i="23"/>
  <c r="F1224" i="23"/>
  <c r="F1225" i="23"/>
  <c r="F1226" i="23"/>
  <c r="F1227" i="23"/>
  <c r="F1228" i="23"/>
  <c r="F1229" i="23"/>
  <c r="F1195" i="23"/>
  <c r="E1196" i="23"/>
  <c r="E1197" i="23"/>
  <c r="E1198" i="23"/>
  <c r="E1199" i="23"/>
  <c r="E1200" i="23"/>
  <c r="E1201" i="23"/>
  <c r="E1202" i="23"/>
  <c r="E1203" i="23"/>
  <c r="E1204" i="23"/>
  <c r="E1205" i="23"/>
  <c r="E1206" i="23"/>
  <c r="E1207" i="23"/>
  <c r="E1208" i="23"/>
  <c r="E1209" i="23"/>
  <c r="E1210" i="23"/>
  <c r="E1211" i="23"/>
  <c r="E1212" i="23"/>
  <c r="E1213" i="23"/>
  <c r="E1214" i="23"/>
  <c r="E1215" i="23"/>
  <c r="E1216" i="23"/>
  <c r="E1217" i="23"/>
  <c r="E1218" i="23"/>
  <c r="E1219" i="23"/>
  <c r="E1220" i="23"/>
  <c r="E1221" i="23"/>
  <c r="E1222" i="23"/>
  <c r="E1223" i="23"/>
  <c r="E1224" i="23"/>
  <c r="E1225" i="23"/>
  <c r="E1226" i="23"/>
  <c r="E1227" i="23"/>
  <c r="E1228" i="23"/>
  <c r="E1229" i="23"/>
  <c r="E1195" i="23"/>
  <c r="D1196" i="23"/>
  <c r="D1197" i="23"/>
  <c r="D1198" i="23"/>
  <c r="D1199" i="23"/>
  <c r="D1200" i="23"/>
  <c r="D1201" i="23"/>
  <c r="D1202" i="23"/>
  <c r="D1203" i="23"/>
  <c r="D1204" i="23"/>
  <c r="D1205" i="23"/>
  <c r="D1206" i="23"/>
  <c r="D1207" i="23"/>
  <c r="D1208" i="23"/>
  <c r="D1209" i="23"/>
  <c r="D1210" i="23"/>
  <c r="D1211" i="23"/>
  <c r="D1212" i="23"/>
  <c r="D1213" i="23"/>
  <c r="D1214" i="23"/>
  <c r="D1215" i="23"/>
  <c r="D1216" i="23"/>
  <c r="D1217" i="23"/>
  <c r="D1218" i="23"/>
  <c r="D1219" i="23"/>
  <c r="D1220" i="23"/>
  <c r="D1221" i="23"/>
  <c r="D1222" i="23"/>
  <c r="D1223" i="23"/>
  <c r="D1224" i="23"/>
  <c r="D1225" i="23"/>
  <c r="D1226" i="23"/>
  <c r="D1227" i="23"/>
  <c r="D1228" i="23"/>
  <c r="D1229" i="23"/>
  <c r="D1195" i="23"/>
  <c r="B1196" i="23"/>
  <c r="B1197" i="23"/>
  <c r="B1198" i="23"/>
  <c r="B1199" i="23"/>
  <c r="B1200" i="23"/>
  <c r="B1201" i="23"/>
  <c r="B1202" i="23"/>
  <c r="B1203" i="23"/>
  <c r="B1204" i="23"/>
  <c r="B1205" i="23"/>
  <c r="B1206" i="23"/>
  <c r="B1207" i="23"/>
  <c r="B1208" i="23"/>
  <c r="B1209" i="23"/>
  <c r="B1210" i="23"/>
  <c r="B1211" i="23"/>
  <c r="B1212" i="23"/>
  <c r="B1213" i="23"/>
  <c r="B1214" i="23"/>
  <c r="B1215" i="23"/>
  <c r="B1216" i="23"/>
  <c r="B1217" i="23"/>
  <c r="B1218" i="23"/>
  <c r="B1219" i="23"/>
  <c r="B1220" i="23"/>
  <c r="B1221" i="23"/>
  <c r="B1222" i="23"/>
  <c r="B1223" i="23"/>
  <c r="B1224" i="23"/>
  <c r="B1225" i="23"/>
  <c r="B1226" i="23"/>
  <c r="B1227" i="23"/>
  <c r="B1228" i="23"/>
  <c r="B1229" i="23"/>
  <c r="B1195" i="23"/>
  <c r="G1183" i="23"/>
  <c r="H1155" i="23"/>
  <c r="H1156" i="23"/>
  <c r="H1157" i="23"/>
  <c r="H1158" i="23"/>
  <c r="H1159" i="23"/>
  <c r="H1160" i="23"/>
  <c r="H1161" i="23"/>
  <c r="H1162" i="23"/>
  <c r="H1163" i="23"/>
  <c r="H1164" i="23"/>
  <c r="H1165" i="23"/>
  <c r="H1166" i="23"/>
  <c r="H1167" i="23"/>
  <c r="H1168" i="23"/>
  <c r="H1169" i="23"/>
  <c r="H1170" i="23"/>
  <c r="H1171" i="23"/>
  <c r="H1172" i="23"/>
  <c r="H1173" i="23"/>
  <c r="H1174" i="23"/>
  <c r="H1175" i="23"/>
  <c r="H1176" i="23"/>
  <c r="H1177" i="23"/>
  <c r="H1178" i="23"/>
  <c r="H1179" i="23"/>
  <c r="H1180" i="23"/>
  <c r="H1181" i="23"/>
  <c r="H1182" i="23"/>
  <c r="H1183" i="23"/>
  <c r="H1185" i="23"/>
  <c r="H1186" i="23"/>
  <c r="H1187" i="23"/>
  <c r="H1188" i="23"/>
  <c r="H1189" i="23"/>
  <c r="H1154" i="23"/>
  <c r="B1152" i="23"/>
  <c r="F1155" i="23"/>
  <c r="F1156" i="23"/>
  <c r="F1157" i="23"/>
  <c r="F1158" i="23"/>
  <c r="F1159" i="23"/>
  <c r="F1160" i="23"/>
  <c r="F1161" i="23"/>
  <c r="F1162" i="23"/>
  <c r="F1163" i="23"/>
  <c r="F1164" i="23"/>
  <c r="F1165" i="23"/>
  <c r="F1166" i="23"/>
  <c r="F1167" i="23"/>
  <c r="F1168" i="23"/>
  <c r="F1169" i="23"/>
  <c r="F1170" i="23"/>
  <c r="F1171" i="23"/>
  <c r="F1172" i="23"/>
  <c r="F1173" i="23"/>
  <c r="F1174" i="23"/>
  <c r="F1175" i="23"/>
  <c r="F1176" i="23"/>
  <c r="F1177" i="23"/>
  <c r="F1178" i="23"/>
  <c r="F1179" i="23"/>
  <c r="F1180" i="23"/>
  <c r="F1181" i="23"/>
  <c r="F1182" i="23"/>
  <c r="F1183" i="23"/>
  <c r="F1184" i="23"/>
  <c r="F1185" i="23"/>
  <c r="F1186" i="23"/>
  <c r="F1187" i="23"/>
  <c r="F1188" i="23"/>
  <c r="F1154" i="23"/>
  <c r="E1155" i="23"/>
  <c r="E1156" i="23"/>
  <c r="E1157" i="23"/>
  <c r="E1158" i="23"/>
  <c r="E1159" i="23"/>
  <c r="E1160" i="23"/>
  <c r="E1161" i="23"/>
  <c r="E1162" i="23"/>
  <c r="E1163" i="23"/>
  <c r="E1164" i="23"/>
  <c r="E1165" i="23"/>
  <c r="E1166" i="23"/>
  <c r="E1167" i="23"/>
  <c r="E1168" i="23"/>
  <c r="E1169" i="23"/>
  <c r="E1170" i="23"/>
  <c r="E1171" i="23"/>
  <c r="E1172" i="23"/>
  <c r="E1173" i="23"/>
  <c r="E1174" i="23"/>
  <c r="E1175" i="23"/>
  <c r="E1176" i="23"/>
  <c r="E1177" i="23"/>
  <c r="E1178" i="23"/>
  <c r="E1179" i="23"/>
  <c r="E1180" i="23"/>
  <c r="E1181" i="23"/>
  <c r="E1182" i="23"/>
  <c r="E1183" i="23"/>
  <c r="E1184" i="23"/>
  <c r="E1185" i="23"/>
  <c r="E1186" i="23"/>
  <c r="E1187" i="23"/>
  <c r="E1188" i="23"/>
  <c r="E1154" i="23"/>
  <c r="C1155" i="23"/>
  <c r="C1156" i="23"/>
  <c r="C1157" i="23"/>
  <c r="C1158" i="23"/>
  <c r="C1159" i="23"/>
  <c r="C1160" i="23"/>
  <c r="C1161" i="23"/>
  <c r="C1162" i="23"/>
  <c r="C1163" i="23"/>
  <c r="C1164" i="23"/>
  <c r="C1165" i="23"/>
  <c r="C1166" i="23"/>
  <c r="C1167" i="23"/>
  <c r="C1168" i="23"/>
  <c r="C1169" i="23"/>
  <c r="C1170" i="23"/>
  <c r="C1171" i="23"/>
  <c r="C1172" i="23"/>
  <c r="C1173" i="23"/>
  <c r="C1174" i="23"/>
  <c r="C1175" i="23"/>
  <c r="C1176" i="23"/>
  <c r="C1177" i="23"/>
  <c r="C1178" i="23"/>
  <c r="C1179" i="23"/>
  <c r="C1180" i="23"/>
  <c r="C1181" i="23"/>
  <c r="C1182" i="23"/>
  <c r="C1183" i="23"/>
  <c r="C1184" i="23"/>
  <c r="C1185" i="23"/>
  <c r="C1186" i="23"/>
  <c r="C1187" i="23"/>
  <c r="C1188" i="23"/>
  <c r="C1154" i="23"/>
  <c r="B1155" i="23"/>
  <c r="B1156" i="23"/>
  <c r="B1157" i="23"/>
  <c r="B1158" i="23"/>
  <c r="B1159" i="23"/>
  <c r="B1160" i="23"/>
  <c r="B1161" i="23"/>
  <c r="B1162" i="23"/>
  <c r="B1163" i="23"/>
  <c r="B1164" i="23"/>
  <c r="B1165" i="23"/>
  <c r="B1166" i="23"/>
  <c r="B1167" i="23"/>
  <c r="B1168" i="23"/>
  <c r="B1169" i="23"/>
  <c r="B1170" i="23"/>
  <c r="B1171" i="23"/>
  <c r="B1172" i="23"/>
  <c r="B1173" i="23"/>
  <c r="B1174" i="23"/>
  <c r="B1175" i="23"/>
  <c r="B1176" i="23"/>
  <c r="B1177" i="23"/>
  <c r="B1178" i="23"/>
  <c r="B1179" i="23"/>
  <c r="B1180" i="23"/>
  <c r="B1181" i="23"/>
  <c r="B1182" i="23"/>
  <c r="B1183" i="23"/>
  <c r="B1184" i="23"/>
  <c r="B1185" i="23"/>
  <c r="B1186" i="23"/>
  <c r="B1187" i="23"/>
  <c r="B1188" i="23"/>
  <c r="B1154" i="23"/>
  <c r="D1114" i="23"/>
  <c r="D1115" i="23"/>
  <c r="D1116" i="23"/>
  <c r="D1117" i="23"/>
  <c r="D1118" i="23"/>
  <c r="D1119" i="23"/>
  <c r="D1120" i="23"/>
  <c r="D1121" i="23"/>
  <c r="D1122" i="23"/>
  <c r="D1123" i="23"/>
  <c r="D1124" i="23"/>
  <c r="D1125" i="23"/>
  <c r="D1126" i="23"/>
  <c r="D1127" i="23"/>
  <c r="D1128" i="23"/>
  <c r="D1129" i="23"/>
  <c r="D1130" i="23"/>
  <c r="D1131" i="23"/>
  <c r="D1132" i="23"/>
  <c r="D1133" i="23"/>
  <c r="D1134" i="23"/>
  <c r="D1135" i="23"/>
  <c r="D1136" i="23"/>
  <c r="D1137" i="23"/>
  <c r="D1138" i="23"/>
  <c r="D1139" i="23"/>
  <c r="D1140" i="23"/>
  <c r="D1141" i="23"/>
  <c r="D1142" i="23"/>
  <c r="D1143" i="23"/>
  <c r="D1144" i="23"/>
  <c r="D1145" i="23"/>
  <c r="D1146" i="23"/>
  <c r="D1147" i="23"/>
  <c r="D1113" i="23"/>
  <c r="C1114" i="23"/>
  <c r="C1115" i="23"/>
  <c r="C1116" i="23"/>
  <c r="C1117" i="23"/>
  <c r="C1118" i="23"/>
  <c r="C1119" i="23"/>
  <c r="C1120" i="23"/>
  <c r="C1121" i="23"/>
  <c r="C1122" i="23"/>
  <c r="C1123" i="23"/>
  <c r="C1124" i="23"/>
  <c r="C1125" i="23"/>
  <c r="C1126" i="23"/>
  <c r="C1127" i="23"/>
  <c r="C1128" i="23"/>
  <c r="C1129" i="23"/>
  <c r="C1130" i="23"/>
  <c r="C1131" i="23"/>
  <c r="C1132" i="23"/>
  <c r="C1133" i="23"/>
  <c r="C1134" i="23"/>
  <c r="C1135" i="23"/>
  <c r="C1136" i="23"/>
  <c r="C1137" i="23"/>
  <c r="C1138" i="23"/>
  <c r="C1139" i="23"/>
  <c r="C1140" i="23"/>
  <c r="C1141" i="23"/>
  <c r="C1142" i="23"/>
  <c r="C1143" i="23"/>
  <c r="C1144" i="23"/>
  <c r="C1145" i="23"/>
  <c r="C1146" i="23"/>
  <c r="C1147" i="23"/>
  <c r="C1113" i="23"/>
  <c r="B1114" i="23"/>
  <c r="B1115" i="23"/>
  <c r="B1116" i="23"/>
  <c r="B1117" i="23"/>
  <c r="B1118" i="23"/>
  <c r="B1119" i="23"/>
  <c r="B1120" i="23"/>
  <c r="B1121" i="23"/>
  <c r="B1122" i="23"/>
  <c r="B1123" i="23"/>
  <c r="B1124" i="23"/>
  <c r="B1125" i="23"/>
  <c r="B1126" i="23"/>
  <c r="B1127" i="23"/>
  <c r="B1128" i="23"/>
  <c r="B1129" i="23"/>
  <c r="B1130" i="23"/>
  <c r="B1131" i="23"/>
  <c r="B1132" i="23"/>
  <c r="B1133" i="23"/>
  <c r="B1134" i="23"/>
  <c r="B1135" i="23"/>
  <c r="B1136" i="23"/>
  <c r="B1137" i="23"/>
  <c r="B1138" i="23"/>
  <c r="B1139" i="23"/>
  <c r="B1140" i="23"/>
  <c r="B1141" i="23"/>
  <c r="B1142" i="23"/>
  <c r="B1143" i="23"/>
  <c r="B1144" i="23"/>
  <c r="B1145" i="23"/>
  <c r="B1146" i="23"/>
  <c r="B1147" i="23"/>
  <c r="B1113" i="23"/>
  <c r="F1147" i="23"/>
  <c r="F1114" i="23"/>
  <c r="F1115" i="23"/>
  <c r="F1116" i="23"/>
  <c r="F1117" i="23"/>
  <c r="F1118" i="23"/>
  <c r="F1119" i="23"/>
  <c r="F1120" i="23"/>
  <c r="F1121" i="23"/>
  <c r="F1122" i="23"/>
  <c r="F1123" i="23"/>
  <c r="F1124" i="23"/>
  <c r="F1125" i="23"/>
  <c r="F1126" i="23"/>
  <c r="F1127" i="23"/>
  <c r="F1128" i="23"/>
  <c r="F1129" i="23"/>
  <c r="F1130" i="23"/>
  <c r="F1131" i="23"/>
  <c r="F1132" i="23"/>
  <c r="F1133" i="23"/>
  <c r="F1134" i="23"/>
  <c r="F1135" i="23"/>
  <c r="F1136" i="23"/>
  <c r="F1137" i="23"/>
  <c r="F1138" i="23"/>
  <c r="F1139" i="23"/>
  <c r="F1140" i="23"/>
  <c r="F1141" i="23"/>
  <c r="F1142" i="23"/>
  <c r="F1143" i="23"/>
  <c r="F1144" i="23"/>
  <c r="F1145" i="23"/>
  <c r="F1146" i="23"/>
  <c r="F1113" i="23"/>
  <c r="H1148" i="23"/>
  <c r="B1111" i="23"/>
  <c r="G1101" i="23"/>
  <c r="E1073" i="23"/>
  <c r="E1074" i="23"/>
  <c r="E1075" i="23"/>
  <c r="E1076" i="23"/>
  <c r="E1077" i="23"/>
  <c r="E1078" i="23"/>
  <c r="E1079" i="23"/>
  <c r="E1080" i="23"/>
  <c r="E1081" i="23"/>
  <c r="E1082" i="23"/>
  <c r="E1083" i="23"/>
  <c r="E1084" i="23"/>
  <c r="E1085" i="23"/>
  <c r="E1086" i="23"/>
  <c r="E1087" i="23"/>
  <c r="E1088" i="23"/>
  <c r="E1089" i="23"/>
  <c r="E1090" i="23"/>
  <c r="E1091" i="23"/>
  <c r="E1092" i="23"/>
  <c r="E1093" i="23"/>
  <c r="E1094" i="23"/>
  <c r="E1095" i="23"/>
  <c r="E1096" i="23"/>
  <c r="E1097" i="23"/>
  <c r="E1098" i="23"/>
  <c r="E1099" i="23"/>
  <c r="E1100" i="23"/>
  <c r="E1101" i="23"/>
  <c r="E1102" i="23"/>
  <c r="E1103" i="23"/>
  <c r="E1104" i="23"/>
  <c r="E1105" i="23"/>
  <c r="E1106" i="23"/>
  <c r="E1072" i="23"/>
  <c r="D1073" i="23"/>
  <c r="D1074" i="23"/>
  <c r="D1075" i="23"/>
  <c r="D1076" i="23"/>
  <c r="D1077" i="23"/>
  <c r="D1078" i="23"/>
  <c r="D1079" i="23"/>
  <c r="D1080" i="23"/>
  <c r="D1081" i="23"/>
  <c r="D1082" i="23"/>
  <c r="D1083" i="23"/>
  <c r="D1084" i="23"/>
  <c r="D1085" i="23"/>
  <c r="D1086" i="23"/>
  <c r="D1087" i="23"/>
  <c r="D1088" i="23"/>
  <c r="D1089" i="23"/>
  <c r="D1090" i="23"/>
  <c r="D1091" i="23"/>
  <c r="D1092" i="23"/>
  <c r="D1093" i="23"/>
  <c r="D1094" i="23"/>
  <c r="D1095" i="23"/>
  <c r="D1096" i="23"/>
  <c r="D1097" i="23"/>
  <c r="D1098" i="23"/>
  <c r="D1099" i="23"/>
  <c r="D1100" i="23"/>
  <c r="D1101" i="23"/>
  <c r="D1102" i="23"/>
  <c r="D1103" i="23"/>
  <c r="D1104" i="23"/>
  <c r="D1105" i="23"/>
  <c r="D1106" i="23"/>
  <c r="D1072" i="23"/>
  <c r="C1073" i="23"/>
  <c r="C1074" i="23"/>
  <c r="C1075" i="23"/>
  <c r="C1076" i="23"/>
  <c r="C1077" i="23"/>
  <c r="C1078" i="23"/>
  <c r="C1079" i="23"/>
  <c r="C1080" i="23"/>
  <c r="C1081" i="23"/>
  <c r="C1082" i="23"/>
  <c r="C1083" i="23"/>
  <c r="C1084" i="23"/>
  <c r="C1085" i="23"/>
  <c r="C1086" i="23"/>
  <c r="C1087" i="23"/>
  <c r="C1088" i="23"/>
  <c r="C1089" i="23"/>
  <c r="C1090" i="23"/>
  <c r="C1091" i="23"/>
  <c r="C1092" i="23"/>
  <c r="C1093" i="23"/>
  <c r="C1094" i="23"/>
  <c r="C1095" i="23"/>
  <c r="C1096" i="23"/>
  <c r="C1097" i="23"/>
  <c r="C1098" i="23"/>
  <c r="C1099" i="23"/>
  <c r="C1100" i="23"/>
  <c r="C1101" i="23"/>
  <c r="C1102" i="23"/>
  <c r="C1103" i="23"/>
  <c r="C1104" i="23"/>
  <c r="C1105" i="23"/>
  <c r="C1106" i="23"/>
  <c r="C1072" i="23"/>
  <c r="B1073" i="23"/>
  <c r="B1074" i="23"/>
  <c r="B1075" i="23"/>
  <c r="B1076" i="23"/>
  <c r="B1077" i="23"/>
  <c r="B1078" i="23"/>
  <c r="B1079" i="23"/>
  <c r="B1080" i="23"/>
  <c r="B1081" i="23"/>
  <c r="B1082" i="23"/>
  <c r="B1083" i="23"/>
  <c r="B1084" i="23"/>
  <c r="B1085" i="23"/>
  <c r="B1086" i="23"/>
  <c r="B1087" i="23"/>
  <c r="B1088" i="23"/>
  <c r="B1089" i="23"/>
  <c r="B1090" i="23"/>
  <c r="B1091" i="23"/>
  <c r="B1092" i="23"/>
  <c r="B1093" i="23"/>
  <c r="B1094" i="23"/>
  <c r="B1095" i="23"/>
  <c r="B1096" i="23"/>
  <c r="B1097" i="23"/>
  <c r="B1098" i="23"/>
  <c r="B1099" i="23"/>
  <c r="B1100" i="23"/>
  <c r="B1101" i="23"/>
  <c r="B1102" i="23"/>
  <c r="B1103" i="23"/>
  <c r="B1104" i="23"/>
  <c r="B1105" i="23"/>
  <c r="B1106" i="23"/>
  <c r="B1072" i="23"/>
  <c r="H1107" i="23"/>
  <c r="B1070" i="23"/>
  <c r="G1060" i="23"/>
  <c r="F1032" i="23"/>
  <c r="F1033" i="23"/>
  <c r="F1034" i="23"/>
  <c r="F1035" i="23"/>
  <c r="F1036" i="23"/>
  <c r="F1037" i="23"/>
  <c r="F1038" i="23"/>
  <c r="F1039" i="23"/>
  <c r="F1040" i="23"/>
  <c r="F1041" i="23"/>
  <c r="F1042" i="23"/>
  <c r="F1043" i="23"/>
  <c r="F1044" i="23"/>
  <c r="F1045" i="23"/>
  <c r="F1046" i="23"/>
  <c r="F1047" i="23"/>
  <c r="F1048" i="23"/>
  <c r="F1049" i="23"/>
  <c r="F1050" i="23"/>
  <c r="F1051" i="23"/>
  <c r="F1052" i="23"/>
  <c r="F1053" i="23"/>
  <c r="F1054" i="23"/>
  <c r="F1055" i="23"/>
  <c r="F1056" i="23"/>
  <c r="F1057" i="23"/>
  <c r="F1058" i="23"/>
  <c r="F1059" i="23"/>
  <c r="F1060" i="23"/>
  <c r="F1061" i="23"/>
  <c r="F1062" i="23"/>
  <c r="F1063" i="23"/>
  <c r="F1064" i="23"/>
  <c r="F1065" i="23"/>
  <c r="F1031" i="23"/>
  <c r="E1032" i="23"/>
  <c r="E1033" i="23"/>
  <c r="E1034" i="23"/>
  <c r="E1035" i="23"/>
  <c r="E1036" i="23"/>
  <c r="E1037" i="23"/>
  <c r="E1038" i="23"/>
  <c r="E1039" i="23"/>
  <c r="E1040" i="23"/>
  <c r="E1041" i="23"/>
  <c r="E1042" i="23"/>
  <c r="E1043" i="23"/>
  <c r="E1044" i="23"/>
  <c r="E1045" i="23"/>
  <c r="E1046" i="23"/>
  <c r="E1047" i="23"/>
  <c r="E1048" i="23"/>
  <c r="E1049" i="23"/>
  <c r="E1050" i="23"/>
  <c r="E1051" i="23"/>
  <c r="E1052" i="23"/>
  <c r="E1053" i="23"/>
  <c r="E1054" i="23"/>
  <c r="E1055" i="23"/>
  <c r="E1056" i="23"/>
  <c r="E1057" i="23"/>
  <c r="E1058" i="23"/>
  <c r="E1059" i="23"/>
  <c r="E1060" i="23"/>
  <c r="E1061" i="23"/>
  <c r="E1062" i="23"/>
  <c r="E1063" i="23"/>
  <c r="E1064" i="23"/>
  <c r="E1065" i="23"/>
  <c r="E1031" i="23"/>
  <c r="D1032" i="23"/>
  <c r="D1033" i="23"/>
  <c r="D1034" i="23"/>
  <c r="D1035" i="23"/>
  <c r="D1036" i="23"/>
  <c r="D1037" i="23"/>
  <c r="D1038" i="23"/>
  <c r="D1039" i="23"/>
  <c r="D1040" i="23"/>
  <c r="D1041" i="23"/>
  <c r="D1042" i="23"/>
  <c r="D1043" i="23"/>
  <c r="D1044" i="23"/>
  <c r="D1045" i="23"/>
  <c r="D1046" i="23"/>
  <c r="D1047" i="23"/>
  <c r="D1048" i="23"/>
  <c r="D1049" i="23"/>
  <c r="D1050" i="23"/>
  <c r="D1051" i="23"/>
  <c r="D1052" i="23"/>
  <c r="D1053" i="23"/>
  <c r="D1054" i="23"/>
  <c r="D1055" i="23"/>
  <c r="D1056" i="23"/>
  <c r="D1057" i="23"/>
  <c r="D1058" i="23"/>
  <c r="D1059" i="23"/>
  <c r="D1060" i="23"/>
  <c r="D1061" i="23"/>
  <c r="D1062" i="23"/>
  <c r="D1063" i="23"/>
  <c r="D1064" i="23"/>
  <c r="D1065" i="23"/>
  <c r="D1031" i="23"/>
  <c r="B1029" i="23"/>
  <c r="G1019" i="23"/>
  <c r="H991" i="23"/>
  <c r="H992" i="23"/>
  <c r="H993" i="23"/>
  <c r="H994" i="23"/>
  <c r="H995" i="23"/>
  <c r="H996" i="23"/>
  <c r="H997" i="23"/>
  <c r="H998" i="23"/>
  <c r="H999" i="23"/>
  <c r="H1000" i="23"/>
  <c r="H1001" i="23"/>
  <c r="H1002" i="23"/>
  <c r="H1003" i="23"/>
  <c r="H1004" i="23"/>
  <c r="H1005" i="23"/>
  <c r="H1006" i="23"/>
  <c r="H1007" i="23"/>
  <c r="H1008" i="23"/>
  <c r="H1009" i="23"/>
  <c r="H1010" i="23"/>
  <c r="H1011" i="23"/>
  <c r="H1012" i="23"/>
  <c r="H1013" i="23"/>
  <c r="H1014" i="23"/>
  <c r="H1015" i="23"/>
  <c r="H1016" i="23"/>
  <c r="H1017" i="23"/>
  <c r="H1018" i="23"/>
  <c r="H1019" i="23"/>
  <c r="H1020" i="23"/>
  <c r="H1021" i="23"/>
  <c r="H1022" i="23"/>
  <c r="H1023" i="23"/>
  <c r="H1024" i="23"/>
  <c r="H1025" i="23"/>
  <c r="H990" i="23"/>
  <c r="B988" i="23"/>
  <c r="F990" i="23"/>
  <c r="F991" i="23"/>
  <c r="F992" i="23"/>
  <c r="F993" i="23"/>
  <c r="F994" i="23"/>
  <c r="F995" i="23"/>
  <c r="F996" i="23"/>
  <c r="F997" i="23"/>
  <c r="F998" i="23"/>
  <c r="F999" i="23"/>
  <c r="F1000" i="23"/>
  <c r="F1001" i="23"/>
  <c r="F1002" i="23"/>
  <c r="F1003" i="23"/>
  <c r="F1004" i="23"/>
  <c r="F1005" i="23"/>
  <c r="F1006" i="23"/>
  <c r="F1007" i="23"/>
  <c r="F1008" i="23"/>
  <c r="F1009" i="23"/>
  <c r="F1010" i="23"/>
  <c r="F1011" i="23"/>
  <c r="F1012" i="23"/>
  <c r="F1013" i="23"/>
  <c r="F1014" i="23"/>
  <c r="F1015" i="23"/>
  <c r="F1016" i="23"/>
  <c r="F1017" i="23"/>
  <c r="F1018" i="23"/>
  <c r="F1019" i="23"/>
  <c r="F1020" i="23"/>
  <c r="F1021" i="23"/>
  <c r="F1022" i="23"/>
  <c r="F1023" i="23"/>
  <c r="F1024" i="23"/>
  <c r="E991" i="23"/>
  <c r="E992" i="23"/>
  <c r="E993" i="23"/>
  <c r="E994" i="23"/>
  <c r="E995" i="23"/>
  <c r="E996" i="23"/>
  <c r="E997" i="23"/>
  <c r="E998" i="23"/>
  <c r="E999" i="23"/>
  <c r="E1000" i="23"/>
  <c r="E1001" i="23"/>
  <c r="E1002" i="23"/>
  <c r="E1003" i="23"/>
  <c r="E1004" i="23"/>
  <c r="E1005" i="23"/>
  <c r="E1006" i="23"/>
  <c r="E1007" i="23"/>
  <c r="E1008" i="23"/>
  <c r="E1009" i="23"/>
  <c r="E1010" i="23"/>
  <c r="E1011" i="23"/>
  <c r="E1012" i="23"/>
  <c r="E1013" i="23"/>
  <c r="E1014" i="23"/>
  <c r="E1015" i="23"/>
  <c r="E1016" i="23"/>
  <c r="E1017" i="23"/>
  <c r="E1018" i="23"/>
  <c r="E1019" i="23"/>
  <c r="E1020" i="23"/>
  <c r="E1021" i="23"/>
  <c r="E1022" i="23"/>
  <c r="E1023" i="23"/>
  <c r="E1024" i="23"/>
  <c r="E990" i="23"/>
  <c r="C991" i="23"/>
  <c r="C992" i="23"/>
  <c r="C993" i="23"/>
  <c r="C994" i="23"/>
  <c r="C995" i="23"/>
  <c r="C996" i="23"/>
  <c r="C997" i="23"/>
  <c r="C998" i="23"/>
  <c r="C999" i="23"/>
  <c r="C1000" i="23"/>
  <c r="C1001" i="23"/>
  <c r="C1002" i="23"/>
  <c r="C1003" i="23"/>
  <c r="C1004" i="23"/>
  <c r="C1005" i="23"/>
  <c r="C1006" i="23"/>
  <c r="C1007" i="23"/>
  <c r="C1008" i="23"/>
  <c r="C1009" i="23"/>
  <c r="C1010" i="23"/>
  <c r="C1011" i="23"/>
  <c r="C1012" i="23"/>
  <c r="C1013" i="23"/>
  <c r="C1014" i="23"/>
  <c r="C1015" i="23"/>
  <c r="C1016" i="23"/>
  <c r="C1017" i="23"/>
  <c r="C1018" i="23"/>
  <c r="C1019" i="23"/>
  <c r="C1020" i="23"/>
  <c r="C1021" i="23"/>
  <c r="C1022" i="23"/>
  <c r="C1023" i="23"/>
  <c r="C1024" i="23"/>
  <c r="C990" i="23"/>
  <c r="F950" i="23"/>
  <c r="F951" i="23"/>
  <c r="F952" i="23"/>
  <c r="F953" i="23"/>
  <c r="F954" i="23"/>
  <c r="F955" i="23"/>
  <c r="F956" i="23"/>
  <c r="F957" i="23"/>
  <c r="F958" i="23"/>
  <c r="F959" i="23"/>
  <c r="F960" i="23"/>
  <c r="F961" i="23"/>
  <c r="F962" i="23"/>
  <c r="F963" i="23"/>
  <c r="F964" i="23"/>
  <c r="F965" i="23"/>
  <c r="F966" i="23"/>
  <c r="F967" i="23"/>
  <c r="F968" i="23"/>
  <c r="F969" i="23"/>
  <c r="F970" i="23"/>
  <c r="F971" i="23"/>
  <c r="F972" i="23"/>
  <c r="F973" i="23"/>
  <c r="F974" i="23"/>
  <c r="F975" i="23"/>
  <c r="F976" i="23"/>
  <c r="F977" i="23"/>
  <c r="F978" i="23"/>
  <c r="F979" i="23"/>
  <c r="F980" i="23"/>
  <c r="F981" i="23"/>
  <c r="F982" i="23"/>
  <c r="F983" i="23"/>
  <c r="F949" i="23"/>
  <c r="H984" i="23"/>
  <c r="B947" i="23"/>
  <c r="E950" i="23"/>
  <c r="E951" i="23"/>
  <c r="E952" i="23"/>
  <c r="E953" i="23"/>
  <c r="E954" i="23"/>
  <c r="E955" i="23"/>
  <c r="E956" i="23"/>
  <c r="E957" i="23"/>
  <c r="E958" i="23"/>
  <c r="E959" i="23"/>
  <c r="E960" i="23"/>
  <c r="E961" i="23"/>
  <c r="E962" i="23"/>
  <c r="E963" i="23"/>
  <c r="E964" i="23"/>
  <c r="E965" i="23"/>
  <c r="E966" i="23"/>
  <c r="E967" i="23"/>
  <c r="E968" i="23"/>
  <c r="E969" i="23"/>
  <c r="E970" i="23"/>
  <c r="E971" i="23"/>
  <c r="E972" i="23"/>
  <c r="E973" i="23"/>
  <c r="E974" i="23"/>
  <c r="E975" i="23"/>
  <c r="E976" i="23"/>
  <c r="E977" i="23"/>
  <c r="E978" i="23"/>
  <c r="E979" i="23"/>
  <c r="E980" i="23"/>
  <c r="E981" i="23"/>
  <c r="E982" i="23"/>
  <c r="E983" i="23"/>
  <c r="E949" i="23"/>
  <c r="B950" i="23"/>
  <c r="B951" i="23"/>
  <c r="B952" i="23"/>
  <c r="B953" i="23"/>
  <c r="B954" i="23"/>
  <c r="B955" i="23"/>
  <c r="B956" i="23"/>
  <c r="B957" i="23"/>
  <c r="B958" i="23"/>
  <c r="B959" i="23"/>
  <c r="B960" i="23"/>
  <c r="B961" i="23"/>
  <c r="B962" i="23"/>
  <c r="B963" i="23"/>
  <c r="B964" i="23"/>
  <c r="B965" i="23"/>
  <c r="B966" i="23"/>
  <c r="B967" i="23"/>
  <c r="B968" i="23"/>
  <c r="B969" i="23"/>
  <c r="B970" i="23"/>
  <c r="B971" i="23"/>
  <c r="B972" i="23"/>
  <c r="B973" i="23"/>
  <c r="B974" i="23"/>
  <c r="B975" i="23"/>
  <c r="B976" i="23"/>
  <c r="B977" i="23"/>
  <c r="B978" i="23"/>
  <c r="B979" i="23"/>
  <c r="B980" i="23"/>
  <c r="B981" i="23"/>
  <c r="B982" i="23"/>
  <c r="B983" i="23"/>
  <c r="B949" i="23"/>
  <c r="F909" i="23"/>
  <c r="F910" i="23"/>
  <c r="F911" i="23"/>
  <c r="F912" i="23"/>
  <c r="F913" i="23"/>
  <c r="F914" i="23"/>
  <c r="F915" i="23"/>
  <c r="F916" i="23"/>
  <c r="F917" i="23"/>
  <c r="F918" i="23"/>
  <c r="F919" i="23"/>
  <c r="F920" i="23"/>
  <c r="F921" i="23"/>
  <c r="F922" i="23"/>
  <c r="F923" i="23"/>
  <c r="F924" i="23"/>
  <c r="F925" i="23"/>
  <c r="F926" i="23"/>
  <c r="F927" i="23"/>
  <c r="F928" i="23"/>
  <c r="F929" i="23"/>
  <c r="F930" i="23"/>
  <c r="F931" i="23"/>
  <c r="F932" i="23"/>
  <c r="F933" i="23"/>
  <c r="F934" i="23"/>
  <c r="F935" i="23"/>
  <c r="F936" i="23"/>
  <c r="F937" i="23"/>
  <c r="F938" i="23"/>
  <c r="F939" i="23"/>
  <c r="F940" i="23"/>
  <c r="F941" i="23"/>
  <c r="F942" i="23"/>
  <c r="F908" i="23"/>
  <c r="D942" i="23"/>
  <c r="D909" i="23"/>
  <c r="D910" i="23"/>
  <c r="D911" i="23"/>
  <c r="D912" i="23"/>
  <c r="D913" i="23"/>
  <c r="D914" i="23"/>
  <c r="D915" i="23"/>
  <c r="D916" i="23"/>
  <c r="D917" i="23"/>
  <c r="D918" i="23"/>
  <c r="D919" i="23"/>
  <c r="D920" i="23"/>
  <c r="D921" i="23"/>
  <c r="D922" i="23"/>
  <c r="D923" i="23"/>
  <c r="D924" i="23"/>
  <c r="D925" i="23"/>
  <c r="D926" i="23"/>
  <c r="D927" i="23"/>
  <c r="D928" i="23"/>
  <c r="D929" i="23"/>
  <c r="D930" i="23"/>
  <c r="D931" i="23"/>
  <c r="D932" i="23"/>
  <c r="D933" i="23"/>
  <c r="D934" i="23"/>
  <c r="D935" i="23"/>
  <c r="D936" i="23"/>
  <c r="D937" i="23"/>
  <c r="D938" i="23"/>
  <c r="D939" i="23"/>
  <c r="D940" i="23"/>
  <c r="D941" i="23"/>
  <c r="D908" i="23"/>
  <c r="C909" i="23"/>
  <c r="C910" i="23"/>
  <c r="C911" i="23"/>
  <c r="C912" i="23"/>
  <c r="C913" i="23"/>
  <c r="C914" i="23"/>
  <c r="C915" i="23"/>
  <c r="C916" i="23"/>
  <c r="C917" i="23"/>
  <c r="C918" i="23"/>
  <c r="C919" i="23"/>
  <c r="C920" i="23"/>
  <c r="C921" i="23"/>
  <c r="C922" i="23"/>
  <c r="C923" i="23"/>
  <c r="C924" i="23"/>
  <c r="C925" i="23"/>
  <c r="C926" i="23"/>
  <c r="C927" i="23"/>
  <c r="C928" i="23"/>
  <c r="C929" i="23"/>
  <c r="C930" i="23"/>
  <c r="C931" i="23"/>
  <c r="C932" i="23"/>
  <c r="C933" i="23"/>
  <c r="C934" i="23"/>
  <c r="C935" i="23"/>
  <c r="C936" i="23"/>
  <c r="C937" i="23"/>
  <c r="C938" i="23"/>
  <c r="C939" i="23"/>
  <c r="C940" i="23"/>
  <c r="C941" i="23"/>
  <c r="C942" i="23"/>
  <c r="C908" i="23"/>
  <c r="H943" i="23"/>
  <c r="B906" i="23"/>
  <c r="H868" i="23"/>
  <c r="H869" i="23"/>
  <c r="H870" i="23"/>
  <c r="H871" i="23"/>
  <c r="H872" i="23"/>
  <c r="H873" i="23"/>
  <c r="H874" i="23"/>
  <c r="H875" i="23"/>
  <c r="H876" i="23"/>
  <c r="H877" i="23"/>
  <c r="H878" i="23"/>
  <c r="H879" i="23"/>
  <c r="H880" i="23"/>
  <c r="H881" i="23"/>
  <c r="H882" i="23"/>
  <c r="H883" i="23"/>
  <c r="H884" i="23"/>
  <c r="H885" i="23"/>
  <c r="H886" i="23"/>
  <c r="H887" i="23"/>
  <c r="H888" i="23"/>
  <c r="H889" i="23"/>
  <c r="H890" i="23"/>
  <c r="H891" i="23"/>
  <c r="H892" i="23"/>
  <c r="H893" i="23"/>
  <c r="H894" i="23"/>
  <c r="H895" i="23"/>
  <c r="H896" i="23"/>
  <c r="H897" i="23"/>
  <c r="H898" i="23"/>
  <c r="H899" i="23"/>
  <c r="H900" i="23"/>
  <c r="H901" i="23"/>
  <c r="H902" i="23"/>
  <c r="H867" i="23"/>
  <c r="B865" i="23"/>
  <c r="F868" i="23"/>
  <c r="F869" i="23"/>
  <c r="F870" i="23"/>
  <c r="F871" i="23"/>
  <c r="F872" i="23"/>
  <c r="F873" i="23"/>
  <c r="F874" i="23"/>
  <c r="F875" i="23"/>
  <c r="F876" i="23"/>
  <c r="F877" i="23"/>
  <c r="F878" i="23"/>
  <c r="F879" i="23"/>
  <c r="F880" i="23"/>
  <c r="F881" i="23"/>
  <c r="F882" i="23"/>
  <c r="F883" i="23"/>
  <c r="F884" i="23"/>
  <c r="F885" i="23"/>
  <c r="F886" i="23"/>
  <c r="F887" i="23"/>
  <c r="F888" i="23"/>
  <c r="F889" i="23"/>
  <c r="F890" i="23"/>
  <c r="F891" i="23"/>
  <c r="F892" i="23"/>
  <c r="F893" i="23"/>
  <c r="F894" i="23"/>
  <c r="F895" i="23"/>
  <c r="F896" i="23"/>
  <c r="F897" i="23"/>
  <c r="F898" i="23"/>
  <c r="F899" i="23"/>
  <c r="F900" i="23"/>
  <c r="F901" i="23"/>
  <c r="F867" i="23"/>
  <c r="D868" i="23"/>
  <c r="D869" i="23"/>
  <c r="D870" i="23"/>
  <c r="D871" i="23"/>
  <c r="D872" i="23"/>
  <c r="D873" i="23"/>
  <c r="D874" i="23"/>
  <c r="D875" i="23"/>
  <c r="D876" i="23"/>
  <c r="D877" i="23"/>
  <c r="D878" i="23"/>
  <c r="D879" i="23"/>
  <c r="D880" i="23"/>
  <c r="D881" i="23"/>
  <c r="D882" i="23"/>
  <c r="D883" i="23"/>
  <c r="D884" i="23"/>
  <c r="D885" i="23"/>
  <c r="D886" i="23"/>
  <c r="D887" i="23"/>
  <c r="D888" i="23"/>
  <c r="D889" i="23"/>
  <c r="D890" i="23"/>
  <c r="D891" i="23"/>
  <c r="D892" i="23"/>
  <c r="D893" i="23"/>
  <c r="D894" i="23"/>
  <c r="D895" i="23"/>
  <c r="D896" i="23"/>
  <c r="D897" i="23"/>
  <c r="D898" i="23"/>
  <c r="D899" i="23"/>
  <c r="D900" i="23"/>
  <c r="D901" i="23"/>
  <c r="D867" i="23"/>
  <c r="B868" i="23"/>
  <c r="B869" i="23"/>
  <c r="B870" i="23"/>
  <c r="B871" i="23"/>
  <c r="B872" i="23"/>
  <c r="B873" i="23"/>
  <c r="B874" i="23"/>
  <c r="B875" i="23"/>
  <c r="B876" i="23"/>
  <c r="B877" i="23"/>
  <c r="B878" i="23"/>
  <c r="B879" i="23"/>
  <c r="B880" i="23"/>
  <c r="B881" i="23"/>
  <c r="B882" i="23"/>
  <c r="B883" i="23"/>
  <c r="B884" i="23"/>
  <c r="B885" i="23"/>
  <c r="B886" i="23"/>
  <c r="B887" i="23"/>
  <c r="B888" i="23"/>
  <c r="B889" i="23"/>
  <c r="B890" i="23"/>
  <c r="B891" i="23"/>
  <c r="B892" i="23"/>
  <c r="B893" i="23"/>
  <c r="B894" i="23"/>
  <c r="B895" i="23"/>
  <c r="B896" i="23"/>
  <c r="B897" i="23"/>
  <c r="B898" i="23"/>
  <c r="B899" i="23"/>
  <c r="B900" i="23"/>
  <c r="B901" i="23"/>
  <c r="B867" i="23"/>
  <c r="F827" i="23"/>
  <c r="F828" i="23"/>
  <c r="F829" i="23"/>
  <c r="F830" i="23"/>
  <c r="F831" i="23"/>
  <c r="F832" i="23"/>
  <c r="F833" i="23"/>
  <c r="F834" i="23"/>
  <c r="F835" i="23"/>
  <c r="F836" i="23"/>
  <c r="F837" i="23"/>
  <c r="F838" i="23"/>
  <c r="F839" i="23"/>
  <c r="F840" i="23"/>
  <c r="F841" i="23"/>
  <c r="F842" i="23"/>
  <c r="F843" i="23"/>
  <c r="F844" i="23"/>
  <c r="F845" i="23"/>
  <c r="F846" i="23"/>
  <c r="F847" i="23"/>
  <c r="F848" i="23"/>
  <c r="F849" i="23"/>
  <c r="F850" i="23"/>
  <c r="F851" i="23"/>
  <c r="F852" i="23"/>
  <c r="F853" i="23"/>
  <c r="F854" i="23"/>
  <c r="F855" i="23"/>
  <c r="F856" i="23"/>
  <c r="F857" i="23"/>
  <c r="F858" i="23"/>
  <c r="F859" i="23"/>
  <c r="F860" i="23"/>
  <c r="F826" i="23"/>
  <c r="C827" i="23"/>
  <c r="C828" i="23"/>
  <c r="C829" i="23"/>
  <c r="C830" i="23"/>
  <c r="C831" i="23"/>
  <c r="C832" i="23"/>
  <c r="C833" i="23"/>
  <c r="C834" i="23"/>
  <c r="C835" i="23"/>
  <c r="C836" i="23"/>
  <c r="C837" i="23"/>
  <c r="C838" i="23"/>
  <c r="C839" i="23"/>
  <c r="C840" i="23"/>
  <c r="C841" i="23"/>
  <c r="C842" i="23"/>
  <c r="C843" i="23"/>
  <c r="C844" i="23"/>
  <c r="C845" i="23"/>
  <c r="C846" i="23"/>
  <c r="C847" i="23"/>
  <c r="C848" i="23"/>
  <c r="C849" i="23"/>
  <c r="C850" i="23"/>
  <c r="C851" i="23"/>
  <c r="C852" i="23"/>
  <c r="C853" i="23"/>
  <c r="C854" i="23"/>
  <c r="C855" i="23"/>
  <c r="C856" i="23"/>
  <c r="C857" i="23"/>
  <c r="C858" i="23"/>
  <c r="C859" i="23"/>
  <c r="C860" i="23"/>
  <c r="C826" i="23"/>
  <c r="B827" i="23"/>
  <c r="B828" i="23"/>
  <c r="B829" i="23"/>
  <c r="B830" i="23"/>
  <c r="B831" i="23"/>
  <c r="B832" i="23"/>
  <c r="B833" i="23"/>
  <c r="B834" i="23"/>
  <c r="B835" i="23"/>
  <c r="B836" i="23"/>
  <c r="B837" i="23"/>
  <c r="B838" i="23"/>
  <c r="B839" i="23"/>
  <c r="B840" i="23"/>
  <c r="B841" i="23"/>
  <c r="B842" i="23"/>
  <c r="B843" i="23"/>
  <c r="B844" i="23"/>
  <c r="B845" i="23"/>
  <c r="B846" i="23"/>
  <c r="B847" i="23"/>
  <c r="B848" i="23"/>
  <c r="B849" i="23"/>
  <c r="B850" i="23"/>
  <c r="B851" i="23"/>
  <c r="B852" i="23"/>
  <c r="B853" i="23"/>
  <c r="B854" i="23"/>
  <c r="B855" i="23"/>
  <c r="B856" i="23"/>
  <c r="B857" i="23"/>
  <c r="B858" i="23"/>
  <c r="B859" i="23"/>
  <c r="B860" i="23"/>
  <c r="B826" i="23"/>
  <c r="H861" i="23"/>
  <c r="B824" i="23"/>
  <c r="B783" i="23"/>
  <c r="E786" i="23"/>
  <c r="E787" i="23"/>
  <c r="E788" i="23"/>
  <c r="E789" i="23"/>
  <c r="E790" i="23"/>
  <c r="E791" i="23"/>
  <c r="E792" i="23"/>
  <c r="E793" i="23"/>
  <c r="E794" i="23"/>
  <c r="E795" i="23"/>
  <c r="E796" i="23"/>
  <c r="E797" i="23"/>
  <c r="E798" i="23"/>
  <c r="E799" i="23"/>
  <c r="E800" i="23"/>
  <c r="E801" i="23"/>
  <c r="E802" i="23"/>
  <c r="E803" i="23"/>
  <c r="E804" i="23"/>
  <c r="E805" i="23"/>
  <c r="E806" i="23"/>
  <c r="E807" i="23"/>
  <c r="E808" i="23"/>
  <c r="E809" i="23"/>
  <c r="E810" i="23"/>
  <c r="E811" i="23"/>
  <c r="E812" i="23"/>
  <c r="E813" i="23"/>
  <c r="E814" i="23"/>
  <c r="E815" i="23"/>
  <c r="E816" i="23"/>
  <c r="E817" i="23"/>
  <c r="E818" i="23"/>
  <c r="E819" i="23"/>
  <c r="E785" i="23"/>
  <c r="D786" i="23"/>
  <c r="D787" i="23"/>
  <c r="D788" i="23"/>
  <c r="D789" i="23"/>
  <c r="D790" i="23"/>
  <c r="D791" i="23"/>
  <c r="D792" i="23"/>
  <c r="D793" i="23"/>
  <c r="D794" i="23"/>
  <c r="D795" i="23"/>
  <c r="D796" i="23"/>
  <c r="D797" i="23"/>
  <c r="D798" i="23"/>
  <c r="D799" i="23"/>
  <c r="D800" i="23"/>
  <c r="D801" i="23"/>
  <c r="D802" i="23"/>
  <c r="D803" i="23"/>
  <c r="D804" i="23"/>
  <c r="D805" i="23"/>
  <c r="D806" i="23"/>
  <c r="D807" i="23"/>
  <c r="D808" i="23"/>
  <c r="D809" i="23"/>
  <c r="D810" i="23"/>
  <c r="D811" i="23"/>
  <c r="D812" i="23"/>
  <c r="D813" i="23"/>
  <c r="D814" i="23"/>
  <c r="D815" i="23"/>
  <c r="D816" i="23"/>
  <c r="D817" i="23"/>
  <c r="D818" i="23"/>
  <c r="D819" i="23"/>
  <c r="D785" i="23"/>
  <c r="C786" i="23"/>
  <c r="C787" i="23"/>
  <c r="C788" i="23"/>
  <c r="C789" i="23"/>
  <c r="C790" i="23"/>
  <c r="C791" i="23"/>
  <c r="C792" i="23"/>
  <c r="C793" i="23"/>
  <c r="C794" i="23"/>
  <c r="C795" i="23"/>
  <c r="C796" i="23"/>
  <c r="C797" i="23"/>
  <c r="C798" i="23"/>
  <c r="C799" i="23"/>
  <c r="C800" i="23"/>
  <c r="C801" i="23"/>
  <c r="C802" i="23"/>
  <c r="C803" i="23"/>
  <c r="C804" i="23"/>
  <c r="C805" i="23"/>
  <c r="C806" i="23"/>
  <c r="C807" i="23"/>
  <c r="C808" i="23"/>
  <c r="C809" i="23"/>
  <c r="C810" i="23"/>
  <c r="C811" i="23"/>
  <c r="C812" i="23"/>
  <c r="C813" i="23"/>
  <c r="C814" i="23"/>
  <c r="C815" i="23"/>
  <c r="C816" i="23"/>
  <c r="C817" i="23"/>
  <c r="C818" i="23"/>
  <c r="C819" i="23"/>
  <c r="C785" i="23"/>
  <c r="E745" i="23"/>
  <c r="E746" i="23"/>
  <c r="E747" i="23"/>
  <c r="E748" i="23"/>
  <c r="E749" i="23"/>
  <c r="E750" i="23"/>
  <c r="E751" i="23"/>
  <c r="E752" i="23"/>
  <c r="E753" i="23"/>
  <c r="E754" i="23"/>
  <c r="E755" i="23"/>
  <c r="E756" i="23"/>
  <c r="E757" i="23"/>
  <c r="E758" i="23"/>
  <c r="E759" i="23"/>
  <c r="E760" i="23"/>
  <c r="E761" i="23"/>
  <c r="E762" i="23"/>
  <c r="E763" i="23"/>
  <c r="E764" i="23"/>
  <c r="E765" i="23"/>
  <c r="E766" i="23"/>
  <c r="E767" i="23"/>
  <c r="E768" i="23"/>
  <c r="E769" i="23"/>
  <c r="E770" i="23"/>
  <c r="E771" i="23"/>
  <c r="E772" i="23"/>
  <c r="E773" i="23"/>
  <c r="E774" i="23"/>
  <c r="E775" i="23"/>
  <c r="E776" i="23"/>
  <c r="E777" i="23"/>
  <c r="E778" i="23"/>
  <c r="E744" i="23"/>
  <c r="D745" i="23"/>
  <c r="D746" i="23"/>
  <c r="D747" i="23"/>
  <c r="D748" i="23"/>
  <c r="D749" i="23"/>
  <c r="D750" i="23"/>
  <c r="D751" i="23"/>
  <c r="D752" i="23"/>
  <c r="D753" i="23"/>
  <c r="D754" i="23"/>
  <c r="D755" i="23"/>
  <c r="D756" i="23"/>
  <c r="D757" i="23"/>
  <c r="D758" i="23"/>
  <c r="D759" i="23"/>
  <c r="D760" i="23"/>
  <c r="D761" i="23"/>
  <c r="D762" i="23"/>
  <c r="D763" i="23"/>
  <c r="D764" i="23"/>
  <c r="D765" i="23"/>
  <c r="D766" i="23"/>
  <c r="D767" i="23"/>
  <c r="D768" i="23"/>
  <c r="D769" i="23"/>
  <c r="D770" i="23"/>
  <c r="D771" i="23"/>
  <c r="D772" i="23"/>
  <c r="D773" i="23"/>
  <c r="D774" i="23"/>
  <c r="D775" i="23"/>
  <c r="D776" i="23"/>
  <c r="D777" i="23"/>
  <c r="D778" i="23"/>
  <c r="D744" i="23"/>
  <c r="B745" i="23"/>
  <c r="B746" i="23"/>
  <c r="B747" i="23"/>
  <c r="B748" i="23"/>
  <c r="B749" i="23"/>
  <c r="B750" i="23"/>
  <c r="B751" i="23"/>
  <c r="B752" i="23"/>
  <c r="B753" i="23"/>
  <c r="B754" i="23"/>
  <c r="B755" i="23"/>
  <c r="B756" i="23"/>
  <c r="B757" i="23"/>
  <c r="B758" i="23"/>
  <c r="B759" i="23"/>
  <c r="B760" i="23"/>
  <c r="B761" i="23"/>
  <c r="B762" i="23"/>
  <c r="B763" i="23"/>
  <c r="B764" i="23"/>
  <c r="B765" i="23"/>
  <c r="B766" i="23"/>
  <c r="B767" i="23"/>
  <c r="B768" i="23"/>
  <c r="B769" i="23"/>
  <c r="B770" i="23"/>
  <c r="B771" i="23"/>
  <c r="B772" i="23"/>
  <c r="B773" i="23"/>
  <c r="H773" i="23" s="1"/>
  <c r="B774" i="23"/>
  <c r="B775" i="23"/>
  <c r="B776" i="23"/>
  <c r="B777" i="23"/>
  <c r="B778" i="23"/>
  <c r="B744" i="23"/>
  <c r="B742" i="23"/>
  <c r="E704" i="23"/>
  <c r="E705" i="23"/>
  <c r="E706" i="23"/>
  <c r="E707" i="23"/>
  <c r="E708" i="23"/>
  <c r="E709" i="23"/>
  <c r="E710" i="23"/>
  <c r="E711" i="23"/>
  <c r="E712" i="23"/>
  <c r="E713" i="23"/>
  <c r="E714" i="23"/>
  <c r="E715" i="23"/>
  <c r="E716" i="23"/>
  <c r="E717" i="23"/>
  <c r="E718" i="23"/>
  <c r="E719" i="23"/>
  <c r="E720" i="23"/>
  <c r="E721" i="23"/>
  <c r="E722" i="23"/>
  <c r="E723" i="23"/>
  <c r="E724" i="23"/>
  <c r="E725" i="23"/>
  <c r="E726" i="23"/>
  <c r="E727" i="23"/>
  <c r="E728" i="23"/>
  <c r="E729" i="23"/>
  <c r="E730" i="23"/>
  <c r="E731" i="23"/>
  <c r="E732" i="23"/>
  <c r="H732" i="23" s="1"/>
  <c r="E733" i="23"/>
  <c r="E734" i="23"/>
  <c r="E735" i="23"/>
  <c r="E736" i="23"/>
  <c r="E737" i="23"/>
  <c r="E703" i="23"/>
  <c r="C737" i="23"/>
  <c r="C704" i="23"/>
  <c r="C705" i="23"/>
  <c r="C706" i="23"/>
  <c r="C707" i="23"/>
  <c r="C708" i="23"/>
  <c r="C709" i="23"/>
  <c r="C710" i="23"/>
  <c r="C711" i="23"/>
  <c r="C712" i="23"/>
  <c r="C713" i="23"/>
  <c r="C714" i="23"/>
  <c r="C715" i="23"/>
  <c r="C716" i="23"/>
  <c r="C717" i="23"/>
  <c r="C718" i="23"/>
  <c r="C719" i="23"/>
  <c r="C720" i="23"/>
  <c r="C721" i="23"/>
  <c r="C722" i="23"/>
  <c r="C723" i="23"/>
  <c r="C724" i="23"/>
  <c r="C725" i="23"/>
  <c r="C726" i="23"/>
  <c r="C727" i="23"/>
  <c r="C728" i="23"/>
  <c r="C729" i="23"/>
  <c r="C730" i="23"/>
  <c r="C731" i="23"/>
  <c r="C732" i="23"/>
  <c r="C733" i="23"/>
  <c r="C734" i="23"/>
  <c r="C735" i="23"/>
  <c r="C736" i="23"/>
  <c r="C703" i="23"/>
  <c r="B701" i="23"/>
  <c r="B704" i="23"/>
  <c r="B705" i="23"/>
  <c r="B706" i="23"/>
  <c r="B707" i="23"/>
  <c r="B708" i="23"/>
  <c r="B709" i="23"/>
  <c r="B710" i="23"/>
  <c r="B711" i="23"/>
  <c r="B712" i="23"/>
  <c r="B713" i="23"/>
  <c r="B714" i="23"/>
  <c r="B715" i="23"/>
  <c r="B716" i="23"/>
  <c r="B717" i="23"/>
  <c r="B718" i="23"/>
  <c r="B719" i="23"/>
  <c r="B720" i="23"/>
  <c r="B721" i="23"/>
  <c r="B722" i="23"/>
  <c r="B723" i="23"/>
  <c r="B724" i="23"/>
  <c r="B725" i="23"/>
  <c r="B726" i="23"/>
  <c r="B727" i="23"/>
  <c r="B728" i="23"/>
  <c r="B729" i="23"/>
  <c r="B730" i="23"/>
  <c r="B731" i="23"/>
  <c r="B732" i="23"/>
  <c r="B733" i="23"/>
  <c r="B734" i="23"/>
  <c r="B735" i="23"/>
  <c r="B736" i="23"/>
  <c r="B737" i="23"/>
  <c r="B703" i="23"/>
  <c r="D663" i="23"/>
  <c r="D664" i="23"/>
  <c r="D665" i="23"/>
  <c r="D666" i="23"/>
  <c r="D667" i="23"/>
  <c r="D668" i="23"/>
  <c r="D669" i="23"/>
  <c r="D670" i="23"/>
  <c r="D671" i="23"/>
  <c r="D672" i="23"/>
  <c r="D673" i="23"/>
  <c r="D674" i="23"/>
  <c r="D675" i="23"/>
  <c r="D676" i="23"/>
  <c r="D677" i="23"/>
  <c r="D678" i="23"/>
  <c r="D679" i="23"/>
  <c r="D680" i="23"/>
  <c r="D681" i="23"/>
  <c r="D682" i="23"/>
  <c r="D683" i="23"/>
  <c r="D684" i="23"/>
  <c r="D685" i="23"/>
  <c r="D686" i="23"/>
  <c r="D687" i="23"/>
  <c r="D688" i="23"/>
  <c r="D689" i="23"/>
  <c r="D690" i="23"/>
  <c r="D691" i="23"/>
  <c r="D692" i="23"/>
  <c r="D693" i="23"/>
  <c r="D694" i="23"/>
  <c r="D695" i="23"/>
  <c r="D696" i="23"/>
  <c r="D662" i="23"/>
  <c r="C663" i="23"/>
  <c r="C664" i="23"/>
  <c r="C665" i="23"/>
  <c r="C666" i="23"/>
  <c r="C667" i="23"/>
  <c r="C668" i="23"/>
  <c r="C669" i="23"/>
  <c r="C670" i="23"/>
  <c r="C671" i="23"/>
  <c r="C672" i="23"/>
  <c r="C673" i="23"/>
  <c r="C674" i="23"/>
  <c r="C675" i="23"/>
  <c r="C676" i="23"/>
  <c r="C677" i="23"/>
  <c r="C678" i="23"/>
  <c r="C679" i="23"/>
  <c r="C680" i="23"/>
  <c r="C681" i="23"/>
  <c r="C682" i="23"/>
  <c r="C683" i="23"/>
  <c r="C684" i="23"/>
  <c r="C685" i="23"/>
  <c r="C686" i="23"/>
  <c r="C687" i="23"/>
  <c r="C688" i="23"/>
  <c r="C689" i="23"/>
  <c r="C690" i="23"/>
  <c r="C691" i="23"/>
  <c r="C692" i="23"/>
  <c r="C693" i="23"/>
  <c r="C694" i="23"/>
  <c r="C695" i="23"/>
  <c r="C696" i="23"/>
  <c r="C662" i="23"/>
  <c r="B660" i="23"/>
  <c r="B663" i="23"/>
  <c r="B664" i="23"/>
  <c r="B665" i="23"/>
  <c r="B666" i="23"/>
  <c r="B667" i="23"/>
  <c r="B668" i="23"/>
  <c r="B669" i="23"/>
  <c r="B670" i="23"/>
  <c r="B671" i="23"/>
  <c r="B672" i="23"/>
  <c r="B673" i="23"/>
  <c r="B674" i="23"/>
  <c r="B675" i="23"/>
  <c r="B676" i="23"/>
  <c r="B677" i="23"/>
  <c r="B678" i="23"/>
  <c r="B679" i="23"/>
  <c r="B680" i="23"/>
  <c r="B681" i="23"/>
  <c r="B682" i="23"/>
  <c r="B683" i="23"/>
  <c r="B684" i="23"/>
  <c r="B685" i="23"/>
  <c r="B686" i="23"/>
  <c r="B687" i="23"/>
  <c r="B688" i="23"/>
  <c r="B689" i="23"/>
  <c r="B690" i="23"/>
  <c r="B691" i="23"/>
  <c r="B692" i="23"/>
  <c r="B693" i="23"/>
  <c r="B694" i="23"/>
  <c r="B695" i="23"/>
  <c r="B696" i="23"/>
  <c r="B662" i="23"/>
  <c r="F622" i="23"/>
  <c r="F623" i="23"/>
  <c r="F624" i="23"/>
  <c r="F625" i="23"/>
  <c r="F626" i="23"/>
  <c r="F627" i="23"/>
  <c r="F628" i="23"/>
  <c r="F629" i="23"/>
  <c r="F630" i="23"/>
  <c r="F631" i="23"/>
  <c r="F632" i="23"/>
  <c r="F633" i="23"/>
  <c r="F634" i="23"/>
  <c r="F635" i="23"/>
  <c r="F636" i="23"/>
  <c r="F637" i="23"/>
  <c r="F638" i="23"/>
  <c r="F639" i="23"/>
  <c r="F640" i="23"/>
  <c r="F641" i="23"/>
  <c r="F642" i="23"/>
  <c r="F643" i="23"/>
  <c r="F644" i="23"/>
  <c r="F645" i="23"/>
  <c r="F646" i="23"/>
  <c r="F647" i="23"/>
  <c r="F648" i="23"/>
  <c r="F649" i="23"/>
  <c r="F650" i="23"/>
  <c r="F651" i="23"/>
  <c r="F652" i="23"/>
  <c r="F653" i="23"/>
  <c r="F654" i="23"/>
  <c r="F655" i="23"/>
  <c r="F621" i="23"/>
  <c r="E622" i="23"/>
  <c r="E623" i="23"/>
  <c r="E624" i="23"/>
  <c r="E625" i="23"/>
  <c r="E626" i="23"/>
  <c r="E627" i="23"/>
  <c r="E628" i="23"/>
  <c r="E629" i="23"/>
  <c r="E630" i="23"/>
  <c r="E631" i="23"/>
  <c r="E632" i="23"/>
  <c r="E633" i="23"/>
  <c r="E634" i="23"/>
  <c r="E635" i="23"/>
  <c r="E636" i="23"/>
  <c r="E637" i="23"/>
  <c r="E638" i="23"/>
  <c r="E639" i="23"/>
  <c r="E640" i="23"/>
  <c r="E641" i="23"/>
  <c r="E642" i="23"/>
  <c r="E643" i="23"/>
  <c r="E644" i="23"/>
  <c r="E645" i="23"/>
  <c r="E646" i="23"/>
  <c r="E647" i="23"/>
  <c r="E648" i="23"/>
  <c r="E649" i="23"/>
  <c r="E650" i="23"/>
  <c r="E651" i="23"/>
  <c r="E652" i="23"/>
  <c r="E653" i="23"/>
  <c r="E654" i="23"/>
  <c r="E655" i="23"/>
  <c r="E621" i="23"/>
  <c r="B619" i="23"/>
  <c r="F581" i="23"/>
  <c r="F582" i="23"/>
  <c r="F583" i="23"/>
  <c r="F584" i="23"/>
  <c r="F585" i="23"/>
  <c r="F586" i="23"/>
  <c r="F587" i="23"/>
  <c r="F588" i="23"/>
  <c r="F589" i="23"/>
  <c r="F590" i="23"/>
  <c r="F591" i="23"/>
  <c r="F592" i="23"/>
  <c r="F593" i="23"/>
  <c r="F594" i="23"/>
  <c r="F595" i="23"/>
  <c r="F596" i="23"/>
  <c r="F597" i="23"/>
  <c r="F598" i="23"/>
  <c r="F599" i="23"/>
  <c r="F600" i="23"/>
  <c r="F601" i="23"/>
  <c r="F602" i="23"/>
  <c r="F603" i="23"/>
  <c r="F604" i="23"/>
  <c r="F605" i="23"/>
  <c r="F606" i="23"/>
  <c r="F607" i="23"/>
  <c r="F608" i="23"/>
  <c r="F609" i="23"/>
  <c r="F610" i="23"/>
  <c r="F611" i="23"/>
  <c r="F612" i="23"/>
  <c r="F613" i="23"/>
  <c r="F614" i="23"/>
  <c r="F580" i="23"/>
  <c r="D581" i="23"/>
  <c r="D582" i="23"/>
  <c r="D583" i="23"/>
  <c r="D584" i="23"/>
  <c r="D585" i="23"/>
  <c r="D586" i="23"/>
  <c r="D587" i="23"/>
  <c r="D588" i="23"/>
  <c r="D589" i="23"/>
  <c r="D590" i="23"/>
  <c r="D591" i="23"/>
  <c r="D592" i="23"/>
  <c r="D593" i="23"/>
  <c r="D594" i="23"/>
  <c r="D595" i="23"/>
  <c r="D596" i="23"/>
  <c r="D597" i="23"/>
  <c r="D598" i="23"/>
  <c r="D599" i="23"/>
  <c r="D600" i="23"/>
  <c r="D601" i="23"/>
  <c r="D602" i="23"/>
  <c r="D603" i="23"/>
  <c r="D604" i="23"/>
  <c r="D605" i="23"/>
  <c r="D606" i="23"/>
  <c r="D607" i="23"/>
  <c r="D608" i="23"/>
  <c r="D609" i="23"/>
  <c r="D610" i="23"/>
  <c r="D611" i="23"/>
  <c r="D612" i="23"/>
  <c r="D613" i="23"/>
  <c r="D614" i="23"/>
  <c r="D580" i="23"/>
  <c r="E540" i="23"/>
  <c r="E541" i="23"/>
  <c r="E542" i="23"/>
  <c r="E543" i="23"/>
  <c r="E544" i="23"/>
  <c r="E545" i="23"/>
  <c r="E546" i="23"/>
  <c r="E547" i="23"/>
  <c r="E548" i="23"/>
  <c r="E549" i="23"/>
  <c r="E550" i="23"/>
  <c r="E551" i="23"/>
  <c r="E552" i="23"/>
  <c r="E553" i="23"/>
  <c r="E554" i="23"/>
  <c r="E555" i="23"/>
  <c r="E556" i="23"/>
  <c r="E557" i="23"/>
  <c r="E558" i="23"/>
  <c r="E559" i="23"/>
  <c r="E560" i="23"/>
  <c r="E561" i="23"/>
  <c r="E562" i="23"/>
  <c r="E563" i="23"/>
  <c r="E564" i="23"/>
  <c r="E565" i="23"/>
  <c r="E566" i="23"/>
  <c r="E567" i="23"/>
  <c r="E568" i="23"/>
  <c r="E569" i="23"/>
  <c r="E570" i="23"/>
  <c r="E571" i="23"/>
  <c r="E572" i="23"/>
  <c r="E573" i="23"/>
  <c r="E539" i="23"/>
  <c r="D540" i="23"/>
  <c r="D541" i="23"/>
  <c r="D542" i="23"/>
  <c r="D543" i="23"/>
  <c r="D544" i="23"/>
  <c r="D545" i="23"/>
  <c r="D546" i="23"/>
  <c r="D547" i="23"/>
  <c r="D548" i="23"/>
  <c r="D549" i="23"/>
  <c r="D550" i="23"/>
  <c r="D551" i="23"/>
  <c r="D552" i="23"/>
  <c r="D553" i="23"/>
  <c r="D554" i="23"/>
  <c r="D555" i="23"/>
  <c r="D556" i="23"/>
  <c r="D557" i="23"/>
  <c r="D558" i="23"/>
  <c r="D559" i="23"/>
  <c r="D560" i="23"/>
  <c r="D561" i="23"/>
  <c r="D562" i="23"/>
  <c r="D563" i="23"/>
  <c r="D564" i="23"/>
  <c r="D565" i="23"/>
  <c r="D566" i="23"/>
  <c r="D567" i="23"/>
  <c r="D568" i="23"/>
  <c r="D569" i="23"/>
  <c r="D570" i="23"/>
  <c r="D571" i="23"/>
  <c r="D572" i="23"/>
  <c r="D573" i="23"/>
  <c r="D539" i="23"/>
  <c r="F498" i="23"/>
  <c r="F499" i="23"/>
  <c r="F500" i="23"/>
  <c r="F501" i="23"/>
  <c r="F502" i="23"/>
  <c r="F503" i="23"/>
  <c r="F504" i="23"/>
  <c r="F505" i="23"/>
  <c r="F506" i="23"/>
  <c r="F507" i="23"/>
  <c r="F508" i="23"/>
  <c r="F509" i="23"/>
  <c r="F510" i="23"/>
  <c r="F511" i="23"/>
  <c r="F512" i="23"/>
  <c r="F513" i="23"/>
  <c r="F514" i="23"/>
  <c r="F515" i="23"/>
  <c r="F516" i="23"/>
  <c r="F517" i="23"/>
  <c r="F518" i="23"/>
  <c r="F519" i="23"/>
  <c r="F520" i="23"/>
  <c r="F521" i="23"/>
  <c r="F522" i="23"/>
  <c r="F523" i="23"/>
  <c r="F524" i="23"/>
  <c r="F525" i="23"/>
  <c r="F526" i="23"/>
  <c r="F527" i="23"/>
  <c r="F528" i="23"/>
  <c r="F529" i="23"/>
  <c r="F530" i="23"/>
  <c r="F531" i="23"/>
  <c r="F532" i="23"/>
  <c r="C499" i="23"/>
  <c r="C500" i="23"/>
  <c r="C501" i="23"/>
  <c r="C502" i="23"/>
  <c r="C503" i="23"/>
  <c r="C504" i="23"/>
  <c r="C505" i="23"/>
  <c r="C506" i="23"/>
  <c r="C507" i="23"/>
  <c r="C508" i="23"/>
  <c r="C509" i="23"/>
  <c r="C510" i="23"/>
  <c r="C511" i="23"/>
  <c r="C512" i="23"/>
  <c r="C513" i="23"/>
  <c r="C514" i="23"/>
  <c r="C515" i="23"/>
  <c r="C516" i="23"/>
  <c r="C517" i="23"/>
  <c r="C518" i="23"/>
  <c r="C519" i="23"/>
  <c r="C520" i="23"/>
  <c r="C521" i="23"/>
  <c r="C522" i="23"/>
  <c r="C523" i="23"/>
  <c r="C524" i="23"/>
  <c r="C525" i="23"/>
  <c r="C526" i="23"/>
  <c r="C527" i="23"/>
  <c r="C528" i="23"/>
  <c r="C529" i="23"/>
  <c r="C530" i="23"/>
  <c r="C531" i="23"/>
  <c r="C532" i="23"/>
  <c r="C498" i="23"/>
  <c r="E458" i="23"/>
  <c r="E459" i="23"/>
  <c r="E460" i="23"/>
  <c r="E461" i="23"/>
  <c r="E462" i="23"/>
  <c r="E463" i="23"/>
  <c r="E464" i="23"/>
  <c r="E465" i="23"/>
  <c r="E466" i="23"/>
  <c r="E467" i="23"/>
  <c r="E468" i="23"/>
  <c r="E469" i="23"/>
  <c r="E470" i="23"/>
  <c r="E471" i="23"/>
  <c r="E472" i="23"/>
  <c r="E473" i="23"/>
  <c r="E474" i="23"/>
  <c r="E475" i="23"/>
  <c r="E476" i="23"/>
  <c r="E477" i="23"/>
  <c r="E478" i="23"/>
  <c r="E479" i="23"/>
  <c r="E480" i="23"/>
  <c r="E481" i="23"/>
  <c r="E482" i="23"/>
  <c r="E483" i="23"/>
  <c r="E484" i="23"/>
  <c r="E485" i="23"/>
  <c r="E486" i="23"/>
  <c r="E487" i="23"/>
  <c r="E488" i="23"/>
  <c r="E489" i="23"/>
  <c r="E490" i="23"/>
  <c r="E491" i="23"/>
  <c r="E457" i="23"/>
  <c r="C458" i="23"/>
  <c r="C459" i="23"/>
  <c r="C460" i="23"/>
  <c r="C461" i="23"/>
  <c r="C462" i="23"/>
  <c r="C463" i="23"/>
  <c r="C464" i="23"/>
  <c r="C465" i="23"/>
  <c r="C466" i="23"/>
  <c r="C467" i="23"/>
  <c r="C468" i="23"/>
  <c r="C469" i="23"/>
  <c r="C470" i="23"/>
  <c r="C471" i="23"/>
  <c r="C472" i="23"/>
  <c r="C473" i="23"/>
  <c r="C474" i="23"/>
  <c r="C475" i="23"/>
  <c r="C476" i="23"/>
  <c r="C477" i="23"/>
  <c r="C478" i="23"/>
  <c r="C479" i="23"/>
  <c r="C480" i="23"/>
  <c r="C481" i="23"/>
  <c r="C482" i="23"/>
  <c r="C483" i="23"/>
  <c r="C484" i="23"/>
  <c r="C485" i="23"/>
  <c r="C486" i="23"/>
  <c r="C487" i="23"/>
  <c r="C488" i="23"/>
  <c r="C489" i="23"/>
  <c r="C490" i="23"/>
  <c r="C491" i="23"/>
  <c r="C457" i="23"/>
  <c r="D417" i="23"/>
  <c r="D418" i="23"/>
  <c r="D419" i="23"/>
  <c r="D420" i="23"/>
  <c r="D421" i="23"/>
  <c r="D422" i="23"/>
  <c r="D423" i="23"/>
  <c r="D424" i="23"/>
  <c r="D425" i="23"/>
  <c r="D426" i="23"/>
  <c r="D427" i="23"/>
  <c r="D428" i="23"/>
  <c r="D429" i="23"/>
  <c r="D430" i="23"/>
  <c r="D431" i="23"/>
  <c r="D432" i="23"/>
  <c r="D433" i="23"/>
  <c r="D434" i="23"/>
  <c r="D435" i="23"/>
  <c r="D436" i="23"/>
  <c r="D437" i="23"/>
  <c r="D438" i="23"/>
  <c r="D439" i="23"/>
  <c r="D440" i="23"/>
  <c r="D441" i="23"/>
  <c r="D442" i="23"/>
  <c r="D443" i="23"/>
  <c r="D444" i="23"/>
  <c r="D445" i="23"/>
  <c r="D446" i="23"/>
  <c r="D447" i="23"/>
  <c r="D448" i="23"/>
  <c r="D449" i="23"/>
  <c r="D450" i="23"/>
  <c r="D416" i="23"/>
  <c r="C417" i="23"/>
  <c r="C418" i="23"/>
  <c r="C419" i="23"/>
  <c r="C420" i="23"/>
  <c r="C421" i="23"/>
  <c r="C422" i="23"/>
  <c r="C423" i="23"/>
  <c r="C424" i="23"/>
  <c r="C425" i="23"/>
  <c r="C426" i="23"/>
  <c r="C427" i="23"/>
  <c r="C428" i="23"/>
  <c r="C429" i="23"/>
  <c r="C430" i="23"/>
  <c r="C431" i="23"/>
  <c r="C432" i="23"/>
  <c r="C433" i="23"/>
  <c r="C434" i="23"/>
  <c r="C435" i="23"/>
  <c r="C436" i="23"/>
  <c r="C437" i="23"/>
  <c r="C438" i="23"/>
  <c r="C439" i="23"/>
  <c r="C440" i="23"/>
  <c r="C441" i="23"/>
  <c r="C442" i="23"/>
  <c r="C443" i="23"/>
  <c r="C444" i="23"/>
  <c r="C445" i="23"/>
  <c r="C446" i="23"/>
  <c r="C447" i="23"/>
  <c r="C448" i="23"/>
  <c r="C449" i="23"/>
  <c r="C450" i="23"/>
  <c r="C416" i="23"/>
  <c r="F375" i="23"/>
  <c r="F376" i="23"/>
  <c r="F377" i="23"/>
  <c r="F378" i="23"/>
  <c r="F379" i="23"/>
  <c r="F380" i="23"/>
  <c r="F381" i="23"/>
  <c r="F382" i="23"/>
  <c r="F383" i="23"/>
  <c r="F384" i="23"/>
  <c r="F385" i="23"/>
  <c r="F386" i="23"/>
  <c r="F387" i="23"/>
  <c r="F388" i="23"/>
  <c r="F389" i="23"/>
  <c r="F390" i="23"/>
  <c r="F391" i="23"/>
  <c r="F392" i="23"/>
  <c r="F393" i="23"/>
  <c r="F394" i="23"/>
  <c r="F395" i="23"/>
  <c r="F396" i="23"/>
  <c r="F397" i="23"/>
  <c r="F398" i="23"/>
  <c r="F399" i="23"/>
  <c r="F400" i="23"/>
  <c r="F401" i="23"/>
  <c r="F402" i="23"/>
  <c r="F403" i="23"/>
  <c r="F404" i="23"/>
  <c r="F405" i="23"/>
  <c r="F406" i="23"/>
  <c r="F407" i="23"/>
  <c r="F408" i="23"/>
  <c r="F409" i="23"/>
  <c r="B376" i="23"/>
  <c r="B377" i="23"/>
  <c r="B378" i="23"/>
  <c r="B379" i="23"/>
  <c r="B380" i="23"/>
  <c r="B381" i="23"/>
  <c r="B382" i="23"/>
  <c r="B383" i="23"/>
  <c r="B384" i="23"/>
  <c r="B385" i="23"/>
  <c r="B386" i="23"/>
  <c r="B387" i="23"/>
  <c r="B388" i="23"/>
  <c r="B389" i="23"/>
  <c r="B390" i="23"/>
  <c r="B391" i="23"/>
  <c r="B392" i="23"/>
  <c r="B393" i="23"/>
  <c r="B394" i="23"/>
  <c r="B395" i="23"/>
  <c r="B396" i="23"/>
  <c r="B397" i="23"/>
  <c r="B398" i="23"/>
  <c r="B399" i="23"/>
  <c r="B400" i="23"/>
  <c r="B401" i="23"/>
  <c r="B402" i="23"/>
  <c r="B403" i="23"/>
  <c r="B404" i="23"/>
  <c r="B405" i="23"/>
  <c r="B406" i="23"/>
  <c r="B407" i="23"/>
  <c r="B408" i="23"/>
  <c r="B409" i="23"/>
  <c r="B375" i="23"/>
  <c r="E335" i="23"/>
  <c r="E336" i="23"/>
  <c r="E337" i="23"/>
  <c r="E338" i="23"/>
  <c r="E339" i="23"/>
  <c r="E340" i="23"/>
  <c r="E341" i="23"/>
  <c r="E342" i="23"/>
  <c r="E343" i="23"/>
  <c r="E344" i="23"/>
  <c r="E345" i="23"/>
  <c r="E346" i="23"/>
  <c r="E347" i="23"/>
  <c r="E348" i="23"/>
  <c r="E349" i="23"/>
  <c r="E350" i="23"/>
  <c r="E351" i="23"/>
  <c r="E352" i="23"/>
  <c r="E353" i="23"/>
  <c r="E354" i="23"/>
  <c r="E355" i="23"/>
  <c r="E356" i="23"/>
  <c r="E357" i="23"/>
  <c r="E358" i="23"/>
  <c r="E359" i="23"/>
  <c r="E360" i="23"/>
  <c r="E361" i="23"/>
  <c r="E362" i="23"/>
  <c r="E363" i="23"/>
  <c r="E364" i="23"/>
  <c r="E365" i="23"/>
  <c r="E366" i="23"/>
  <c r="E367" i="23"/>
  <c r="E368" i="23"/>
  <c r="E334" i="23"/>
  <c r="B335" i="23"/>
  <c r="B336" i="23"/>
  <c r="B337" i="23"/>
  <c r="B338" i="23"/>
  <c r="B339" i="23"/>
  <c r="B340" i="23"/>
  <c r="B341" i="23"/>
  <c r="B342" i="23"/>
  <c r="B343" i="23"/>
  <c r="B344" i="23"/>
  <c r="B345" i="23"/>
  <c r="B346" i="23"/>
  <c r="B347" i="23"/>
  <c r="B348" i="23"/>
  <c r="B349" i="23"/>
  <c r="B350" i="23"/>
  <c r="B351" i="23"/>
  <c r="B352" i="23"/>
  <c r="B353" i="23"/>
  <c r="B354" i="23"/>
  <c r="B355" i="23"/>
  <c r="B356" i="23"/>
  <c r="B357" i="23"/>
  <c r="B358" i="23"/>
  <c r="B359" i="23"/>
  <c r="B360" i="23"/>
  <c r="B361" i="23"/>
  <c r="B362" i="23"/>
  <c r="B363" i="23"/>
  <c r="B364" i="23"/>
  <c r="B365" i="23"/>
  <c r="B366" i="23"/>
  <c r="B367" i="23"/>
  <c r="B368" i="23"/>
  <c r="B334" i="23"/>
  <c r="B294" i="23"/>
  <c r="B295" i="23"/>
  <c r="B296" i="23"/>
  <c r="B297" i="23"/>
  <c r="B298" i="23"/>
  <c r="B299" i="23"/>
  <c r="B300" i="23"/>
  <c r="B301" i="23"/>
  <c r="B302" i="23"/>
  <c r="B303" i="23"/>
  <c r="B304" i="23"/>
  <c r="B305" i="23"/>
  <c r="B306" i="23"/>
  <c r="B307" i="23"/>
  <c r="B308" i="23"/>
  <c r="B309" i="23"/>
  <c r="B310" i="23"/>
  <c r="B311" i="23"/>
  <c r="B312" i="23"/>
  <c r="B313" i="23"/>
  <c r="B314" i="23"/>
  <c r="B315" i="23"/>
  <c r="B316" i="23"/>
  <c r="B317" i="23"/>
  <c r="B318" i="23"/>
  <c r="B319" i="23"/>
  <c r="B320" i="23"/>
  <c r="B321" i="23"/>
  <c r="B322" i="23"/>
  <c r="B323" i="23"/>
  <c r="B324" i="23"/>
  <c r="B325" i="23"/>
  <c r="B326" i="23"/>
  <c r="B327" i="23"/>
  <c r="D294" i="23"/>
  <c r="D295" i="23"/>
  <c r="D296" i="23"/>
  <c r="D297" i="23"/>
  <c r="D298" i="23"/>
  <c r="D299" i="23"/>
  <c r="D300" i="23"/>
  <c r="D301" i="23"/>
  <c r="D302" i="23"/>
  <c r="D303" i="23"/>
  <c r="D304" i="23"/>
  <c r="D305" i="23"/>
  <c r="D306" i="23"/>
  <c r="D307" i="23"/>
  <c r="D308" i="23"/>
  <c r="D309" i="23"/>
  <c r="D310" i="23"/>
  <c r="D311" i="23"/>
  <c r="D312" i="23"/>
  <c r="D313" i="23"/>
  <c r="D314" i="23"/>
  <c r="D315" i="23"/>
  <c r="D316" i="23"/>
  <c r="D317" i="23"/>
  <c r="D318" i="23"/>
  <c r="D319" i="23"/>
  <c r="D320" i="23"/>
  <c r="D321" i="23"/>
  <c r="D322" i="23"/>
  <c r="D323" i="23"/>
  <c r="D324" i="23"/>
  <c r="D325" i="23"/>
  <c r="D326" i="23"/>
  <c r="D327" i="23"/>
  <c r="D293" i="23"/>
  <c r="B293" i="23"/>
  <c r="C253" i="23"/>
  <c r="C254" i="23"/>
  <c r="C255" i="23"/>
  <c r="C256" i="23"/>
  <c r="C257" i="23"/>
  <c r="C258" i="23"/>
  <c r="C259" i="23"/>
  <c r="C260" i="23"/>
  <c r="C261" i="23"/>
  <c r="C262" i="23"/>
  <c r="C263" i="23"/>
  <c r="C264" i="23"/>
  <c r="C265" i="23"/>
  <c r="C266" i="23"/>
  <c r="C267" i="23"/>
  <c r="C268" i="23"/>
  <c r="C269" i="23"/>
  <c r="C270" i="23"/>
  <c r="C271" i="23"/>
  <c r="C272" i="23"/>
  <c r="C273" i="23"/>
  <c r="C274" i="23"/>
  <c r="C275" i="23"/>
  <c r="C276" i="23"/>
  <c r="C277" i="23"/>
  <c r="C278" i="23"/>
  <c r="C279" i="23"/>
  <c r="C280" i="23"/>
  <c r="C281" i="23"/>
  <c r="C282" i="23"/>
  <c r="C283" i="23"/>
  <c r="C284" i="23"/>
  <c r="C285" i="23"/>
  <c r="C286" i="23"/>
  <c r="C252" i="23"/>
  <c r="B253" i="23"/>
  <c r="B254" i="23"/>
  <c r="B255" i="23"/>
  <c r="B256" i="23"/>
  <c r="B257" i="23"/>
  <c r="B258" i="23"/>
  <c r="B259" i="23"/>
  <c r="B260" i="23"/>
  <c r="B261" i="23"/>
  <c r="B262" i="23"/>
  <c r="B263" i="23"/>
  <c r="B264" i="23"/>
  <c r="B265" i="23"/>
  <c r="B266" i="23"/>
  <c r="B267" i="23"/>
  <c r="B268" i="23"/>
  <c r="B269" i="23"/>
  <c r="B270" i="23"/>
  <c r="B271" i="23"/>
  <c r="B272" i="23"/>
  <c r="B273" i="23"/>
  <c r="B274" i="23"/>
  <c r="B275" i="23"/>
  <c r="B276" i="23"/>
  <c r="B277" i="23"/>
  <c r="B278" i="23"/>
  <c r="B279" i="23"/>
  <c r="B280" i="23"/>
  <c r="B281" i="23"/>
  <c r="B282" i="23"/>
  <c r="B283" i="23"/>
  <c r="B284" i="23"/>
  <c r="B285" i="23"/>
  <c r="B286" i="23"/>
  <c r="B252" i="23"/>
  <c r="F212" i="23"/>
  <c r="F213" i="23"/>
  <c r="F214" i="23"/>
  <c r="F215" i="23"/>
  <c r="F216" i="23"/>
  <c r="F217" i="23"/>
  <c r="F218" i="23"/>
  <c r="F219" i="23"/>
  <c r="F220" i="23"/>
  <c r="F221" i="23"/>
  <c r="F222" i="23"/>
  <c r="F223" i="23"/>
  <c r="F224" i="23"/>
  <c r="F225" i="23"/>
  <c r="F226" i="23"/>
  <c r="F227" i="23"/>
  <c r="F228" i="23"/>
  <c r="F229" i="23"/>
  <c r="F230" i="23"/>
  <c r="F231" i="23"/>
  <c r="F232" i="23"/>
  <c r="F233" i="23"/>
  <c r="F234" i="23"/>
  <c r="F235" i="23"/>
  <c r="F236" i="23"/>
  <c r="F237" i="23"/>
  <c r="F238" i="23"/>
  <c r="F239" i="23"/>
  <c r="F240" i="23"/>
  <c r="F241" i="23"/>
  <c r="F242" i="23"/>
  <c r="F243" i="23"/>
  <c r="F244" i="23"/>
  <c r="F245" i="23"/>
  <c r="F211" i="23"/>
  <c r="E171" i="23"/>
  <c r="E172" i="23"/>
  <c r="E173" i="23"/>
  <c r="E174" i="23"/>
  <c r="E175" i="23"/>
  <c r="E176" i="23"/>
  <c r="E177" i="23"/>
  <c r="E178" i="23"/>
  <c r="E179" i="23"/>
  <c r="E180" i="23"/>
  <c r="E181" i="23"/>
  <c r="E182" i="23"/>
  <c r="E183" i="23"/>
  <c r="E184" i="23"/>
  <c r="E185" i="23"/>
  <c r="E186" i="23"/>
  <c r="E187" i="23"/>
  <c r="E188" i="23"/>
  <c r="E189" i="23"/>
  <c r="E190" i="23"/>
  <c r="E191" i="23"/>
  <c r="E192" i="23"/>
  <c r="E193" i="23"/>
  <c r="E194" i="23"/>
  <c r="E195" i="23"/>
  <c r="E196" i="23"/>
  <c r="E197" i="23"/>
  <c r="E198" i="23"/>
  <c r="E199" i="23"/>
  <c r="E200" i="23"/>
  <c r="E201" i="23"/>
  <c r="E202" i="23"/>
  <c r="E203" i="23"/>
  <c r="E204" i="23"/>
  <c r="E170" i="23"/>
  <c r="D128" i="23"/>
  <c r="D129" i="23"/>
  <c r="D130" i="23"/>
  <c r="D131" i="23"/>
  <c r="D132" i="23"/>
  <c r="D133" i="23"/>
  <c r="D134" i="23"/>
  <c r="D135" i="23"/>
  <c r="D136" i="23"/>
  <c r="D137" i="23"/>
  <c r="D138" i="23"/>
  <c r="D139" i="23"/>
  <c r="D140" i="23"/>
  <c r="D141" i="23"/>
  <c r="D142" i="23"/>
  <c r="D143" i="23"/>
  <c r="D144" i="23"/>
  <c r="D145" i="23"/>
  <c r="D146" i="23"/>
  <c r="D147" i="23"/>
  <c r="D148" i="23"/>
  <c r="D149" i="23"/>
  <c r="D150" i="23"/>
  <c r="D151" i="23"/>
  <c r="D152" i="23"/>
  <c r="D153" i="23"/>
  <c r="D154" i="23"/>
  <c r="D155" i="23"/>
  <c r="D156" i="23"/>
  <c r="D157" i="23"/>
  <c r="D158" i="23"/>
  <c r="D159" i="23"/>
  <c r="D160" i="23"/>
  <c r="D161" i="23"/>
  <c r="D127"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86" i="23"/>
  <c r="F1312" i="23"/>
  <c r="E1312" i="23"/>
  <c r="D1312" i="23"/>
  <c r="C1312" i="23"/>
  <c r="B1312" i="23"/>
  <c r="F1271" i="23"/>
  <c r="E1271" i="23"/>
  <c r="D1271" i="23"/>
  <c r="C1271" i="23"/>
  <c r="B1271" i="23"/>
  <c r="B1270" i="23"/>
  <c r="B1269" i="23"/>
  <c r="B1268" i="23"/>
  <c r="B1267" i="23"/>
  <c r="B1266" i="23"/>
  <c r="B1265" i="23"/>
  <c r="B1264" i="23"/>
  <c r="B1263" i="23"/>
  <c r="B1262" i="23"/>
  <c r="B1261" i="23"/>
  <c r="B1260" i="23"/>
  <c r="B1259" i="23"/>
  <c r="B1258" i="23"/>
  <c r="B1257" i="23"/>
  <c r="B1256" i="23"/>
  <c r="B1255" i="23"/>
  <c r="B1254" i="23"/>
  <c r="B1253" i="23"/>
  <c r="B1252" i="23"/>
  <c r="B1251" i="23"/>
  <c r="B1250" i="23"/>
  <c r="B1249" i="23"/>
  <c r="B1248" i="23"/>
  <c r="B1247" i="23"/>
  <c r="B1246" i="23"/>
  <c r="B1245" i="23"/>
  <c r="B1244" i="23"/>
  <c r="B1243" i="23"/>
  <c r="B1242" i="23"/>
  <c r="B1241" i="23"/>
  <c r="B1240" i="23"/>
  <c r="B1239" i="23"/>
  <c r="B1238" i="23"/>
  <c r="B1237" i="23"/>
  <c r="B1236" i="23"/>
  <c r="F1230" i="23"/>
  <c r="E1230" i="23"/>
  <c r="D1230" i="23"/>
  <c r="C1230" i="23"/>
  <c r="B1230" i="23"/>
  <c r="C1229" i="23"/>
  <c r="C1228" i="23"/>
  <c r="C1227" i="23"/>
  <c r="C1226" i="23"/>
  <c r="C1225" i="23"/>
  <c r="C1224" i="23"/>
  <c r="C1223" i="23"/>
  <c r="C1222" i="23"/>
  <c r="C1221" i="23"/>
  <c r="C1220" i="23"/>
  <c r="C1219" i="23"/>
  <c r="C1218" i="23"/>
  <c r="C1217" i="23"/>
  <c r="C1216" i="23"/>
  <c r="C1215" i="23"/>
  <c r="C1214" i="23"/>
  <c r="C1213" i="23"/>
  <c r="C1212" i="23"/>
  <c r="C1211" i="23"/>
  <c r="C1210" i="23"/>
  <c r="C1209" i="23"/>
  <c r="C1208" i="23"/>
  <c r="C1207" i="23"/>
  <c r="C1206" i="23"/>
  <c r="C1205" i="23"/>
  <c r="C1204" i="23"/>
  <c r="C1203" i="23"/>
  <c r="C1202" i="23"/>
  <c r="C1201" i="23"/>
  <c r="C1200" i="23"/>
  <c r="C1199" i="23"/>
  <c r="C1198" i="23"/>
  <c r="C1197" i="23"/>
  <c r="C1196" i="23"/>
  <c r="C1195" i="23"/>
  <c r="F1189" i="23"/>
  <c r="E1189" i="23"/>
  <c r="D1189" i="23"/>
  <c r="C1189" i="23"/>
  <c r="B1189" i="23"/>
  <c r="D1188" i="23"/>
  <c r="D1187" i="23"/>
  <c r="D1186" i="23"/>
  <c r="D1185" i="23"/>
  <c r="D1184" i="23"/>
  <c r="D1183" i="23"/>
  <c r="D1182" i="23"/>
  <c r="D1181" i="23"/>
  <c r="D1180" i="23"/>
  <c r="D1179" i="23"/>
  <c r="D1178" i="23"/>
  <c r="D1177" i="23"/>
  <c r="D1176" i="23"/>
  <c r="D1175" i="23"/>
  <c r="D1174" i="23"/>
  <c r="D1173" i="23"/>
  <c r="D1172" i="23"/>
  <c r="D1171" i="23"/>
  <c r="D1170" i="23"/>
  <c r="D1169" i="23"/>
  <c r="D1168" i="23"/>
  <c r="D1167" i="23"/>
  <c r="D1166" i="23"/>
  <c r="D1165" i="23"/>
  <c r="D1164" i="23"/>
  <c r="D1163" i="23"/>
  <c r="D1162" i="23"/>
  <c r="D1161" i="23"/>
  <c r="D1160" i="23"/>
  <c r="D1159" i="23"/>
  <c r="D1158" i="23"/>
  <c r="D1157" i="23"/>
  <c r="D1156" i="23"/>
  <c r="D1155" i="23"/>
  <c r="D1154" i="23"/>
  <c r="F1148" i="23"/>
  <c r="E1148" i="23"/>
  <c r="D1148" i="23"/>
  <c r="C1148" i="23"/>
  <c r="B1148" i="23"/>
  <c r="E1147" i="23"/>
  <c r="E1146" i="23"/>
  <c r="E1145" i="23"/>
  <c r="E1144" i="23"/>
  <c r="E1143" i="23"/>
  <c r="E1142" i="23"/>
  <c r="E1141" i="23"/>
  <c r="E1140" i="23"/>
  <c r="E1139" i="23"/>
  <c r="E1138" i="23"/>
  <c r="E1137" i="23"/>
  <c r="E1136" i="23"/>
  <c r="E1135" i="23"/>
  <c r="E1134" i="23"/>
  <c r="E1133" i="23"/>
  <c r="E1132" i="23"/>
  <c r="E1131" i="23"/>
  <c r="E1130" i="23"/>
  <c r="E1129" i="23"/>
  <c r="E1128" i="23"/>
  <c r="E1127" i="23"/>
  <c r="E1126" i="23"/>
  <c r="E1125" i="23"/>
  <c r="E1124" i="23"/>
  <c r="E1123" i="23"/>
  <c r="E1122" i="23"/>
  <c r="E1121" i="23"/>
  <c r="E1120" i="23"/>
  <c r="E1119" i="23"/>
  <c r="E1118" i="23"/>
  <c r="E1117" i="23"/>
  <c r="E1116" i="23"/>
  <c r="E1115" i="23"/>
  <c r="E1114" i="23"/>
  <c r="E1113" i="23"/>
  <c r="F1107" i="23"/>
  <c r="E1107" i="23"/>
  <c r="D1107" i="23"/>
  <c r="C1107" i="23"/>
  <c r="B1107" i="23"/>
  <c r="F1106" i="23"/>
  <c r="F1105" i="23"/>
  <c r="F1104" i="23"/>
  <c r="F1103" i="23"/>
  <c r="F1102" i="23"/>
  <c r="F1101" i="23"/>
  <c r="F1100" i="23"/>
  <c r="F1099" i="23"/>
  <c r="F1098" i="23"/>
  <c r="F1097" i="23"/>
  <c r="F1096" i="23"/>
  <c r="F1095" i="23"/>
  <c r="F1094" i="23"/>
  <c r="F1093" i="23"/>
  <c r="F1092" i="23"/>
  <c r="F1091" i="23"/>
  <c r="F1090" i="23"/>
  <c r="F1089" i="23"/>
  <c r="F1088" i="23"/>
  <c r="F1087" i="23"/>
  <c r="F1086" i="23"/>
  <c r="F1085" i="23"/>
  <c r="F1084" i="23"/>
  <c r="F1083" i="23"/>
  <c r="F1082" i="23"/>
  <c r="F1081" i="23"/>
  <c r="F1080" i="23"/>
  <c r="F1079" i="23"/>
  <c r="F1078" i="23"/>
  <c r="F1077" i="23"/>
  <c r="F1076" i="23"/>
  <c r="F1075" i="23"/>
  <c r="F1074" i="23"/>
  <c r="F1073" i="23"/>
  <c r="F1072" i="23"/>
  <c r="F1066" i="23"/>
  <c r="E1066" i="23"/>
  <c r="D1066" i="23"/>
  <c r="C1066" i="23"/>
  <c r="B1066" i="23"/>
  <c r="C1065" i="23"/>
  <c r="B1065" i="23"/>
  <c r="C1064" i="23"/>
  <c r="B1064" i="23"/>
  <c r="C1063" i="23"/>
  <c r="B1063" i="23"/>
  <c r="C1062" i="23"/>
  <c r="B1062" i="23"/>
  <c r="C1061" i="23"/>
  <c r="B1061" i="23"/>
  <c r="C1060" i="23"/>
  <c r="B1060" i="23"/>
  <c r="C1059" i="23"/>
  <c r="B1059" i="23"/>
  <c r="C1058" i="23"/>
  <c r="B1058" i="23"/>
  <c r="C1057" i="23"/>
  <c r="B1057" i="23"/>
  <c r="C1056" i="23"/>
  <c r="B1056" i="23"/>
  <c r="C1055" i="23"/>
  <c r="B1055" i="23"/>
  <c r="C1054" i="23"/>
  <c r="B1054" i="23"/>
  <c r="C1053" i="23"/>
  <c r="B1053" i="23"/>
  <c r="C1052" i="23"/>
  <c r="B1052" i="23"/>
  <c r="C1051" i="23"/>
  <c r="B1051" i="23"/>
  <c r="C1050" i="23"/>
  <c r="B1050" i="23"/>
  <c r="C1049" i="23"/>
  <c r="B1049" i="23"/>
  <c r="C1048" i="23"/>
  <c r="B1048" i="23"/>
  <c r="C1047" i="23"/>
  <c r="B1047" i="23"/>
  <c r="C1046" i="23"/>
  <c r="B1046" i="23"/>
  <c r="C1045" i="23"/>
  <c r="B1045" i="23"/>
  <c r="C1044" i="23"/>
  <c r="B1044" i="23"/>
  <c r="C1043" i="23"/>
  <c r="B1043" i="23"/>
  <c r="C1042" i="23"/>
  <c r="B1042" i="23"/>
  <c r="C1041" i="23"/>
  <c r="B1041" i="23"/>
  <c r="C1040" i="23"/>
  <c r="B1040" i="23"/>
  <c r="C1039" i="23"/>
  <c r="B1039" i="23"/>
  <c r="C1038" i="23"/>
  <c r="B1038" i="23"/>
  <c r="C1037" i="23"/>
  <c r="B1037" i="23"/>
  <c r="C1036" i="23"/>
  <c r="B1036" i="23"/>
  <c r="C1035" i="23"/>
  <c r="B1035" i="23"/>
  <c r="C1034" i="23"/>
  <c r="B1034" i="23"/>
  <c r="C1033" i="23"/>
  <c r="B1033" i="23"/>
  <c r="C1032" i="23"/>
  <c r="B1032" i="23"/>
  <c r="C1031" i="23"/>
  <c r="B1031" i="23"/>
  <c r="F1025" i="23"/>
  <c r="E1025" i="23"/>
  <c r="D1025" i="23"/>
  <c r="C1025" i="23"/>
  <c r="B1025" i="23"/>
  <c r="D1024" i="23"/>
  <c r="B1024" i="23"/>
  <c r="D1023" i="23"/>
  <c r="B1023" i="23"/>
  <c r="D1022" i="23"/>
  <c r="B1022" i="23"/>
  <c r="D1021" i="23"/>
  <c r="B1021" i="23"/>
  <c r="D1020" i="23"/>
  <c r="B1020" i="23"/>
  <c r="D1019" i="23"/>
  <c r="B1019" i="23"/>
  <c r="D1018" i="23"/>
  <c r="B1018" i="23"/>
  <c r="D1017" i="23"/>
  <c r="B1017" i="23"/>
  <c r="D1016" i="23"/>
  <c r="B1016" i="23"/>
  <c r="D1015" i="23"/>
  <c r="B1015" i="23"/>
  <c r="D1014" i="23"/>
  <c r="B1014" i="23"/>
  <c r="D1013" i="23"/>
  <c r="B1013" i="23"/>
  <c r="D1012" i="23"/>
  <c r="B1012" i="23"/>
  <c r="D1011" i="23"/>
  <c r="B1011" i="23"/>
  <c r="D1010" i="23"/>
  <c r="B1010" i="23"/>
  <c r="D1009" i="23"/>
  <c r="B1009" i="23"/>
  <c r="D1008" i="23"/>
  <c r="B1008" i="23"/>
  <c r="D1007" i="23"/>
  <c r="B1007" i="23"/>
  <c r="D1006" i="23"/>
  <c r="B1006" i="23"/>
  <c r="D1005" i="23"/>
  <c r="B1005" i="23"/>
  <c r="D1004" i="23"/>
  <c r="B1004" i="23"/>
  <c r="D1003" i="23"/>
  <c r="B1003" i="23"/>
  <c r="D1002" i="23"/>
  <c r="B1002" i="23"/>
  <c r="D1001" i="23"/>
  <c r="B1001" i="23"/>
  <c r="D1000" i="23"/>
  <c r="B1000" i="23"/>
  <c r="D999" i="23"/>
  <c r="B999" i="23"/>
  <c r="D998" i="23"/>
  <c r="B998" i="23"/>
  <c r="D997" i="23"/>
  <c r="B997" i="23"/>
  <c r="D996" i="23"/>
  <c r="B996" i="23"/>
  <c r="D995" i="23"/>
  <c r="B995" i="23"/>
  <c r="D994" i="23"/>
  <c r="B994" i="23"/>
  <c r="D993" i="23"/>
  <c r="B993" i="23"/>
  <c r="D992" i="23"/>
  <c r="B992" i="23"/>
  <c r="D991" i="23"/>
  <c r="B991" i="23"/>
  <c r="D990" i="23"/>
  <c r="B990" i="23"/>
  <c r="F984" i="23"/>
  <c r="E984" i="23"/>
  <c r="D984" i="23"/>
  <c r="C984" i="23"/>
  <c r="B984" i="23"/>
  <c r="D983" i="23"/>
  <c r="C983" i="23"/>
  <c r="D982" i="23"/>
  <c r="C982" i="23"/>
  <c r="D981" i="23"/>
  <c r="C981" i="23"/>
  <c r="D980" i="23"/>
  <c r="C980" i="23"/>
  <c r="D979" i="23"/>
  <c r="C979" i="23"/>
  <c r="D978" i="23"/>
  <c r="C978" i="23"/>
  <c r="D977" i="23"/>
  <c r="C977" i="23"/>
  <c r="D976" i="23"/>
  <c r="C976" i="23"/>
  <c r="D975" i="23"/>
  <c r="C975" i="23"/>
  <c r="D974" i="23"/>
  <c r="C974" i="23"/>
  <c r="D973" i="23"/>
  <c r="C973" i="23"/>
  <c r="D972" i="23"/>
  <c r="C972" i="23"/>
  <c r="D971" i="23"/>
  <c r="C971" i="23"/>
  <c r="D970" i="23"/>
  <c r="C970" i="23"/>
  <c r="D969" i="23"/>
  <c r="C969" i="23"/>
  <c r="D968" i="23"/>
  <c r="C968" i="23"/>
  <c r="D967" i="23"/>
  <c r="C967" i="23"/>
  <c r="D966" i="23"/>
  <c r="C966" i="23"/>
  <c r="D965" i="23"/>
  <c r="C965" i="23"/>
  <c r="D964" i="23"/>
  <c r="C964" i="23"/>
  <c r="D963" i="23"/>
  <c r="C963" i="23"/>
  <c r="D962" i="23"/>
  <c r="C962" i="23"/>
  <c r="D961" i="23"/>
  <c r="C961" i="23"/>
  <c r="D960" i="23"/>
  <c r="C960" i="23"/>
  <c r="D959" i="23"/>
  <c r="C959" i="23"/>
  <c r="D958" i="23"/>
  <c r="C958" i="23"/>
  <c r="D957" i="23"/>
  <c r="C957" i="23"/>
  <c r="D956" i="23"/>
  <c r="C956" i="23"/>
  <c r="D955" i="23"/>
  <c r="C955" i="23"/>
  <c r="D954" i="23"/>
  <c r="C954" i="23"/>
  <c r="D953" i="23"/>
  <c r="C953" i="23"/>
  <c r="D952" i="23"/>
  <c r="C952" i="23"/>
  <c r="D951" i="23"/>
  <c r="C951" i="23"/>
  <c r="D950" i="23"/>
  <c r="C950" i="23"/>
  <c r="D949" i="23"/>
  <c r="C949" i="23"/>
  <c r="F943" i="23"/>
  <c r="E943" i="23"/>
  <c r="D943" i="23"/>
  <c r="C943" i="23"/>
  <c r="B943" i="23"/>
  <c r="G943" i="23" s="1"/>
  <c r="E942" i="23"/>
  <c r="B942" i="23"/>
  <c r="E941" i="23"/>
  <c r="B941" i="23"/>
  <c r="E940" i="23"/>
  <c r="B940" i="23"/>
  <c r="E939" i="23"/>
  <c r="B939" i="23"/>
  <c r="E938" i="23"/>
  <c r="B938" i="23"/>
  <c r="E937" i="23"/>
  <c r="B937" i="23"/>
  <c r="E936" i="23"/>
  <c r="B936" i="23"/>
  <c r="E935" i="23"/>
  <c r="B935" i="23"/>
  <c r="E934" i="23"/>
  <c r="B934" i="23"/>
  <c r="E933" i="23"/>
  <c r="B933" i="23"/>
  <c r="E932" i="23"/>
  <c r="B932" i="23"/>
  <c r="E931" i="23"/>
  <c r="B931" i="23"/>
  <c r="E930" i="23"/>
  <c r="B930" i="23"/>
  <c r="E929" i="23"/>
  <c r="B929" i="23"/>
  <c r="E928" i="23"/>
  <c r="B928" i="23"/>
  <c r="E927" i="23"/>
  <c r="B927" i="23"/>
  <c r="E926" i="23"/>
  <c r="B926" i="23"/>
  <c r="E925" i="23"/>
  <c r="B925" i="23"/>
  <c r="E924" i="23"/>
  <c r="B924" i="23"/>
  <c r="E923" i="23"/>
  <c r="B923" i="23"/>
  <c r="E922" i="23"/>
  <c r="B922" i="23"/>
  <c r="E921" i="23"/>
  <c r="B921" i="23"/>
  <c r="E920" i="23"/>
  <c r="B920" i="23"/>
  <c r="E919" i="23"/>
  <c r="B919" i="23"/>
  <c r="E918" i="23"/>
  <c r="B918" i="23"/>
  <c r="E917" i="23"/>
  <c r="B917" i="23"/>
  <c r="E916" i="23"/>
  <c r="B916" i="23"/>
  <c r="E915" i="23"/>
  <c r="B915" i="23"/>
  <c r="E914" i="23"/>
  <c r="B914" i="23"/>
  <c r="E913" i="23"/>
  <c r="B913" i="23"/>
  <c r="E912" i="23"/>
  <c r="B912" i="23"/>
  <c r="E911" i="23"/>
  <c r="B911" i="23"/>
  <c r="E910" i="23"/>
  <c r="B910" i="23"/>
  <c r="E909" i="23"/>
  <c r="B909" i="23"/>
  <c r="E908" i="23"/>
  <c r="B908" i="23"/>
  <c r="F902" i="23"/>
  <c r="E902" i="23"/>
  <c r="D902" i="23"/>
  <c r="C902" i="23"/>
  <c r="B902" i="23"/>
  <c r="E901" i="23"/>
  <c r="C901" i="23"/>
  <c r="E900" i="23"/>
  <c r="C900" i="23"/>
  <c r="E899" i="23"/>
  <c r="C899" i="23"/>
  <c r="E898" i="23"/>
  <c r="C898" i="23"/>
  <c r="E897" i="23"/>
  <c r="C897" i="23"/>
  <c r="E896" i="23"/>
  <c r="C896" i="23"/>
  <c r="E895" i="23"/>
  <c r="C895" i="23"/>
  <c r="E894" i="23"/>
  <c r="C894" i="23"/>
  <c r="E893" i="23"/>
  <c r="C893" i="23"/>
  <c r="E892" i="23"/>
  <c r="C892" i="23"/>
  <c r="E891" i="23"/>
  <c r="C891" i="23"/>
  <c r="E890" i="23"/>
  <c r="C890" i="23"/>
  <c r="E889" i="23"/>
  <c r="C889" i="23"/>
  <c r="E888" i="23"/>
  <c r="C888" i="23"/>
  <c r="E887" i="23"/>
  <c r="C887" i="23"/>
  <c r="E886" i="23"/>
  <c r="C886" i="23"/>
  <c r="E885" i="23"/>
  <c r="C885" i="23"/>
  <c r="E884" i="23"/>
  <c r="C884" i="23"/>
  <c r="E883" i="23"/>
  <c r="C883" i="23"/>
  <c r="E882" i="23"/>
  <c r="C882" i="23"/>
  <c r="E881" i="23"/>
  <c r="C881" i="23"/>
  <c r="E880" i="23"/>
  <c r="C880" i="23"/>
  <c r="E879" i="23"/>
  <c r="C879" i="23"/>
  <c r="E878" i="23"/>
  <c r="C878" i="23"/>
  <c r="E877" i="23"/>
  <c r="C877" i="23"/>
  <c r="E876" i="23"/>
  <c r="C876" i="23"/>
  <c r="E875" i="23"/>
  <c r="C875" i="23"/>
  <c r="E874" i="23"/>
  <c r="C874" i="23"/>
  <c r="E873" i="23"/>
  <c r="C873" i="23"/>
  <c r="E872" i="23"/>
  <c r="C872" i="23"/>
  <c r="E871" i="23"/>
  <c r="C871" i="23"/>
  <c r="E870" i="23"/>
  <c r="C870" i="23"/>
  <c r="E869" i="23"/>
  <c r="C869" i="23"/>
  <c r="E868" i="23"/>
  <c r="C868" i="23"/>
  <c r="E867" i="23"/>
  <c r="C867" i="23"/>
  <c r="F861" i="23"/>
  <c r="E861" i="23"/>
  <c r="D861" i="23"/>
  <c r="C861" i="23"/>
  <c r="B861" i="23"/>
  <c r="E860" i="23"/>
  <c r="D860" i="23"/>
  <c r="E859" i="23"/>
  <c r="D859" i="23"/>
  <c r="E858" i="23"/>
  <c r="D858" i="23"/>
  <c r="E857" i="23"/>
  <c r="D857" i="23"/>
  <c r="E856" i="23"/>
  <c r="D856" i="23"/>
  <c r="E855" i="23"/>
  <c r="D855" i="23"/>
  <c r="E854" i="23"/>
  <c r="D854" i="23"/>
  <c r="E853" i="23"/>
  <c r="D853" i="23"/>
  <c r="E852" i="23"/>
  <c r="D852" i="23"/>
  <c r="E851" i="23"/>
  <c r="D851" i="23"/>
  <c r="E850" i="23"/>
  <c r="D850" i="23"/>
  <c r="E849" i="23"/>
  <c r="D849" i="23"/>
  <c r="E848" i="23"/>
  <c r="D848" i="23"/>
  <c r="E847" i="23"/>
  <c r="D847" i="23"/>
  <c r="E846" i="23"/>
  <c r="D846" i="23"/>
  <c r="E845" i="23"/>
  <c r="D845" i="23"/>
  <c r="E844" i="23"/>
  <c r="D844" i="23"/>
  <c r="E843" i="23"/>
  <c r="D843" i="23"/>
  <c r="E842" i="23"/>
  <c r="D842" i="23"/>
  <c r="E841" i="23"/>
  <c r="D841" i="23"/>
  <c r="E840" i="23"/>
  <c r="D840" i="23"/>
  <c r="E839" i="23"/>
  <c r="D839" i="23"/>
  <c r="E838" i="23"/>
  <c r="D838" i="23"/>
  <c r="E837" i="23"/>
  <c r="D837" i="23"/>
  <c r="E836" i="23"/>
  <c r="D836" i="23"/>
  <c r="E835" i="23"/>
  <c r="D835" i="23"/>
  <c r="E834" i="23"/>
  <c r="D834" i="23"/>
  <c r="E833" i="23"/>
  <c r="D833" i="23"/>
  <c r="E832" i="23"/>
  <c r="D832" i="23"/>
  <c r="E831" i="23"/>
  <c r="D831" i="23"/>
  <c r="E830" i="23"/>
  <c r="D830" i="23"/>
  <c r="E829" i="23"/>
  <c r="D829" i="23"/>
  <c r="E828" i="23"/>
  <c r="D828" i="23"/>
  <c r="E827" i="23"/>
  <c r="D827" i="23"/>
  <c r="E826" i="23"/>
  <c r="D826" i="23"/>
  <c r="F820" i="23"/>
  <c r="E820" i="23"/>
  <c r="D820" i="23"/>
  <c r="C820" i="23"/>
  <c r="B820" i="23"/>
  <c r="F819" i="23"/>
  <c r="B819" i="23"/>
  <c r="F818" i="23"/>
  <c r="B818" i="23"/>
  <c r="F817" i="23"/>
  <c r="B817" i="23"/>
  <c r="F816" i="23"/>
  <c r="B816" i="23"/>
  <c r="F815" i="23"/>
  <c r="B815" i="23"/>
  <c r="F814" i="23"/>
  <c r="B814" i="23"/>
  <c r="H814" i="23" s="1"/>
  <c r="F813" i="23"/>
  <c r="B813" i="23"/>
  <c r="F812" i="23"/>
  <c r="B812" i="23"/>
  <c r="F811" i="23"/>
  <c r="B811" i="23"/>
  <c r="F810" i="23"/>
  <c r="B810" i="23"/>
  <c r="F809" i="23"/>
  <c r="B809" i="23"/>
  <c r="F808" i="23"/>
  <c r="B808" i="23"/>
  <c r="F807" i="23"/>
  <c r="B807" i="23"/>
  <c r="F806" i="23"/>
  <c r="B806" i="23"/>
  <c r="F805" i="23"/>
  <c r="B805" i="23"/>
  <c r="F804" i="23"/>
  <c r="B804" i="23"/>
  <c r="F803" i="23"/>
  <c r="B803" i="23"/>
  <c r="F802" i="23"/>
  <c r="B802" i="23"/>
  <c r="F801" i="23"/>
  <c r="B801" i="23"/>
  <c r="F800" i="23"/>
  <c r="B800" i="23"/>
  <c r="F799" i="23"/>
  <c r="B799" i="23"/>
  <c r="F798" i="23"/>
  <c r="B798" i="23"/>
  <c r="F797" i="23"/>
  <c r="B797" i="23"/>
  <c r="F796" i="23"/>
  <c r="B796" i="23"/>
  <c r="F795" i="23"/>
  <c r="B795" i="23"/>
  <c r="F794" i="23"/>
  <c r="B794" i="23"/>
  <c r="F793" i="23"/>
  <c r="B793" i="23"/>
  <c r="F792" i="23"/>
  <c r="B792" i="23"/>
  <c r="F791" i="23"/>
  <c r="B791" i="23"/>
  <c r="F790" i="23"/>
  <c r="B790" i="23"/>
  <c r="F789" i="23"/>
  <c r="B789" i="23"/>
  <c r="F788" i="23"/>
  <c r="B788" i="23"/>
  <c r="F787" i="23"/>
  <c r="B787" i="23"/>
  <c r="F786" i="23"/>
  <c r="B786" i="23"/>
  <c r="F785" i="23"/>
  <c r="B785" i="23"/>
  <c r="F779" i="23"/>
  <c r="E779" i="23"/>
  <c r="D779" i="23"/>
  <c r="C779" i="23"/>
  <c r="B779" i="23"/>
  <c r="F778" i="23"/>
  <c r="C778" i="23"/>
  <c r="F777" i="23"/>
  <c r="C777" i="23"/>
  <c r="F776" i="23"/>
  <c r="C776" i="23"/>
  <c r="F775" i="23"/>
  <c r="C775" i="23"/>
  <c r="F774" i="23"/>
  <c r="C774" i="23"/>
  <c r="F773" i="23"/>
  <c r="C773" i="23"/>
  <c r="F772" i="23"/>
  <c r="C772" i="23"/>
  <c r="F771" i="23"/>
  <c r="C771" i="23"/>
  <c r="F770" i="23"/>
  <c r="C770" i="23"/>
  <c r="F769" i="23"/>
  <c r="C769" i="23"/>
  <c r="F768" i="23"/>
  <c r="C768" i="23"/>
  <c r="F767" i="23"/>
  <c r="C767" i="23"/>
  <c r="F766" i="23"/>
  <c r="C766" i="23"/>
  <c r="F765" i="23"/>
  <c r="C765" i="23"/>
  <c r="F764" i="23"/>
  <c r="C764" i="23"/>
  <c r="F763" i="23"/>
  <c r="C763" i="23"/>
  <c r="F762" i="23"/>
  <c r="C762" i="23"/>
  <c r="F761" i="23"/>
  <c r="C761" i="23"/>
  <c r="F760" i="23"/>
  <c r="C760" i="23"/>
  <c r="F759" i="23"/>
  <c r="C759" i="23"/>
  <c r="F758" i="23"/>
  <c r="C758" i="23"/>
  <c r="F757" i="23"/>
  <c r="C757" i="23"/>
  <c r="F756" i="23"/>
  <c r="C756" i="23"/>
  <c r="F755" i="23"/>
  <c r="C755" i="23"/>
  <c r="F754" i="23"/>
  <c r="C754" i="23"/>
  <c r="F753" i="23"/>
  <c r="C753" i="23"/>
  <c r="F752" i="23"/>
  <c r="C752" i="23"/>
  <c r="F751" i="23"/>
  <c r="C751" i="23"/>
  <c r="F750" i="23"/>
  <c r="C750" i="23"/>
  <c r="F749" i="23"/>
  <c r="C749" i="23"/>
  <c r="F748" i="23"/>
  <c r="C748" i="23"/>
  <c r="F747" i="23"/>
  <c r="C747" i="23"/>
  <c r="F746" i="23"/>
  <c r="C746" i="23"/>
  <c r="F745" i="23"/>
  <c r="C745" i="23"/>
  <c r="F744" i="23"/>
  <c r="C744" i="23"/>
  <c r="F738" i="23"/>
  <c r="E738" i="23"/>
  <c r="D738" i="23"/>
  <c r="C738" i="23"/>
  <c r="B738" i="23"/>
  <c r="F737" i="23"/>
  <c r="D737" i="23"/>
  <c r="F736" i="23"/>
  <c r="D736" i="23"/>
  <c r="F735" i="23"/>
  <c r="D735" i="23"/>
  <c r="F734" i="23"/>
  <c r="D734" i="23"/>
  <c r="F733" i="23"/>
  <c r="D733" i="23"/>
  <c r="F732" i="23"/>
  <c r="D732" i="23"/>
  <c r="F731" i="23"/>
  <c r="D731" i="23"/>
  <c r="F730" i="23"/>
  <c r="D730" i="23"/>
  <c r="F729" i="23"/>
  <c r="D729" i="23"/>
  <c r="F728" i="23"/>
  <c r="D728" i="23"/>
  <c r="F727" i="23"/>
  <c r="D727" i="23"/>
  <c r="F726" i="23"/>
  <c r="D726" i="23"/>
  <c r="F725" i="23"/>
  <c r="D725" i="23"/>
  <c r="F724" i="23"/>
  <c r="D724" i="23"/>
  <c r="F723" i="23"/>
  <c r="D723" i="23"/>
  <c r="F722" i="23"/>
  <c r="D722" i="23"/>
  <c r="F721" i="23"/>
  <c r="D721" i="23"/>
  <c r="F720" i="23"/>
  <c r="D720" i="23"/>
  <c r="F719" i="23"/>
  <c r="D719" i="23"/>
  <c r="F718" i="23"/>
  <c r="D718" i="23"/>
  <c r="F717" i="23"/>
  <c r="D717" i="23"/>
  <c r="F716" i="23"/>
  <c r="D716" i="23"/>
  <c r="F715" i="23"/>
  <c r="D715" i="23"/>
  <c r="F714" i="23"/>
  <c r="D714" i="23"/>
  <c r="F713" i="23"/>
  <c r="D713" i="23"/>
  <c r="F712" i="23"/>
  <c r="D712" i="23"/>
  <c r="F711" i="23"/>
  <c r="D711" i="23"/>
  <c r="F710" i="23"/>
  <c r="D710" i="23"/>
  <c r="F709" i="23"/>
  <c r="D709" i="23"/>
  <c r="F708" i="23"/>
  <c r="D708" i="23"/>
  <c r="F707" i="23"/>
  <c r="D707" i="23"/>
  <c r="F706" i="23"/>
  <c r="D706" i="23"/>
  <c r="F705" i="23"/>
  <c r="D705" i="23"/>
  <c r="F704" i="23"/>
  <c r="D704" i="23"/>
  <c r="F703" i="23"/>
  <c r="D703" i="23"/>
  <c r="F697" i="23"/>
  <c r="E697" i="23"/>
  <c r="D697" i="23"/>
  <c r="C697" i="23"/>
  <c r="B697" i="23"/>
  <c r="F696" i="23"/>
  <c r="E696" i="23"/>
  <c r="F695" i="23"/>
  <c r="E695" i="23"/>
  <c r="F694" i="23"/>
  <c r="E694" i="23"/>
  <c r="F693" i="23"/>
  <c r="E693" i="23"/>
  <c r="F692" i="23"/>
  <c r="E692" i="23"/>
  <c r="F691" i="23"/>
  <c r="E691" i="23"/>
  <c r="F690" i="23"/>
  <c r="E690" i="23"/>
  <c r="F689" i="23"/>
  <c r="E689" i="23"/>
  <c r="F688" i="23"/>
  <c r="E688" i="23"/>
  <c r="F687" i="23"/>
  <c r="E687" i="23"/>
  <c r="F686" i="23"/>
  <c r="E686" i="23"/>
  <c r="F685" i="23"/>
  <c r="E685" i="23"/>
  <c r="F684" i="23"/>
  <c r="E684" i="23"/>
  <c r="F683" i="23"/>
  <c r="E683" i="23"/>
  <c r="F682" i="23"/>
  <c r="E682" i="23"/>
  <c r="F681" i="23"/>
  <c r="E681" i="23"/>
  <c r="F680" i="23"/>
  <c r="E680" i="23"/>
  <c r="F679" i="23"/>
  <c r="E679" i="23"/>
  <c r="F678" i="23"/>
  <c r="E678" i="23"/>
  <c r="F677" i="23"/>
  <c r="E677" i="23"/>
  <c r="F676" i="23"/>
  <c r="E676" i="23"/>
  <c r="F675" i="23"/>
  <c r="E675" i="23"/>
  <c r="F674" i="23"/>
  <c r="E674" i="23"/>
  <c r="F673" i="23"/>
  <c r="E673" i="23"/>
  <c r="F672" i="23"/>
  <c r="E672" i="23"/>
  <c r="F671" i="23"/>
  <c r="E671" i="23"/>
  <c r="F670" i="23"/>
  <c r="E670" i="23"/>
  <c r="F669" i="23"/>
  <c r="E669" i="23"/>
  <c r="F668" i="23"/>
  <c r="E668" i="23"/>
  <c r="F667" i="23"/>
  <c r="E667" i="23"/>
  <c r="F666" i="23"/>
  <c r="E666" i="23"/>
  <c r="F665" i="23"/>
  <c r="E665" i="23"/>
  <c r="F664" i="23"/>
  <c r="E664" i="23"/>
  <c r="F663" i="23"/>
  <c r="E663" i="23"/>
  <c r="F662" i="23"/>
  <c r="E662" i="23"/>
  <c r="F656" i="23"/>
  <c r="E656" i="23"/>
  <c r="D656" i="23"/>
  <c r="C656" i="23"/>
  <c r="B656" i="23"/>
  <c r="D655" i="23"/>
  <c r="C655" i="23"/>
  <c r="B655" i="23"/>
  <c r="D654" i="23"/>
  <c r="C654" i="23"/>
  <c r="B654" i="23"/>
  <c r="D653" i="23"/>
  <c r="C653" i="23"/>
  <c r="B653" i="23"/>
  <c r="D652" i="23"/>
  <c r="C652" i="23"/>
  <c r="B652" i="23"/>
  <c r="D651" i="23"/>
  <c r="C651" i="23"/>
  <c r="B651" i="23"/>
  <c r="D650" i="23"/>
  <c r="C650" i="23"/>
  <c r="B650" i="23"/>
  <c r="G650" i="23" s="1"/>
  <c r="D649" i="23"/>
  <c r="C649" i="23"/>
  <c r="B649" i="23"/>
  <c r="D648" i="23"/>
  <c r="C648" i="23"/>
  <c r="B648" i="23"/>
  <c r="D647" i="23"/>
  <c r="C647" i="23"/>
  <c r="B647" i="23"/>
  <c r="D646" i="23"/>
  <c r="C646" i="23"/>
  <c r="B646" i="23"/>
  <c r="D645" i="23"/>
  <c r="C645" i="23"/>
  <c r="B645" i="23"/>
  <c r="D644" i="23"/>
  <c r="C644" i="23"/>
  <c r="B644" i="23"/>
  <c r="D643" i="23"/>
  <c r="C643" i="23"/>
  <c r="B643" i="23"/>
  <c r="D642" i="23"/>
  <c r="C642" i="23"/>
  <c r="B642" i="23"/>
  <c r="D641" i="23"/>
  <c r="C641" i="23"/>
  <c r="B641" i="23"/>
  <c r="D640" i="23"/>
  <c r="C640" i="23"/>
  <c r="B640" i="23"/>
  <c r="D639" i="23"/>
  <c r="C639" i="23"/>
  <c r="B639" i="23"/>
  <c r="D638" i="23"/>
  <c r="C638" i="23"/>
  <c r="B638" i="23"/>
  <c r="D637" i="23"/>
  <c r="C637" i="23"/>
  <c r="B637" i="23"/>
  <c r="D636" i="23"/>
  <c r="C636" i="23"/>
  <c r="B636" i="23"/>
  <c r="D635" i="23"/>
  <c r="C635" i="23"/>
  <c r="B635" i="23"/>
  <c r="D634" i="23"/>
  <c r="C634" i="23"/>
  <c r="B634" i="23"/>
  <c r="D633" i="23"/>
  <c r="C633" i="23"/>
  <c r="B633" i="23"/>
  <c r="D632" i="23"/>
  <c r="C632" i="23"/>
  <c r="B632" i="23"/>
  <c r="D631" i="23"/>
  <c r="C631" i="23"/>
  <c r="B631" i="23"/>
  <c r="D630" i="23"/>
  <c r="C630" i="23"/>
  <c r="B630" i="23"/>
  <c r="D629" i="23"/>
  <c r="C629" i="23"/>
  <c r="B629" i="23"/>
  <c r="D628" i="23"/>
  <c r="C628" i="23"/>
  <c r="B628" i="23"/>
  <c r="D627" i="23"/>
  <c r="C627" i="23"/>
  <c r="B627" i="23"/>
  <c r="D626" i="23"/>
  <c r="C626" i="23"/>
  <c r="B626" i="23"/>
  <c r="D625" i="23"/>
  <c r="C625" i="23"/>
  <c r="B625" i="23"/>
  <c r="D624" i="23"/>
  <c r="C624" i="23"/>
  <c r="B624" i="23"/>
  <c r="D623" i="23"/>
  <c r="C623" i="23"/>
  <c r="B623" i="23"/>
  <c r="D622" i="23"/>
  <c r="C622" i="23"/>
  <c r="B622" i="23"/>
  <c r="D621" i="23"/>
  <c r="C621" i="23"/>
  <c r="B621" i="23"/>
  <c r="F615" i="23"/>
  <c r="E615" i="23"/>
  <c r="D615" i="23"/>
  <c r="C615" i="23"/>
  <c r="B615" i="23"/>
  <c r="E614" i="23"/>
  <c r="C614" i="23"/>
  <c r="B614" i="23"/>
  <c r="E613" i="23"/>
  <c r="C613" i="23"/>
  <c r="B613" i="23"/>
  <c r="E612" i="23"/>
  <c r="C612" i="23"/>
  <c r="B612" i="23"/>
  <c r="E611" i="23"/>
  <c r="C611" i="23"/>
  <c r="B611" i="23"/>
  <c r="E610" i="23"/>
  <c r="C610" i="23"/>
  <c r="B610" i="23"/>
  <c r="E609" i="23"/>
  <c r="C609" i="23"/>
  <c r="B609" i="23"/>
  <c r="E608" i="23"/>
  <c r="C608" i="23"/>
  <c r="B608" i="23"/>
  <c r="E607" i="23"/>
  <c r="C607" i="23"/>
  <c r="B607" i="23"/>
  <c r="E606" i="23"/>
  <c r="C606" i="23"/>
  <c r="B606" i="23"/>
  <c r="E605" i="23"/>
  <c r="C605" i="23"/>
  <c r="B605" i="23"/>
  <c r="E604" i="23"/>
  <c r="C604" i="23"/>
  <c r="B604" i="23"/>
  <c r="E603" i="23"/>
  <c r="C603" i="23"/>
  <c r="B603" i="23"/>
  <c r="E602" i="23"/>
  <c r="C602" i="23"/>
  <c r="B602" i="23"/>
  <c r="E601" i="23"/>
  <c r="C601" i="23"/>
  <c r="B601" i="23"/>
  <c r="E600" i="23"/>
  <c r="C600" i="23"/>
  <c r="B600" i="23"/>
  <c r="E599" i="23"/>
  <c r="C599" i="23"/>
  <c r="B599" i="23"/>
  <c r="E598" i="23"/>
  <c r="C598" i="23"/>
  <c r="B598" i="23"/>
  <c r="E597" i="23"/>
  <c r="C597" i="23"/>
  <c r="B597" i="23"/>
  <c r="E596" i="23"/>
  <c r="C596" i="23"/>
  <c r="B596" i="23"/>
  <c r="E595" i="23"/>
  <c r="C595" i="23"/>
  <c r="B595" i="23"/>
  <c r="E594" i="23"/>
  <c r="C594" i="23"/>
  <c r="B594" i="23"/>
  <c r="E593" i="23"/>
  <c r="C593" i="23"/>
  <c r="B593" i="23"/>
  <c r="E592" i="23"/>
  <c r="C592" i="23"/>
  <c r="B592" i="23"/>
  <c r="E591" i="23"/>
  <c r="C591" i="23"/>
  <c r="B591" i="23"/>
  <c r="E590" i="23"/>
  <c r="C590" i="23"/>
  <c r="B590" i="23"/>
  <c r="E589" i="23"/>
  <c r="C589" i="23"/>
  <c r="B589" i="23"/>
  <c r="E588" i="23"/>
  <c r="C588" i="23"/>
  <c r="B588" i="23"/>
  <c r="E587" i="23"/>
  <c r="C587" i="23"/>
  <c r="B587" i="23"/>
  <c r="E586" i="23"/>
  <c r="C586" i="23"/>
  <c r="B586" i="23"/>
  <c r="E585" i="23"/>
  <c r="C585" i="23"/>
  <c r="B585" i="23"/>
  <c r="E584" i="23"/>
  <c r="C584" i="23"/>
  <c r="B584" i="23"/>
  <c r="E583" i="23"/>
  <c r="C583" i="23"/>
  <c r="B583" i="23"/>
  <c r="E582" i="23"/>
  <c r="C582" i="23"/>
  <c r="B582" i="23"/>
  <c r="E581" i="23"/>
  <c r="C581" i="23"/>
  <c r="B581" i="23"/>
  <c r="E580" i="23"/>
  <c r="C580" i="23"/>
  <c r="B580" i="23"/>
  <c r="F574" i="23"/>
  <c r="E574" i="23"/>
  <c r="D574" i="23"/>
  <c r="C574" i="23"/>
  <c r="B574" i="23"/>
  <c r="F573" i="23"/>
  <c r="C573" i="23"/>
  <c r="B573" i="23"/>
  <c r="F572" i="23"/>
  <c r="C572" i="23"/>
  <c r="B572" i="23"/>
  <c r="F571" i="23"/>
  <c r="C571" i="23"/>
  <c r="B571" i="23"/>
  <c r="F570" i="23"/>
  <c r="C570" i="23"/>
  <c r="B570" i="23"/>
  <c r="F569" i="23"/>
  <c r="C569" i="23"/>
  <c r="B569" i="23"/>
  <c r="F568" i="23"/>
  <c r="C568" i="23"/>
  <c r="B568" i="23"/>
  <c r="F567" i="23"/>
  <c r="C567" i="23"/>
  <c r="B567" i="23"/>
  <c r="F566" i="23"/>
  <c r="C566" i="23"/>
  <c r="B566" i="23"/>
  <c r="F565" i="23"/>
  <c r="C565" i="23"/>
  <c r="B565" i="23"/>
  <c r="F564" i="23"/>
  <c r="C564" i="23"/>
  <c r="B564" i="23"/>
  <c r="F563" i="23"/>
  <c r="C563" i="23"/>
  <c r="B563" i="23"/>
  <c r="F562" i="23"/>
  <c r="C562" i="23"/>
  <c r="B562" i="23"/>
  <c r="F561" i="23"/>
  <c r="C561" i="23"/>
  <c r="B561" i="23"/>
  <c r="F560" i="23"/>
  <c r="C560" i="23"/>
  <c r="B560" i="23"/>
  <c r="F559" i="23"/>
  <c r="C559" i="23"/>
  <c r="B559" i="23"/>
  <c r="F558" i="23"/>
  <c r="C558" i="23"/>
  <c r="B558" i="23"/>
  <c r="F557" i="23"/>
  <c r="C557" i="23"/>
  <c r="B557" i="23"/>
  <c r="F556" i="23"/>
  <c r="C556" i="23"/>
  <c r="B556" i="23"/>
  <c r="F555" i="23"/>
  <c r="C555" i="23"/>
  <c r="B555" i="23"/>
  <c r="F554" i="23"/>
  <c r="C554" i="23"/>
  <c r="B554" i="23"/>
  <c r="F553" i="23"/>
  <c r="C553" i="23"/>
  <c r="B553" i="23"/>
  <c r="F552" i="23"/>
  <c r="C552" i="23"/>
  <c r="B552" i="23"/>
  <c r="F551" i="23"/>
  <c r="C551" i="23"/>
  <c r="B551" i="23"/>
  <c r="F550" i="23"/>
  <c r="C550" i="23"/>
  <c r="B550" i="23"/>
  <c r="F549" i="23"/>
  <c r="C549" i="23"/>
  <c r="B549" i="23"/>
  <c r="F548" i="23"/>
  <c r="C548" i="23"/>
  <c r="B548" i="23"/>
  <c r="F547" i="23"/>
  <c r="C547" i="23"/>
  <c r="B547" i="23"/>
  <c r="F546" i="23"/>
  <c r="C546" i="23"/>
  <c r="B546" i="23"/>
  <c r="F545" i="23"/>
  <c r="C545" i="23"/>
  <c r="B545" i="23"/>
  <c r="F544" i="23"/>
  <c r="C544" i="23"/>
  <c r="B544" i="23"/>
  <c r="F543" i="23"/>
  <c r="C543" i="23"/>
  <c r="B543" i="23"/>
  <c r="F542" i="23"/>
  <c r="C542" i="23"/>
  <c r="B542" i="23"/>
  <c r="F541" i="23"/>
  <c r="C541" i="23"/>
  <c r="B541" i="23"/>
  <c r="F540" i="23"/>
  <c r="C540" i="23"/>
  <c r="B540" i="23"/>
  <c r="F539" i="23"/>
  <c r="C539" i="23"/>
  <c r="B539" i="23"/>
  <c r="F533" i="23"/>
  <c r="E533" i="23"/>
  <c r="D533" i="23"/>
  <c r="C533" i="23"/>
  <c r="B533" i="23"/>
  <c r="E532" i="23"/>
  <c r="D532" i="23"/>
  <c r="B532" i="23"/>
  <c r="E531" i="23"/>
  <c r="D531" i="23"/>
  <c r="B531" i="23"/>
  <c r="E530" i="23"/>
  <c r="D530" i="23"/>
  <c r="B530" i="23"/>
  <c r="E529" i="23"/>
  <c r="D529" i="23"/>
  <c r="B529" i="23"/>
  <c r="E528" i="23"/>
  <c r="D528" i="23"/>
  <c r="B528" i="23"/>
  <c r="E527" i="23"/>
  <c r="D527" i="23"/>
  <c r="B527" i="23"/>
  <c r="E526" i="23"/>
  <c r="D526" i="23"/>
  <c r="B526" i="23"/>
  <c r="E525" i="23"/>
  <c r="D525" i="23"/>
  <c r="B525" i="23"/>
  <c r="E524" i="23"/>
  <c r="D524" i="23"/>
  <c r="B524" i="23"/>
  <c r="E523" i="23"/>
  <c r="D523" i="23"/>
  <c r="B523" i="23"/>
  <c r="E522" i="23"/>
  <c r="D522" i="23"/>
  <c r="B522" i="23"/>
  <c r="E521" i="23"/>
  <c r="D521" i="23"/>
  <c r="B521" i="23"/>
  <c r="E520" i="23"/>
  <c r="D520" i="23"/>
  <c r="B520" i="23"/>
  <c r="E519" i="23"/>
  <c r="D519" i="23"/>
  <c r="B519" i="23"/>
  <c r="E518" i="23"/>
  <c r="D518" i="23"/>
  <c r="B518" i="23"/>
  <c r="E517" i="23"/>
  <c r="D517" i="23"/>
  <c r="B517" i="23"/>
  <c r="E516" i="23"/>
  <c r="D516" i="23"/>
  <c r="B516" i="23"/>
  <c r="E515" i="23"/>
  <c r="D515" i="23"/>
  <c r="B515" i="23"/>
  <c r="E514" i="23"/>
  <c r="D514" i="23"/>
  <c r="B514" i="23"/>
  <c r="E513" i="23"/>
  <c r="D513" i="23"/>
  <c r="B513" i="23"/>
  <c r="E512" i="23"/>
  <c r="D512" i="23"/>
  <c r="B512" i="23"/>
  <c r="E511" i="23"/>
  <c r="D511" i="23"/>
  <c r="B511" i="23"/>
  <c r="E510" i="23"/>
  <c r="D510" i="23"/>
  <c r="B510" i="23"/>
  <c r="E509" i="23"/>
  <c r="D509" i="23"/>
  <c r="B509" i="23"/>
  <c r="E508" i="23"/>
  <c r="D508" i="23"/>
  <c r="B508" i="23"/>
  <c r="E507" i="23"/>
  <c r="D507" i="23"/>
  <c r="B507" i="23"/>
  <c r="E506" i="23"/>
  <c r="D506" i="23"/>
  <c r="B506" i="23"/>
  <c r="E505" i="23"/>
  <c r="D505" i="23"/>
  <c r="B505" i="23"/>
  <c r="E504" i="23"/>
  <c r="D504" i="23"/>
  <c r="B504" i="23"/>
  <c r="E503" i="23"/>
  <c r="D503" i="23"/>
  <c r="B503" i="23"/>
  <c r="E502" i="23"/>
  <c r="D502" i="23"/>
  <c r="B502" i="23"/>
  <c r="E501" i="23"/>
  <c r="D501" i="23"/>
  <c r="B501" i="23"/>
  <c r="E500" i="23"/>
  <c r="D500" i="23"/>
  <c r="B500" i="23"/>
  <c r="E499" i="23"/>
  <c r="D499" i="23"/>
  <c r="B499" i="23"/>
  <c r="E498" i="23"/>
  <c r="D498" i="23"/>
  <c r="B498" i="23"/>
  <c r="F492" i="23"/>
  <c r="E492" i="23"/>
  <c r="D492" i="23"/>
  <c r="C492" i="23"/>
  <c r="B492" i="23"/>
  <c r="F491" i="23"/>
  <c r="D491" i="23"/>
  <c r="B491" i="23"/>
  <c r="F490" i="23"/>
  <c r="D490" i="23"/>
  <c r="B490" i="23"/>
  <c r="F489" i="23"/>
  <c r="D489" i="23"/>
  <c r="B489" i="23"/>
  <c r="F488" i="23"/>
  <c r="D488" i="23"/>
  <c r="B488" i="23"/>
  <c r="F487" i="23"/>
  <c r="D487" i="23"/>
  <c r="B487" i="23"/>
  <c r="F486" i="23"/>
  <c r="D486" i="23"/>
  <c r="B486" i="23"/>
  <c r="G486" i="23" s="1"/>
  <c r="F485" i="23"/>
  <c r="D485" i="23"/>
  <c r="B485" i="23"/>
  <c r="F484" i="23"/>
  <c r="D484" i="23"/>
  <c r="B484" i="23"/>
  <c r="F483" i="23"/>
  <c r="D483" i="23"/>
  <c r="B483" i="23"/>
  <c r="F482" i="23"/>
  <c r="D482" i="23"/>
  <c r="B482" i="23"/>
  <c r="F481" i="23"/>
  <c r="D481" i="23"/>
  <c r="B481" i="23"/>
  <c r="F480" i="23"/>
  <c r="D480" i="23"/>
  <c r="B480" i="23"/>
  <c r="F479" i="23"/>
  <c r="D479" i="23"/>
  <c r="B479" i="23"/>
  <c r="F478" i="23"/>
  <c r="D478" i="23"/>
  <c r="B478" i="23"/>
  <c r="F477" i="23"/>
  <c r="D477" i="23"/>
  <c r="B477" i="23"/>
  <c r="F476" i="23"/>
  <c r="D476" i="23"/>
  <c r="B476" i="23"/>
  <c r="F475" i="23"/>
  <c r="D475" i="23"/>
  <c r="B475" i="23"/>
  <c r="F474" i="23"/>
  <c r="D474" i="23"/>
  <c r="B474" i="23"/>
  <c r="F473" i="23"/>
  <c r="D473" i="23"/>
  <c r="B473" i="23"/>
  <c r="F472" i="23"/>
  <c r="D472" i="23"/>
  <c r="B472" i="23"/>
  <c r="F471" i="23"/>
  <c r="D471" i="23"/>
  <c r="B471" i="23"/>
  <c r="F470" i="23"/>
  <c r="D470" i="23"/>
  <c r="B470" i="23"/>
  <c r="F469" i="23"/>
  <c r="D469" i="23"/>
  <c r="B469" i="23"/>
  <c r="F468" i="23"/>
  <c r="D468" i="23"/>
  <c r="B468" i="23"/>
  <c r="F467" i="23"/>
  <c r="D467" i="23"/>
  <c r="B467" i="23"/>
  <c r="F466" i="23"/>
  <c r="D466" i="23"/>
  <c r="B466" i="23"/>
  <c r="F465" i="23"/>
  <c r="D465" i="23"/>
  <c r="B465" i="23"/>
  <c r="F464" i="23"/>
  <c r="D464" i="23"/>
  <c r="B464" i="23"/>
  <c r="F463" i="23"/>
  <c r="D463" i="23"/>
  <c r="B463" i="23"/>
  <c r="F462" i="23"/>
  <c r="D462" i="23"/>
  <c r="B462" i="23"/>
  <c r="F461" i="23"/>
  <c r="D461" i="23"/>
  <c r="B461" i="23"/>
  <c r="F460" i="23"/>
  <c r="D460" i="23"/>
  <c r="B460" i="23"/>
  <c r="F459" i="23"/>
  <c r="D459" i="23"/>
  <c r="B459" i="23"/>
  <c r="F458" i="23"/>
  <c r="D458" i="23"/>
  <c r="B458" i="23"/>
  <c r="F457" i="23"/>
  <c r="D457" i="23"/>
  <c r="B457" i="23"/>
  <c r="F451" i="23"/>
  <c r="E451" i="23"/>
  <c r="D451" i="23"/>
  <c r="C451" i="23"/>
  <c r="B451" i="23"/>
  <c r="F450" i="23"/>
  <c r="E450" i="23"/>
  <c r="B450" i="23"/>
  <c r="F449" i="23"/>
  <c r="E449" i="23"/>
  <c r="B449" i="23"/>
  <c r="F448" i="23"/>
  <c r="E448" i="23"/>
  <c r="B448" i="23"/>
  <c r="F447" i="23"/>
  <c r="E447" i="23"/>
  <c r="B447" i="23"/>
  <c r="F446" i="23"/>
  <c r="E446" i="23"/>
  <c r="B446" i="23"/>
  <c r="F445" i="23"/>
  <c r="E445" i="23"/>
  <c r="B445" i="23"/>
  <c r="F444" i="23"/>
  <c r="E444" i="23"/>
  <c r="B444" i="23"/>
  <c r="F443" i="23"/>
  <c r="E443" i="23"/>
  <c r="B443" i="23"/>
  <c r="F442" i="23"/>
  <c r="E442" i="23"/>
  <c r="B442" i="23"/>
  <c r="F441" i="23"/>
  <c r="E441" i="23"/>
  <c r="B441" i="23"/>
  <c r="F440" i="23"/>
  <c r="E440" i="23"/>
  <c r="B440" i="23"/>
  <c r="F439" i="23"/>
  <c r="E439" i="23"/>
  <c r="B439" i="23"/>
  <c r="F438" i="23"/>
  <c r="E438" i="23"/>
  <c r="B438" i="23"/>
  <c r="F437" i="23"/>
  <c r="E437" i="23"/>
  <c r="B437" i="23"/>
  <c r="F436" i="23"/>
  <c r="E436" i="23"/>
  <c r="B436" i="23"/>
  <c r="F435" i="23"/>
  <c r="E435" i="23"/>
  <c r="B435" i="23"/>
  <c r="F434" i="23"/>
  <c r="E434" i="23"/>
  <c r="B434" i="23"/>
  <c r="F433" i="23"/>
  <c r="E433" i="23"/>
  <c r="B433" i="23"/>
  <c r="F432" i="23"/>
  <c r="E432" i="23"/>
  <c r="B432" i="23"/>
  <c r="F431" i="23"/>
  <c r="E431" i="23"/>
  <c r="B431" i="23"/>
  <c r="F430" i="23"/>
  <c r="E430" i="23"/>
  <c r="B430" i="23"/>
  <c r="F429" i="23"/>
  <c r="E429" i="23"/>
  <c r="B429" i="23"/>
  <c r="F428" i="23"/>
  <c r="E428" i="23"/>
  <c r="B428" i="23"/>
  <c r="F427" i="23"/>
  <c r="E427" i="23"/>
  <c r="B427" i="23"/>
  <c r="F426" i="23"/>
  <c r="E426" i="23"/>
  <c r="B426" i="23"/>
  <c r="F425" i="23"/>
  <c r="E425" i="23"/>
  <c r="B425" i="23"/>
  <c r="F424" i="23"/>
  <c r="E424" i="23"/>
  <c r="B424" i="23"/>
  <c r="F423" i="23"/>
  <c r="E423" i="23"/>
  <c r="B423" i="23"/>
  <c r="F422" i="23"/>
  <c r="E422" i="23"/>
  <c r="B422" i="23"/>
  <c r="F421" i="23"/>
  <c r="E421" i="23"/>
  <c r="B421" i="23"/>
  <c r="F420" i="23"/>
  <c r="E420" i="23"/>
  <c r="B420" i="23"/>
  <c r="F419" i="23"/>
  <c r="E419" i="23"/>
  <c r="B419" i="23"/>
  <c r="F418" i="23"/>
  <c r="E418" i="23"/>
  <c r="B418" i="23"/>
  <c r="F417" i="23"/>
  <c r="E417" i="23"/>
  <c r="B417" i="23"/>
  <c r="F416" i="23"/>
  <c r="E416" i="23"/>
  <c r="B416" i="23"/>
  <c r="F410" i="23"/>
  <c r="E410" i="23"/>
  <c r="D410" i="23"/>
  <c r="C410" i="23"/>
  <c r="B410" i="23"/>
  <c r="E409" i="23"/>
  <c r="D409" i="23"/>
  <c r="C409" i="23"/>
  <c r="E408" i="23"/>
  <c r="D408" i="23"/>
  <c r="C408" i="23"/>
  <c r="E407" i="23"/>
  <c r="D407" i="23"/>
  <c r="C407" i="23"/>
  <c r="E406" i="23"/>
  <c r="D406" i="23"/>
  <c r="C406" i="23"/>
  <c r="E405" i="23"/>
  <c r="D405" i="23"/>
  <c r="C405" i="23"/>
  <c r="E404" i="23"/>
  <c r="D404" i="23"/>
  <c r="C404" i="23"/>
  <c r="E403" i="23"/>
  <c r="D403" i="23"/>
  <c r="C403" i="23"/>
  <c r="E402" i="23"/>
  <c r="D402" i="23"/>
  <c r="C402" i="23"/>
  <c r="E401" i="23"/>
  <c r="D401" i="23"/>
  <c r="C401" i="23"/>
  <c r="E400" i="23"/>
  <c r="D400" i="23"/>
  <c r="C400" i="23"/>
  <c r="E399" i="23"/>
  <c r="D399" i="23"/>
  <c r="C399" i="23"/>
  <c r="E398" i="23"/>
  <c r="D398" i="23"/>
  <c r="C398" i="23"/>
  <c r="E397" i="23"/>
  <c r="D397" i="23"/>
  <c r="C397" i="23"/>
  <c r="E396" i="23"/>
  <c r="D396" i="23"/>
  <c r="C396" i="23"/>
  <c r="E395" i="23"/>
  <c r="D395" i="23"/>
  <c r="C395" i="23"/>
  <c r="E394" i="23"/>
  <c r="D394" i="23"/>
  <c r="C394" i="23"/>
  <c r="E393" i="23"/>
  <c r="D393" i="23"/>
  <c r="C393" i="23"/>
  <c r="E392" i="23"/>
  <c r="D392" i="23"/>
  <c r="C392" i="23"/>
  <c r="E391" i="23"/>
  <c r="D391" i="23"/>
  <c r="C391" i="23"/>
  <c r="E390" i="23"/>
  <c r="D390" i="23"/>
  <c r="C390" i="23"/>
  <c r="E389" i="23"/>
  <c r="D389" i="23"/>
  <c r="C389" i="23"/>
  <c r="E388" i="23"/>
  <c r="D388" i="23"/>
  <c r="C388" i="23"/>
  <c r="E387" i="23"/>
  <c r="D387" i="23"/>
  <c r="C387" i="23"/>
  <c r="E386" i="23"/>
  <c r="D386" i="23"/>
  <c r="C386" i="23"/>
  <c r="E385" i="23"/>
  <c r="D385" i="23"/>
  <c r="C385" i="23"/>
  <c r="E384" i="23"/>
  <c r="D384" i="23"/>
  <c r="C384" i="23"/>
  <c r="E383" i="23"/>
  <c r="D383" i="23"/>
  <c r="C383" i="23"/>
  <c r="E382" i="23"/>
  <c r="D382" i="23"/>
  <c r="C382" i="23"/>
  <c r="E381" i="23"/>
  <c r="D381" i="23"/>
  <c r="C381" i="23"/>
  <c r="E380" i="23"/>
  <c r="D380" i="23"/>
  <c r="C380" i="23"/>
  <c r="E379" i="23"/>
  <c r="D379" i="23"/>
  <c r="C379" i="23"/>
  <c r="E378" i="23"/>
  <c r="D378" i="23"/>
  <c r="C378" i="23"/>
  <c r="E377" i="23"/>
  <c r="D377" i="23"/>
  <c r="C377" i="23"/>
  <c r="E376" i="23"/>
  <c r="D376" i="23"/>
  <c r="C376" i="23"/>
  <c r="E375" i="23"/>
  <c r="D375" i="23"/>
  <c r="C375" i="23"/>
  <c r="F369" i="23"/>
  <c r="E369" i="23"/>
  <c r="D369" i="23"/>
  <c r="C369" i="23"/>
  <c r="B369" i="23"/>
  <c r="F368" i="23"/>
  <c r="D368" i="23"/>
  <c r="C368" i="23"/>
  <c r="F367" i="23"/>
  <c r="D367" i="23"/>
  <c r="C367" i="23"/>
  <c r="F366" i="23"/>
  <c r="D366" i="23"/>
  <c r="C366" i="23"/>
  <c r="F365" i="23"/>
  <c r="D365" i="23"/>
  <c r="C365" i="23"/>
  <c r="F364" i="23"/>
  <c r="D364" i="23"/>
  <c r="C364" i="23"/>
  <c r="F363" i="23"/>
  <c r="D363" i="23"/>
  <c r="C363" i="23"/>
  <c r="F362" i="23"/>
  <c r="D362" i="23"/>
  <c r="C362" i="23"/>
  <c r="F361" i="23"/>
  <c r="D361" i="23"/>
  <c r="C361" i="23"/>
  <c r="F360" i="23"/>
  <c r="D360" i="23"/>
  <c r="C360" i="23"/>
  <c r="F359" i="23"/>
  <c r="D359" i="23"/>
  <c r="C359" i="23"/>
  <c r="F358" i="23"/>
  <c r="D358" i="23"/>
  <c r="C358" i="23"/>
  <c r="F357" i="23"/>
  <c r="D357" i="23"/>
  <c r="C357" i="23"/>
  <c r="F356" i="23"/>
  <c r="D356" i="23"/>
  <c r="C356" i="23"/>
  <c r="F355" i="23"/>
  <c r="D355" i="23"/>
  <c r="C355" i="23"/>
  <c r="F354" i="23"/>
  <c r="D354" i="23"/>
  <c r="C354" i="23"/>
  <c r="F353" i="23"/>
  <c r="D353" i="23"/>
  <c r="C353" i="23"/>
  <c r="F352" i="23"/>
  <c r="D352" i="23"/>
  <c r="C352" i="23"/>
  <c r="F351" i="23"/>
  <c r="D351" i="23"/>
  <c r="C351" i="23"/>
  <c r="F350" i="23"/>
  <c r="D350" i="23"/>
  <c r="C350" i="23"/>
  <c r="F349" i="23"/>
  <c r="D349" i="23"/>
  <c r="C349" i="23"/>
  <c r="F348" i="23"/>
  <c r="D348" i="23"/>
  <c r="C348" i="23"/>
  <c r="F347" i="23"/>
  <c r="D347" i="23"/>
  <c r="C347" i="23"/>
  <c r="F346" i="23"/>
  <c r="D346" i="23"/>
  <c r="C346" i="23"/>
  <c r="F345" i="23"/>
  <c r="D345" i="23"/>
  <c r="C345" i="23"/>
  <c r="F344" i="23"/>
  <c r="D344" i="23"/>
  <c r="C344" i="23"/>
  <c r="F343" i="23"/>
  <c r="D343" i="23"/>
  <c r="C343" i="23"/>
  <c r="F342" i="23"/>
  <c r="D342" i="23"/>
  <c r="C342" i="23"/>
  <c r="F341" i="23"/>
  <c r="D341" i="23"/>
  <c r="C341" i="23"/>
  <c r="F340" i="23"/>
  <c r="D340" i="23"/>
  <c r="C340" i="23"/>
  <c r="F339" i="23"/>
  <c r="D339" i="23"/>
  <c r="C339" i="23"/>
  <c r="F338" i="23"/>
  <c r="D338" i="23"/>
  <c r="C338" i="23"/>
  <c r="F337" i="23"/>
  <c r="D337" i="23"/>
  <c r="C337" i="23"/>
  <c r="F336" i="23"/>
  <c r="D336" i="23"/>
  <c r="C336" i="23"/>
  <c r="F335" i="23"/>
  <c r="D335" i="23"/>
  <c r="C335" i="23"/>
  <c r="F334" i="23"/>
  <c r="D334" i="23"/>
  <c r="C334" i="23"/>
  <c r="F328" i="23"/>
  <c r="E328" i="23"/>
  <c r="D328" i="23"/>
  <c r="C328" i="23"/>
  <c r="B328" i="23"/>
  <c r="F327" i="23"/>
  <c r="E327" i="23"/>
  <c r="C327" i="23"/>
  <c r="F326" i="23"/>
  <c r="E326" i="23"/>
  <c r="C326" i="23"/>
  <c r="F325" i="23"/>
  <c r="E325" i="23"/>
  <c r="C325" i="23"/>
  <c r="F324" i="23"/>
  <c r="E324" i="23"/>
  <c r="C324" i="23"/>
  <c r="F323" i="23"/>
  <c r="E323" i="23"/>
  <c r="C323" i="23"/>
  <c r="F322" i="23"/>
  <c r="E322" i="23"/>
  <c r="C322" i="23"/>
  <c r="F321" i="23"/>
  <c r="E321" i="23"/>
  <c r="C321" i="23"/>
  <c r="F320" i="23"/>
  <c r="E320" i="23"/>
  <c r="C320" i="23"/>
  <c r="F319" i="23"/>
  <c r="E319" i="23"/>
  <c r="C319" i="23"/>
  <c r="F318" i="23"/>
  <c r="E318" i="23"/>
  <c r="C318" i="23"/>
  <c r="F317" i="23"/>
  <c r="E317" i="23"/>
  <c r="C317" i="23"/>
  <c r="F316" i="23"/>
  <c r="E316" i="23"/>
  <c r="C316" i="23"/>
  <c r="F315" i="23"/>
  <c r="E315" i="23"/>
  <c r="C315" i="23"/>
  <c r="F314" i="23"/>
  <c r="E314" i="23"/>
  <c r="C314" i="23"/>
  <c r="F313" i="23"/>
  <c r="E313" i="23"/>
  <c r="C313" i="23"/>
  <c r="F312" i="23"/>
  <c r="E312" i="23"/>
  <c r="C312" i="23"/>
  <c r="F311" i="23"/>
  <c r="E311" i="23"/>
  <c r="C311" i="23"/>
  <c r="F310" i="23"/>
  <c r="E310" i="23"/>
  <c r="C310" i="23"/>
  <c r="F309" i="23"/>
  <c r="E309" i="23"/>
  <c r="C309" i="23"/>
  <c r="F308" i="23"/>
  <c r="E308" i="23"/>
  <c r="C308" i="23"/>
  <c r="F307" i="23"/>
  <c r="E307" i="23"/>
  <c r="C307" i="23"/>
  <c r="F306" i="23"/>
  <c r="E306" i="23"/>
  <c r="C306" i="23"/>
  <c r="F305" i="23"/>
  <c r="E305" i="23"/>
  <c r="C305" i="23"/>
  <c r="F304" i="23"/>
  <c r="E304" i="23"/>
  <c r="C304" i="23"/>
  <c r="F303" i="23"/>
  <c r="E303" i="23"/>
  <c r="C303" i="23"/>
  <c r="F302" i="23"/>
  <c r="E302" i="23"/>
  <c r="C302" i="23"/>
  <c r="F301" i="23"/>
  <c r="E301" i="23"/>
  <c r="C301" i="23"/>
  <c r="F300" i="23"/>
  <c r="E300" i="23"/>
  <c r="C300" i="23"/>
  <c r="F299" i="23"/>
  <c r="E299" i="23"/>
  <c r="C299" i="23"/>
  <c r="F298" i="23"/>
  <c r="E298" i="23"/>
  <c r="C298" i="23"/>
  <c r="F297" i="23"/>
  <c r="E297" i="23"/>
  <c r="C297" i="23"/>
  <c r="F296" i="23"/>
  <c r="E296" i="23"/>
  <c r="C296" i="23"/>
  <c r="F295" i="23"/>
  <c r="E295" i="23"/>
  <c r="C295" i="23"/>
  <c r="F294" i="23"/>
  <c r="E294" i="23"/>
  <c r="C294" i="23"/>
  <c r="F293" i="23"/>
  <c r="E293" i="23"/>
  <c r="C293" i="23"/>
  <c r="F287" i="23"/>
  <c r="E287" i="23"/>
  <c r="D287" i="23"/>
  <c r="C287" i="23"/>
  <c r="B287" i="23"/>
  <c r="F286" i="23"/>
  <c r="E286" i="23"/>
  <c r="D286" i="23"/>
  <c r="F285" i="23"/>
  <c r="E285" i="23"/>
  <c r="D285" i="23"/>
  <c r="F284" i="23"/>
  <c r="E284" i="23"/>
  <c r="D284" i="23"/>
  <c r="F283" i="23"/>
  <c r="E283" i="23"/>
  <c r="D283" i="23"/>
  <c r="F282" i="23"/>
  <c r="E282" i="23"/>
  <c r="D282" i="23"/>
  <c r="F281" i="23"/>
  <c r="E281" i="23"/>
  <c r="D281" i="23"/>
  <c r="F280" i="23"/>
  <c r="E280" i="23"/>
  <c r="D280" i="23"/>
  <c r="F279" i="23"/>
  <c r="E279" i="23"/>
  <c r="D279" i="23"/>
  <c r="F278" i="23"/>
  <c r="E278" i="23"/>
  <c r="D278" i="23"/>
  <c r="F277" i="23"/>
  <c r="E277" i="23"/>
  <c r="D277" i="23"/>
  <c r="F276" i="23"/>
  <c r="E276" i="23"/>
  <c r="D276" i="23"/>
  <c r="F275" i="23"/>
  <c r="E275" i="23"/>
  <c r="D275" i="23"/>
  <c r="F274" i="23"/>
  <c r="E274" i="23"/>
  <c r="D274" i="23"/>
  <c r="F273" i="23"/>
  <c r="E273" i="23"/>
  <c r="D273" i="23"/>
  <c r="F272" i="23"/>
  <c r="E272" i="23"/>
  <c r="D272" i="23"/>
  <c r="F271" i="23"/>
  <c r="E271" i="23"/>
  <c r="D271" i="23"/>
  <c r="F270" i="23"/>
  <c r="E270" i="23"/>
  <c r="D270" i="23"/>
  <c r="F269" i="23"/>
  <c r="E269" i="23"/>
  <c r="D269" i="23"/>
  <c r="F268" i="23"/>
  <c r="E268" i="23"/>
  <c r="D268" i="23"/>
  <c r="F267" i="23"/>
  <c r="E267" i="23"/>
  <c r="D267" i="23"/>
  <c r="F266" i="23"/>
  <c r="E266" i="23"/>
  <c r="D266" i="23"/>
  <c r="F265" i="23"/>
  <c r="E265" i="23"/>
  <c r="D265" i="23"/>
  <c r="F264" i="23"/>
  <c r="E264" i="23"/>
  <c r="D264" i="23"/>
  <c r="F263" i="23"/>
  <c r="E263" i="23"/>
  <c r="D263" i="23"/>
  <c r="F262" i="23"/>
  <c r="E262" i="23"/>
  <c r="D262" i="23"/>
  <c r="F261" i="23"/>
  <c r="E261" i="23"/>
  <c r="D261" i="23"/>
  <c r="F260" i="23"/>
  <c r="E260" i="23"/>
  <c r="D260" i="23"/>
  <c r="F259" i="23"/>
  <c r="E259" i="23"/>
  <c r="D259" i="23"/>
  <c r="F258" i="23"/>
  <c r="E258" i="23"/>
  <c r="D258" i="23"/>
  <c r="F257" i="23"/>
  <c r="E257" i="23"/>
  <c r="D257" i="23"/>
  <c r="F256" i="23"/>
  <c r="E256" i="23"/>
  <c r="D256" i="23"/>
  <c r="F255" i="23"/>
  <c r="E255" i="23"/>
  <c r="D255" i="23"/>
  <c r="F254" i="23"/>
  <c r="E254" i="23"/>
  <c r="D254" i="23"/>
  <c r="F253" i="23"/>
  <c r="E253" i="23"/>
  <c r="D253" i="23"/>
  <c r="F252" i="23"/>
  <c r="E252" i="23"/>
  <c r="D252" i="23"/>
  <c r="F246" i="23"/>
  <c r="E246" i="23"/>
  <c r="D246" i="23"/>
  <c r="C246" i="23"/>
  <c r="B246" i="23"/>
  <c r="E245" i="23"/>
  <c r="D245" i="23"/>
  <c r="C245" i="23"/>
  <c r="B245" i="23"/>
  <c r="E244" i="23"/>
  <c r="D244" i="23"/>
  <c r="C244" i="23"/>
  <c r="B244" i="23"/>
  <c r="E243" i="23"/>
  <c r="D243" i="23"/>
  <c r="C243" i="23"/>
  <c r="B243" i="23"/>
  <c r="E242" i="23"/>
  <c r="D242" i="23"/>
  <c r="C242" i="23"/>
  <c r="B242" i="23"/>
  <c r="E241" i="23"/>
  <c r="D241" i="23"/>
  <c r="C241" i="23"/>
  <c r="B241" i="23"/>
  <c r="E240" i="23"/>
  <c r="D240" i="23"/>
  <c r="C240" i="23"/>
  <c r="B240" i="23"/>
  <c r="E239" i="23"/>
  <c r="D239" i="23"/>
  <c r="C239" i="23"/>
  <c r="B239" i="23"/>
  <c r="E238" i="23"/>
  <c r="D238" i="23"/>
  <c r="C238" i="23"/>
  <c r="B238" i="23"/>
  <c r="E237" i="23"/>
  <c r="D237" i="23"/>
  <c r="C237" i="23"/>
  <c r="B237" i="23"/>
  <c r="E236" i="23"/>
  <c r="D236" i="23"/>
  <c r="C236" i="23"/>
  <c r="B236" i="23"/>
  <c r="E235" i="23"/>
  <c r="D235" i="23"/>
  <c r="C235" i="23"/>
  <c r="B235" i="23"/>
  <c r="E234" i="23"/>
  <c r="D234" i="23"/>
  <c r="C234" i="23"/>
  <c r="B234" i="23"/>
  <c r="E233" i="23"/>
  <c r="D233" i="23"/>
  <c r="C233" i="23"/>
  <c r="B233" i="23"/>
  <c r="E232" i="23"/>
  <c r="D232" i="23"/>
  <c r="C232" i="23"/>
  <c r="B232" i="23"/>
  <c r="E231" i="23"/>
  <c r="D231" i="23"/>
  <c r="C231" i="23"/>
  <c r="B231" i="23"/>
  <c r="E230" i="23"/>
  <c r="D230" i="23"/>
  <c r="C230" i="23"/>
  <c r="B230" i="23"/>
  <c r="E229" i="23"/>
  <c r="D229" i="23"/>
  <c r="C229" i="23"/>
  <c r="B229" i="23"/>
  <c r="E228" i="23"/>
  <c r="D228" i="23"/>
  <c r="C228" i="23"/>
  <c r="B228" i="23"/>
  <c r="E227" i="23"/>
  <c r="D227" i="23"/>
  <c r="C227" i="23"/>
  <c r="B227" i="23"/>
  <c r="E226" i="23"/>
  <c r="D226" i="23"/>
  <c r="C226" i="23"/>
  <c r="B226" i="23"/>
  <c r="E225" i="23"/>
  <c r="D225" i="23"/>
  <c r="C225" i="23"/>
  <c r="B225" i="23"/>
  <c r="E224" i="23"/>
  <c r="D224" i="23"/>
  <c r="C224" i="23"/>
  <c r="B224" i="23"/>
  <c r="E223" i="23"/>
  <c r="D223" i="23"/>
  <c r="C223" i="23"/>
  <c r="B223" i="23"/>
  <c r="E222" i="23"/>
  <c r="D222" i="23"/>
  <c r="C222" i="23"/>
  <c r="B222" i="23"/>
  <c r="E221" i="23"/>
  <c r="D221" i="23"/>
  <c r="C221" i="23"/>
  <c r="B221" i="23"/>
  <c r="E220" i="23"/>
  <c r="D220" i="23"/>
  <c r="C220" i="23"/>
  <c r="B220" i="23"/>
  <c r="E219" i="23"/>
  <c r="D219" i="23"/>
  <c r="C219" i="23"/>
  <c r="B219" i="23"/>
  <c r="E218" i="23"/>
  <c r="D218" i="23"/>
  <c r="C218" i="23"/>
  <c r="B218" i="23"/>
  <c r="E217" i="23"/>
  <c r="D217" i="23"/>
  <c r="C217" i="23"/>
  <c r="B217" i="23"/>
  <c r="E216" i="23"/>
  <c r="D216" i="23"/>
  <c r="C216" i="23"/>
  <c r="B216" i="23"/>
  <c r="E215" i="23"/>
  <c r="D215" i="23"/>
  <c r="C215" i="23"/>
  <c r="B215" i="23"/>
  <c r="E214" i="23"/>
  <c r="D214" i="23"/>
  <c r="C214" i="23"/>
  <c r="B214" i="23"/>
  <c r="E213" i="23"/>
  <c r="D213" i="23"/>
  <c r="C213" i="23"/>
  <c r="B213" i="23"/>
  <c r="E212" i="23"/>
  <c r="D212" i="23"/>
  <c r="C212" i="23"/>
  <c r="B212" i="23"/>
  <c r="E211" i="23"/>
  <c r="D211" i="23"/>
  <c r="C211" i="23"/>
  <c r="B211" i="23"/>
  <c r="F205" i="23"/>
  <c r="E205" i="23"/>
  <c r="D205" i="23"/>
  <c r="C205" i="23"/>
  <c r="B205" i="23"/>
  <c r="F204" i="23"/>
  <c r="D204" i="23"/>
  <c r="C204" i="23"/>
  <c r="B204" i="23"/>
  <c r="F203" i="23"/>
  <c r="D203" i="23"/>
  <c r="C203" i="23"/>
  <c r="B203" i="23"/>
  <c r="F202" i="23"/>
  <c r="D202" i="23"/>
  <c r="C202" i="23"/>
  <c r="B202" i="23"/>
  <c r="F201" i="23"/>
  <c r="D201" i="23"/>
  <c r="C201" i="23"/>
  <c r="B201" i="23"/>
  <c r="F200" i="23"/>
  <c r="D200" i="23"/>
  <c r="C200" i="23"/>
  <c r="B200" i="23"/>
  <c r="F199" i="23"/>
  <c r="D199" i="23"/>
  <c r="C199" i="23"/>
  <c r="B199" i="23"/>
  <c r="F198" i="23"/>
  <c r="D198" i="23"/>
  <c r="C198" i="23"/>
  <c r="B198" i="23"/>
  <c r="F197" i="23"/>
  <c r="D197" i="23"/>
  <c r="C197" i="23"/>
  <c r="B197" i="23"/>
  <c r="F196" i="23"/>
  <c r="D196" i="23"/>
  <c r="C196" i="23"/>
  <c r="B196" i="23"/>
  <c r="F195" i="23"/>
  <c r="D195" i="23"/>
  <c r="C195" i="23"/>
  <c r="B195" i="23"/>
  <c r="F194" i="23"/>
  <c r="D194" i="23"/>
  <c r="C194" i="23"/>
  <c r="B194" i="23"/>
  <c r="F193" i="23"/>
  <c r="D193" i="23"/>
  <c r="C193" i="23"/>
  <c r="B193" i="23"/>
  <c r="F192" i="23"/>
  <c r="D192" i="23"/>
  <c r="C192" i="23"/>
  <c r="B192" i="23"/>
  <c r="F191" i="23"/>
  <c r="D191" i="23"/>
  <c r="C191" i="23"/>
  <c r="B191" i="23"/>
  <c r="F190" i="23"/>
  <c r="D190" i="23"/>
  <c r="C190" i="23"/>
  <c r="B190" i="23"/>
  <c r="F189" i="23"/>
  <c r="D189" i="23"/>
  <c r="C189" i="23"/>
  <c r="B189" i="23"/>
  <c r="F188" i="23"/>
  <c r="D188" i="23"/>
  <c r="C188" i="23"/>
  <c r="B188" i="23"/>
  <c r="F187" i="23"/>
  <c r="D187" i="23"/>
  <c r="C187" i="23"/>
  <c r="B187" i="23"/>
  <c r="G187" i="23" s="1"/>
  <c r="F186" i="23"/>
  <c r="D186" i="23"/>
  <c r="C186" i="23"/>
  <c r="B186" i="23"/>
  <c r="F185" i="23"/>
  <c r="D185" i="23"/>
  <c r="C185" i="23"/>
  <c r="B185" i="23"/>
  <c r="F184" i="23"/>
  <c r="D184" i="23"/>
  <c r="C184" i="23"/>
  <c r="B184" i="23"/>
  <c r="F183" i="23"/>
  <c r="D183" i="23"/>
  <c r="C183" i="23"/>
  <c r="B183" i="23"/>
  <c r="F182" i="23"/>
  <c r="D182" i="23"/>
  <c r="C182" i="23"/>
  <c r="B182" i="23"/>
  <c r="F181" i="23"/>
  <c r="D181" i="23"/>
  <c r="C181" i="23"/>
  <c r="B181" i="23"/>
  <c r="F180" i="23"/>
  <c r="D180" i="23"/>
  <c r="C180" i="23"/>
  <c r="B180" i="23"/>
  <c r="F179" i="23"/>
  <c r="D179" i="23"/>
  <c r="C179" i="23"/>
  <c r="B179" i="23"/>
  <c r="F178" i="23"/>
  <c r="D178" i="23"/>
  <c r="C178" i="23"/>
  <c r="B178" i="23"/>
  <c r="F177" i="23"/>
  <c r="D177" i="23"/>
  <c r="C177" i="23"/>
  <c r="B177" i="23"/>
  <c r="F176" i="23"/>
  <c r="D176" i="23"/>
  <c r="C176" i="23"/>
  <c r="B176" i="23"/>
  <c r="F175" i="23"/>
  <c r="D175" i="23"/>
  <c r="C175" i="23"/>
  <c r="B175" i="23"/>
  <c r="F174" i="23"/>
  <c r="D174" i="23"/>
  <c r="C174" i="23"/>
  <c r="B174" i="23"/>
  <c r="F173" i="23"/>
  <c r="D173" i="23"/>
  <c r="C173" i="23"/>
  <c r="B173" i="23"/>
  <c r="F172" i="23"/>
  <c r="D172" i="23"/>
  <c r="C172" i="23"/>
  <c r="B172" i="23"/>
  <c r="F171" i="23"/>
  <c r="D171" i="23"/>
  <c r="C171" i="23"/>
  <c r="B171" i="23"/>
  <c r="F170" i="23"/>
  <c r="D170" i="23"/>
  <c r="C170" i="23"/>
  <c r="B170" i="23"/>
  <c r="F162" i="23"/>
  <c r="E162" i="23"/>
  <c r="D162" i="23"/>
  <c r="C162" i="23"/>
  <c r="B162" i="23"/>
  <c r="F161" i="23"/>
  <c r="E161" i="23"/>
  <c r="C161" i="23"/>
  <c r="B161" i="23"/>
  <c r="F160" i="23"/>
  <c r="E160" i="23"/>
  <c r="C160" i="23"/>
  <c r="B160" i="23"/>
  <c r="F159" i="23"/>
  <c r="E159" i="23"/>
  <c r="C159" i="23"/>
  <c r="B159" i="23"/>
  <c r="F158" i="23"/>
  <c r="E158" i="23"/>
  <c r="C158" i="23"/>
  <c r="B158" i="23"/>
  <c r="F157" i="23"/>
  <c r="E157" i="23"/>
  <c r="C157" i="23"/>
  <c r="B157" i="23"/>
  <c r="F156" i="23"/>
  <c r="E156" i="23"/>
  <c r="C156" i="23"/>
  <c r="B156" i="23"/>
  <c r="G156" i="23" s="1"/>
  <c r="F155" i="23"/>
  <c r="E155" i="23"/>
  <c r="C155" i="23"/>
  <c r="B155" i="23"/>
  <c r="F154" i="23"/>
  <c r="E154" i="23"/>
  <c r="C154" i="23"/>
  <c r="B154" i="23"/>
  <c r="F153" i="23"/>
  <c r="E153" i="23"/>
  <c r="C153" i="23"/>
  <c r="B153" i="23"/>
  <c r="F152" i="23"/>
  <c r="E152" i="23"/>
  <c r="C152" i="23"/>
  <c r="B152" i="23"/>
  <c r="F151" i="23"/>
  <c r="E151" i="23"/>
  <c r="C151" i="23"/>
  <c r="B151" i="23"/>
  <c r="F150" i="23"/>
  <c r="E150" i="23"/>
  <c r="C150" i="23"/>
  <c r="B150" i="23"/>
  <c r="G150" i="23" s="1"/>
  <c r="F149" i="23"/>
  <c r="E149" i="23"/>
  <c r="C149" i="23"/>
  <c r="B149" i="23"/>
  <c r="F148" i="23"/>
  <c r="E148" i="23"/>
  <c r="C148" i="23"/>
  <c r="B148" i="23"/>
  <c r="F147" i="23"/>
  <c r="E147" i="23"/>
  <c r="C147" i="23"/>
  <c r="B147" i="23"/>
  <c r="F146" i="23"/>
  <c r="E146" i="23"/>
  <c r="C146" i="23"/>
  <c r="B146" i="23"/>
  <c r="F145" i="23"/>
  <c r="E145" i="23"/>
  <c r="C145" i="23"/>
  <c r="B145" i="23"/>
  <c r="F144" i="23"/>
  <c r="E144" i="23"/>
  <c r="C144" i="23"/>
  <c r="B144" i="23"/>
  <c r="F143" i="23"/>
  <c r="E143" i="23"/>
  <c r="C143" i="23"/>
  <c r="B143" i="23"/>
  <c r="F142" i="23"/>
  <c r="E142" i="23"/>
  <c r="C142" i="23"/>
  <c r="B142" i="23"/>
  <c r="F141" i="23"/>
  <c r="E141" i="23"/>
  <c r="C141" i="23"/>
  <c r="B141" i="23"/>
  <c r="F140" i="23"/>
  <c r="E140" i="23"/>
  <c r="C140" i="23"/>
  <c r="B140" i="23"/>
  <c r="G140" i="23" s="1"/>
  <c r="F139" i="23"/>
  <c r="E139" i="23"/>
  <c r="C139" i="23"/>
  <c r="B139" i="23"/>
  <c r="F138" i="23"/>
  <c r="E138" i="23"/>
  <c r="C138" i="23"/>
  <c r="B138" i="23"/>
  <c r="F137" i="23"/>
  <c r="E137" i="23"/>
  <c r="C137" i="23"/>
  <c r="B137" i="23"/>
  <c r="F136" i="23"/>
  <c r="E136" i="23"/>
  <c r="C136" i="23"/>
  <c r="B136" i="23"/>
  <c r="F135" i="23"/>
  <c r="E135" i="23"/>
  <c r="C135" i="23"/>
  <c r="B135" i="23"/>
  <c r="F134" i="23"/>
  <c r="E134" i="23"/>
  <c r="C134" i="23"/>
  <c r="B134" i="23"/>
  <c r="F133" i="23"/>
  <c r="E133" i="23"/>
  <c r="C133" i="23"/>
  <c r="B133" i="23"/>
  <c r="F132" i="23"/>
  <c r="E132" i="23"/>
  <c r="C132" i="23"/>
  <c r="B132" i="23"/>
  <c r="F131" i="23"/>
  <c r="E131" i="23"/>
  <c r="C131" i="23"/>
  <c r="B131" i="23"/>
  <c r="F130" i="23"/>
  <c r="E130" i="23"/>
  <c r="C130" i="23"/>
  <c r="B130" i="23"/>
  <c r="F129" i="23"/>
  <c r="E129" i="23"/>
  <c r="C129" i="23"/>
  <c r="B129" i="23"/>
  <c r="F128" i="23"/>
  <c r="E128" i="23"/>
  <c r="C128" i="23"/>
  <c r="B128" i="23"/>
  <c r="F127" i="23"/>
  <c r="E127" i="23"/>
  <c r="C127" i="23"/>
  <c r="B127" i="23"/>
  <c r="F121" i="23"/>
  <c r="E121" i="23"/>
  <c r="D121" i="23"/>
  <c r="C121" i="23"/>
  <c r="B121" i="23"/>
  <c r="F120" i="23"/>
  <c r="E120" i="23"/>
  <c r="D120" i="23"/>
  <c r="B120" i="23"/>
  <c r="F119" i="23"/>
  <c r="E119" i="23"/>
  <c r="D119" i="23"/>
  <c r="B119" i="23"/>
  <c r="F118" i="23"/>
  <c r="E118" i="23"/>
  <c r="D118" i="23"/>
  <c r="B118" i="23"/>
  <c r="F117" i="23"/>
  <c r="E117" i="23"/>
  <c r="D117" i="23"/>
  <c r="B117" i="23"/>
  <c r="F116" i="23"/>
  <c r="E116" i="23"/>
  <c r="D116" i="23"/>
  <c r="B116" i="23"/>
  <c r="F115" i="23"/>
  <c r="E115" i="23"/>
  <c r="D115" i="23"/>
  <c r="B115" i="23"/>
  <c r="F114" i="23"/>
  <c r="E114" i="23"/>
  <c r="D114" i="23"/>
  <c r="B114" i="23"/>
  <c r="F113" i="23"/>
  <c r="E113" i="23"/>
  <c r="D113" i="23"/>
  <c r="B113" i="23"/>
  <c r="F112" i="23"/>
  <c r="E112" i="23"/>
  <c r="D112" i="23"/>
  <c r="B112" i="23"/>
  <c r="F111" i="23"/>
  <c r="E111" i="23"/>
  <c r="D111" i="23"/>
  <c r="B111" i="23"/>
  <c r="F110" i="23"/>
  <c r="E110" i="23"/>
  <c r="D110" i="23"/>
  <c r="B110" i="23"/>
  <c r="F109" i="23"/>
  <c r="E109" i="23"/>
  <c r="D109" i="23"/>
  <c r="B109" i="23"/>
  <c r="F108" i="23"/>
  <c r="E108" i="23"/>
  <c r="D108" i="23"/>
  <c r="B108" i="23"/>
  <c r="F107" i="23"/>
  <c r="E107" i="23"/>
  <c r="D107" i="23"/>
  <c r="B107" i="23"/>
  <c r="F106" i="23"/>
  <c r="E106" i="23"/>
  <c r="D106" i="23"/>
  <c r="B106" i="23"/>
  <c r="F105" i="23"/>
  <c r="E105" i="23"/>
  <c r="D105" i="23"/>
  <c r="B105" i="23"/>
  <c r="F104" i="23"/>
  <c r="E104" i="23"/>
  <c r="D104" i="23"/>
  <c r="B104" i="23"/>
  <c r="F103" i="23"/>
  <c r="E103" i="23"/>
  <c r="D103" i="23"/>
  <c r="B103" i="23"/>
  <c r="F102" i="23"/>
  <c r="E102" i="23"/>
  <c r="D102" i="23"/>
  <c r="B102" i="23"/>
  <c r="F101" i="23"/>
  <c r="E101" i="23"/>
  <c r="D101" i="23"/>
  <c r="B101" i="23"/>
  <c r="F100" i="23"/>
  <c r="E100" i="23"/>
  <c r="D100" i="23"/>
  <c r="B100" i="23"/>
  <c r="F99" i="23"/>
  <c r="E99" i="23"/>
  <c r="D99" i="23"/>
  <c r="B99" i="23"/>
  <c r="F98" i="23"/>
  <c r="E98" i="23"/>
  <c r="D98" i="23"/>
  <c r="B98" i="23"/>
  <c r="F97" i="23"/>
  <c r="E97" i="23"/>
  <c r="D97" i="23"/>
  <c r="B97" i="23"/>
  <c r="F96" i="23"/>
  <c r="E96" i="23"/>
  <c r="D96" i="23"/>
  <c r="B96" i="23"/>
  <c r="F95" i="23"/>
  <c r="E95" i="23"/>
  <c r="D95" i="23"/>
  <c r="B95" i="23"/>
  <c r="F94" i="23"/>
  <c r="E94" i="23"/>
  <c r="D94" i="23"/>
  <c r="B94" i="23"/>
  <c r="F93" i="23"/>
  <c r="E93" i="23"/>
  <c r="D93" i="23"/>
  <c r="B93" i="23"/>
  <c r="F92" i="23"/>
  <c r="E92" i="23"/>
  <c r="D92" i="23"/>
  <c r="B92" i="23"/>
  <c r="F91" i="23"/>
  <c r="E91" i="23"/>
  <c r="D91" i="23"/>
  <c r="B91" i="23"/>
  <c r="F90" i="23"/>
  <c r="E90" i="23"/>
  <c r="D90" i="23"/>
  <c r="B90" i="23"/>
  <c r="F89" i="23"/>
  <c r="E89" i="23"/>
  <c r="D89" i="23"/>
  <c r="B89" i="23"/>
  <c r="F88" i="23"/>
  <c r="E88" i="23"/>
  <c r="D88" i="23"/>
  <c r="B88" i="23"/>
  <c r="F87" i="23"/>
  <c r="E87" i="23"/>
  <c r="D87" i="23"/>
  <c r="B87" i="23"/>
  <c r="F86" i="23"/>
  <c r="E86" i="23"/>
  <c r="D86" i="23"/>
  <c r="B86" i="23"/>
  <c r="B46" i="23"/>
  <c r="B47" i="23"/>
  <c r="B48" i="23"/>
  <c r="B49" i="23"/>
  <c r="B50" i="23"/>
  <c r="B51" i="23"/>
  <c r="B52" i="23"/>
  <c r="B53" i="23"/>
  <c r="B54" i="23"/>
  <c r="B55" i="23"/>
  <c r="B56" i="23"/>
  <c r="B57" i="23"/>
  <c r="B58" i="23"/>
  <c r="B59" i="23"/>
  <c r="B60" i="23"/>
  <c r="B61" i="23"/>
  <c r="B62" i="23"/>
  <c r="B63" i="23"/>
  <c r="B64" i="23"/>
  <c r="B65" i="23"/>
  <c r="B66" i="23"/>
  <c r="B67" i="23"/>
  <c r="B68" i="23"/>
  <c r="B69" i="23"/>
  <c r="B70" i="23"/>
  <c r="B71" i="23"/>
  <c r="B72" i="23"/>
  <c r="B73" i="23"/>
  <c r="B74" i="23"/>
  <c r="B75" i="23"/>
  <c r="B76" i="23"/>
  <c r="B77" i="23"/>
  <c r="B78" i="23"/>
  <c r="B79" i="23"/>
  <c r="B45" i="23"/>
  <c r="C46" i="23"/>
  <c r="F80" i="23"/>
  <c r="E80" i="23"/>
  <c r="D80" i="23"/>
  <c r="C80" i="23"/>
  <c r="B80" i="23"/>
  <c r="G80" i="23" s="1"/>
  <c r="F79" i="23"/>
  <c r="E79" i="23"/>
  <c r="D79" i="23"/>
  <c r="C79" i="23"/>
  <c r="F78" i="23"/>
  <c r="E78" i="23"/>
  <c r="D78" i="23"/>
  <c r="C78" i="23"/>
  <c r="F77" i="23"/>
  <c r="E77" i="23"/>
  <c r="D77" i="23"/>
  <c r="C77" i="23"/>
  <c r="F76" i="23"/>
  <c r="E76" i="23"/>
  <c r="D76" i="23"/>
  <c r="C76" i="23"/>
  <c r="F75" i="23"/>
  <c r="E75" i="23"/>
  <c r="D75" i="23"/>
  <c r="C75" i="23"/>
  <c r="F74" i="23"/>
  <c r="E74" i="23"/>
  <c r="D74" i="23"/>
  <c r="C74" i="23"/>
  <c r="F73" i="23"/>
  <c r="E73" i="23"/>
  <c r="D73" i="23"/>
  <c r="C73" i="23"/>
  <c r="F72" i="23"/>
  <c r="E72" i="23"/>
  <c r="D72" i="23"/>
  <c r="C72" i="23"/>
  <c r="F71" i="23"/>
  <c r="E71" i="23"/>
  <c r="D71" i="23"/>
  <c r="C71" i="23"/>
  <c r="F70" i="23"/>
  <c r="E70" i="23"/>
  <c r="D70" i="23"/>
  <c r="C70" i="23"/>
  <c r="F69" i="23"/>
  <c r="E69" i="23"/>
  <c r="D69" i="23"/>
  <c r="C69" i="23"/>
  <c r="F68" i="23"/>
  <c r="E68" i="23"/>
  <c r="D68" i="23"/>
  <c r="C68" i="23"/>
  <c r="F67" i="23"/>
  <c r="E67" i="23"/>
  <c r="D67" i="23"/>
  <c r="C67" i="23"/>
  <c r="F66" i="23"/>
  <c r="E66" i="23"/>
  <c r="D66" i="23"/>
  <c r="C66" i="23"/>
  <c r="F65" i="23"/>
  <c r="E65" i="23"/>
  <c r="D65" i="23"/>
  <c r="C65" i="23"/>
  <c r="F64" i="23"/>
  <c r="E64" i="23"/>
  <c r="D64" i="23"/>
  <c r="C64" i="23"/>
  <c r="F63" i="23"/>
  <c r="E63" i="23"/>
  <c r="D63" i="23"/>
  <c r="C63" i="23"/>
  <c r="F62" i="23"/>
  <c r="E62" i="23"/>
  <c r="D62" i="23"/>
  <c r="C62" i="23"/>
  <c r="F61" i="23"/>
  <c r="E61" i="23"/>
  <c r="D61" i="23"/>
  <c r="C61" i="23"/>
  <c r="F60" i="23"/>
  <c r="E60" i="23"/>
  <c r="D60" i="23"/>
  <c r="C60" i="23"/>
  <c r="F59" i="23"/>
  <c r="E59" i="23"/>
  <c r="D59" i="23"/>
  <c r="C59" i="23"/>
  <c r="F58" i="23"/>
  <c r="E58" i="23"/>
  <c r="D58" i="23"/>
  <c r="C58" i="23"/>
  <c r="F57" i="23"/>
  <c r="E57" i="23"/>
  <c r="D57" i="23"/>
  <c r="C57" i="23"/>
  <c r="F56" i="23"/>
  <c r="E56" i="23"/>
  <c r="D56" i="23"/>
  <c r="C56" i="23"/>
  <c r="F55" i="23"/>
  <c r="E55" i="23"/>
  <c r="D55" i="23"/>
  <c r="C55" i="23"/>
  <c r="F54" i="23"/>
  <c r="E54" i="23"/>
  <c r="D54" i="23"/>
  <c r="C54" i="23"/>
  <c r="F53" i="23"/>
  <c r="E53" i="23"/>
  <c r="D53" i="23"/>
  <c r="C53" i="23"/>
  <c r="F52" i="23"/>
  <c r="E52" i="23"/>
  <c r="D52" i="23"/>
  <c r="C52" i="23"/>
  <c r="F51" i="23"/>
  <c r="E51" i="23"/>
  <c r="D51" i="23"/>
  <c r="C51" i="23"/>
  <c r="F50" i="23"/>
  <c r="E50" i="23"/>
  <c r="D50" i="23"/>
  <c r="C50" i="23"/>
  <c r="F49" i="23"/>
  <c r="E49" i="23"/>
  <c r="D49" i="23"/>
  <c r="C49" i="23"/>
  <c r="F48" i="23"/>
  <c r="E48" i="23"/>
  <c r="D48" i="23"/>
  <c r="C48" i="23"/>
  <c r="F47" i="23"/>
  <c r="E47" i="23"/>
  <c r="D47" i="23"/>
  <c r="C47" i="23"/>
  <c r="F46" i="23"/>
  <c r="E46" i="23"/>
  <c r="D46" i="23"/>
  <c r="F45" i="23"/>
  <c r="E45" i="23"/>
  <c r="D45" i="23"/>
  <c r="C45" i="23"/>
  <c r="G45" i="23"/>
  <c r="V22" i="18"/>
  <c r="V23" i="18"/>
  <c r="B17" i="23" s="1"/>
  <c r="V24" i="18"/>
  <c r="B18" i="23" s="1"/>
  <c r="V25" i="18"/>
  <c r="B20" i="23" s="1"/>
  <c r="V26" i="18"/>
  <c r="B30" i="23" s="1"/>
  <c r="V27" i="18"/>
  <c r="B31" i="23" s="1"/>
  <c r="V28" i="18"/>
  <c r="V29" i="18"/>
  <c r="B24" i="23" s="1"/>
  <c r="V21" i="18"/>
  <c r="B5" i="23" s="1"/>
  <c r="F5" i="23"/>
  <c r="F6" i="23"/>
  <c r="F7" i="23"/>
  <c r="F8" i="23"/>
  <c r="F10" i="23"/>
  <c r="F11" i="23"/>
  <c r="F12" i="23"/>
  <c r="F13" i="23"/>
  <c r="F14" i="23"/>
  <c r="F9" i="23"/>
  <c r="F15" i="23"/>
  <c r="F16" i="23"/>
  <c r="F17" i="23"/>
  <c r="F18" i="23"/>
  <c r="F20" i="23"/>
  <c r="F21" i="23"/>
  <c r="F22" i="23"/>
  <c r="F23" i="23"/>
  <c r="F24" i="23"/>
  <c r="F19" i="23"/>
  <c r="F25" i="23"/>
  <c r="F26" i="23"/>
  <c r="F27" i="23"/>
  <c r="F28" i="23"/>
  <c r="F29" i="23"/>
  <c r="F30" i="23"/>
  <c r="F31" i="23"/>
  <c r="F32" i="23"/>
  <c r="F33" i="23"/>
  <c r="F34" i="23"/>
  <c r="F35" i="23"/>
  <c r="F36" i="23"/>
  <c r="F37" i="23"/>
  <c r="F38" i="23"/>
  <c r="F39" i="23"/>
  <c r="E5" i="23"/>
  <c r="E6" i="23"/>
  <c r="E7" i="23"/>
  <c r="E8" i="23"/>
  <c r="E10" i="23"/>
  <c r="E11" i="23"/>
  <c r="E12" i="23"/>
  <c r="E13" i="23"/>
  <c r="E14" i="23"/>
  <c r="E9" i="23"/>
  <c r="E15" i="23"/>
  <c r="E16" i="23"/>
  <c r="E17" i="23"/>
  <c r="E18" i="23"/>
  <c r="E20" i="23"/>
  <c r="E21" i="23"/>
  <c r="E22" i="23"/>
  <c r="E23" i="23"/>
  <c r="E24" i="23"/>
  <c r="E19" i="23"/>
  <c r="E25" i="23"/>
  <c r="E26" i="23"/>
  <c r="E27" i="23"/>
  <c r="E28" i="23"/>
  <c r="E29" i="23"/>
  <c r="E30" i="23"/>
  <c r="E31" i="23"/>
  <c r="E32" i="23"/>
  <c r="E33" i="23"/>
  <c r="E34" i="23"/>
  <c r="E35" i="23"/>
  <c r="E36" i="23"/>
  <c r="E37" i="23"/>
  <c r="E38" i="23"/>
  <c r="E39" i="23"/>
  <c r="D5" i="23"/>
  <c r="D6" i="23"/>
  <c r="D7" i="23"/>
  <c r="D8" i="23"/>
  <c r="D10" i="23"/>
  <c r="D11" i="23"/>
  <c r="D12" i="23"/>
  <c r="D13" i="23"/>
  <c r="D14" i="23"/>
  <c r="D9" i="23"/>
  <c r="D15" i="23"/>
  <c r="D16" i="23"/>
  <c r="D17" i="23"/>
  <c r="D18" i="23"/>
  <c r="D20" i="23"/>
  <c r="D21" i="23"/>
  <c r="D22" i="23"/>
  <c r="D23" i="23"/>
  <c r="D24" i="23"/>
  <c r="D19" i="23"/>
  <c r="D25" i="23"/>
  <c r="D26" i="23"/>
  <c r="D27" i="23"/>
  <c r="D28" i="23"/>
  <c r="D29" i="23"/>
  <c r="D30" i="23"/>
  <c r="D31" i="23"/>
  <c r="D32" i="23"/>
  <c r="D33" i="23"/>
  <c r="D34" i="23"/>
  <c r="D35" i="23"/>
  <c r="D36" i="23"/>
  <c r="D37" i="23"/>
  <c r="D38" i="23"/>
  <c r="D39" i="23"/>
  <c r="C5" i="23"/>
  <c r="C6" i="23"/>
  <c r="C7" i="23"/>
  <c r="C8" i="23"/>
  <c r="C10" i="23"/>
  <c r="C11" i="23"/>
  <c r="C12" i="23"/>
  <c r="C13" i="23"/>
  <c r="C14" i="23"/>
  <c r="C9" i="23"/>
  <c r="C15" i="23"/>
  <c r="C16" i="23"/>
  <c r="C17" i="23"/>
  <c r="C18" i="23"/>
  <c r="C20" i="23"/>
  <c r="C21" i="23"/>
  <c r="C22" i="23"/>
  <c r="C23" i="23"/>
  <c r="C24" i="23"/>
  <c r="C19" i="23"/>
  <c r="C25" i="23"/>
  <c r="C26" i="23"/>
  <c r="C27" i="23"/>
  <c r="C28" i="23"/>
  <c r="C29" i="23"/>
  <c r="C30" i="23"/>
  <c r="C31" i="23"/>
  <c r="C32" i="23"/>
  <c r="C33" i="23"/>
  <c r="C34" i="23"/>
  <c r="C35" i="23"/>
  <c r="C36" i="23"/>
  <c r="C37" i="23"/>
  <c r="C38" i="23"/>
  <c r="C39" i="23"/>
  <c r="B6" i="23"/>
  <c r="B11" i="23"/>
  <c r="B12" i="23"/>
  <c r="B13" i="23"/>
  <c r="B14" i="23"/>
  <c r="B9" i="23"/>
  <c r="B16" i="23"/>
  <c r="B21" i="23"/>
  <c r="B22" i="23"/>
  <c r="B23" i="23"/>
  <c r="B19" i="23"/>
  <c r="B26" i="23"/>
  <c r="B27" i="23"/>
  <c r="B28" i="23"/>
  <c r="B32" i="23"/>
  <c r="B33" i="23"/>
  <c r="B34" i="23"/>
  <c r="B36" i="23"/>
  <c r="B37" i="23"/>
  <c r="B38" i="23"/>
  <c r="B39" i="23"/>
  <c r="F4" i="23"/>
  <c r="E4" i="23"/>
  <c r="D4" i="23"/>
  <c r="C4" i="23"/>
  <c r="B4" i="23"/>
  <c r="B2" i="23"/>
  <c r="B43" i="23" s="1"/>
  <c r="H1267" i="23" l="1"/>
  <c r="G1147" i="23"/>
  <c r="H1147" i="23" s="1"/>
  <c r="G1142" i="23"/>
  <c r="H1142" i="23" s="1"/>
  <c r="G1143" i="23"/>
  <c r="H1143" i="23" s="1"/>
  <c r="H937" i="23"/>
  <c r="K242" i="23"/>
  <c r="J242" i="23" s="1"/>
  <c r="G334" i="23"/>
  <c r="K334" i="23" s="1"/>
  <c r="H980" i="23"/>
  <c r="G984" i="23"/>
  <c r="G20" i="23"/>
  <c r="H20" i="23" s="1"/>
  <c r="G162" i="23"/>
  <c r="G287" i="23"/>
  <c r="G908" i="23"/>
  <c r="H908" i="23" s="1"/>
  <c r="G322" i="23"/>
  <c r="K322" i="23" s="1"/>
  <c r="J322" i="23" s="1"/>
  <c r="H816" i="23"/>
  <c r="H796" i="23"/>
  <c r="G519" i="23"/>
  <c r="H519" i="23" s="1"/>
  <c r="G107" i="23"/>
  <c r="K107" i="23" s="1"/>
  <c r="J107" i="23" s="1"/>
  <c r="G33" i="23"/>
  <c r="H33" i="23" s="1"/>
  <c r="G199" i="23"/>
  <c r="K199" i="23" s="1"/>
  <c r="J199" i="23" s="1"/>
  <c r="G738" i="23"/>
  <c r="H738" i="23" s="1"/>
  <c r="G527" i="23"/>
  <c r="H527" i="23" s="1"/>
  <c r="H734" i="23"/>
  <c r="G445" i="23"/>
  <c r="H714" i="23"/>
  <c r="H855" i="23"/>
  <c r="G427" i="23"/>
  <c r="H427" i="23" s="1"/>
  <c r="K889" i="23"/>
  <c r="J889" i="23" s="1"/>
  <c r="G934" i="23"/>
  <c r="H934" i="23" s="1"/>
  <c r="G1130" i="23"/>
  <c r="H1130" i="23" s="1"/>
  <c r="G1277" i="23"/>
  <c r="G1279" i="23" s="1"/>
  <c r="H1279" i="23" s="1"/>
  <c r="G1289" i="23"/>
  <c r="H1289" i="23" s="1"/>
  <c r="G1293" i="23"/>
  <c r="G1297" i="23"/>
  <c r="H1297" i="23" s="1"/>
  <c r="H763" i="23"/>
  <c r="H807" i="23"/>
  <c r="G457" i="23"/>
  <c r="H457" i="23" s="1"/>
  <c r="H847" i="23"/>
  <c r="G240" i="23"/>
  <c r="G16" i="23"/>
  <c r="H16" i="23" s="1"/>
  <c r="G328" i="23"/>
  <c r="G574" i="23"/>
  <c r="G281" i="23"/>
  <c r="G222" i="23"/>
  <c r="K222" i="23" s="1"/>
  <c r="J222" i="23" s="1"/>
  <c r="G74" i="23"/>
  <c r="G235" i="23"/>
  <c r="H235" i="23" s="1"/>
  <c r="G115" i="23"/>
  <c r="K115" i="23" s="1"/>
  <c r="J115" i="23" s="1"/>
  <c r="H366" i="23"/>
  <c r="G820" i="23"/>
  <c r="H820" i="23" s="1"/>
  <c r="G1050" i="23"/>
  <c r="H1050" i="23" s="1"/>
  <c r="H811" i="23"/>
  <c r="H799" i="23"/>
  <c r="H804" i="23"/>
  <c r="H755" i="23"/>
  <c r="H718" i="23"/>
  <c r="H653" i="23"/>
  <c r="H445" i="23"/>
  <c r="H602" i="23"/>
  <c r="K762" i="23"/>
  <c r="J762" i="23" s="1"/>
  <c r="G837" i="23"/>
  <c r="H162" i="23"/>
  <c r="H183" i="23"/>
  <c r="H240" i="23"/>
  <c r="H1310" i="23"/>
  <c r="H141" i="23"/>
  <c r="H278" i="23"/>
  <c r="H315" i="23"/>
  <c r="H397" i="23"/>
  <c r="G236" i="23"/>
  <c r="K236" i="23" s="1"/>
  <c r="J236" i="23" s="1"/>
  <c r="G22" i="23"/>
  <c r="H22" i="23" s="1"/>
  <c r="G673" i="23"/>
  <c r="H673" i="23" s="1"/>
  <c r="G1301" i="23"/>
  <c r="H1301" i="23" s="1"/>
  <c r="H45" i="23"/>
  <c r="H199" i="23"/>
  <c r="H236" i="23"/>
  <c r="G1212" i="23"/>
  <c r="K1212" i="23" s="1"/>
  <c r="J1212" i="23" s="1"/>
  <c r="G1216" i="23"/>
  <c r="B250" i="23"/>
  <c r="K283" i="23"/>
  <c r="J283" i="23" s="1"/>
  <c r="H156" i="23"/>
  <c r="H310" i="23"/>
  <c r="B373" i="23"/>
  <c r="H392" i="23"/>
  <c r="H568" i="23"/>
  <c r="G141" i="23"/>
  <c r="K141" i="23" s="1"/>
  <c r="J141" i="23" s="1"/>
  <c r="G492" i="23"/>
  <c r="K898" i="23"/>
  <c r="J898" i="23" s="1"/>
  <c r="H979" i="23"/>
  <c r="G1045" i="23"/>
  <c r="H1045" i="23" s="1"/>
  <c r="G1053" i="23"/>
  <c r="H1053" i="23" s="1"/>
  <c r="G1061" i="23"/>
  <c r="G1065" i="23"/>
  <c r="G1253" i="23"/>
  <c r="H726" i="23"/>
  <c r="H60" i="23"/>
  <c r="H19" i="23"/>
  <c r="G421" i="23"/>
  <c r="H421" i="23" s="1"/>
  <c r="H328" i="23"/>
  <c r="G612" i="23"/>
  <c r="H612" i="23" s="1"/>
  <c r="H193" i="23"/>
  <c r="G223" i="23"/>
  <c r="K223" i="23" s="1"/>
  <c r="J223" i="23" s="1"/>
  <c r="H74" i="23"/>
  <c r="K243" i="23"/>
  <c r="J243" i="23" s="1"/>
  <c r="G939" i="23"/>
  <c r="H939" i="23" s="1"/>
  <c r="H36" i="23"/>
  <c r="H150" i="23"/>
  <c r="H287" i="23"/>
  <c r="G844" i="23"/>
  <c r="H159" i="23"/>
  <c r="H276" i="23"/>
  <c r="G674" i="23"/>
  <c r="H674" i="23" s="1"/>
  <c r="G428" i="23"/>
  <c r="K428" i="23" s="1"/>
  <c r="J428" i="23" s="1"/>
  <c r="H38" i="23"/>
  <c r="G228" i="23"/>
  <c r="K228" i="23" s="1"/>
  <c r="J228" i="23" s="1"/>
  <c r="H111" i="23"/>
  <c r="H325" i="23"/>
  <c r="G32" i="23"/>
  <c r="K580" i="23"/>
  <c r="J580" i="23" s="1"/>
  <c r="G920" i="23"/>
  <c r="H924" i="23"/>
  <c r="G932" i="23"/>
  <c r="H932" i="23" s="1"/>
  <c r="G940" i="23"/>
  <c r="H940" i="23" s="1"/>
  <c r="G1058" i="23"/>
  <c r="H1058" i="23" s="1"/>
  <c r="G1062" i="23"/>
  <c r="G1107" i="23"/>
  <c r="K1107" i="23" s="1"/>
  <c r="J1107" i="23" s="1"/>
  <c r="H52" i="23"/>
  <c r="H266" i="23"/>
  <c r="H405" i="23"/>
  <c r="H416" i="23"/>
  <c r="H140" i="23"/>
  <c r="G1133" i="23"/>
  <c r="G1195" i="23"/>
  <c r="B332" i="23"/>
  <c r="K447" i="23"/>
  <c r="J447" i="23" s="1"/>
  <c r="G509" i="23"/>
  <c r="H509" i="23" s="1"/>
  <c r="G621" i="23"/>
  <c r="H621" i="23" s="1"/>
  <c r="G1298" i="23"/>
  <c r="H1298" i="23" s="1"/>
  <c r="K908" i="23"/>
  <c r="J908" i="23" s="1"/>
  <c r="G1124" i="23"/>
  <c r="G1144" i="23"/>
  <c r="H1144" i="23" s="1"/>
  <c r="B168" i="23"/>
  <c r="H51" i="23"/>
  <c r="H265" i="23"/>
  <c r="H322" i="23"/>
  <c r="H120" i="23"/>
  <c r="G1011" i="23"/>
  <c r="H1060" i="23"/>
  <c r="H77" i="23"/>
  <c r="H112" i="23"/>
  <c r="G1042" i="23"/>
  <c r="H1042" i="23" s="1"/>
  <c r="K899" i="23"/>
  <c r="J899" i="23" s="1"/>
  <c r="G146" i="23"/>
  <c r="H146" i="23" s="1"/>
  <c r="H107" i="23"/>
  <c r="B537" i="23"/>
  <c r="H609" i="23"/>
  <c r="B496" i="23"/>
  <c r="H231" i="23"/>
  <c r="B414" i="23"/>
  <c r="K1185" i="23"/>
  <c r="J1185" i="23" s="1"/>
  <c r="H32" i="23"/>
  <c r="H187" i="23"/>
  <c r="H224" i="23"/>
  <c r="H320" i="23"/>
  <c r="H402" i="23"/>
  <c r="H448" i="23"/>
  <c r="H63" i="23"/>
  <c r="H693" i="23"/>
  <c r="G1288" i="23"/>
  <c r="G1215" i="23"/>
  <c r="K1215" i="23" s="1"/>
  <c r="J1215" i="23" s="1"/>
  <c r="K796" i="23"/>
  <c r="J796" i="23" s="1"/>
  <c r="H80" i="23"/>
  <c r="G24" i="23"/>
  <c r="H24" i="23" s="1"/>
  <c r="G1175" i="23"/>
  <c r="K1175" i="23" s="1"/>
  <c r="J1175" i="23" s="1"/>
  <c r="B578" i="23"/>
  <c r="G97" i="23"/>
  <c r="H630" i="23"/>
  <c r="H857" i="23"/>
  <c r="B209" i="23"/>
  <c r="H75" i="23"/>
  <c r="H269" i="23"/>
  <c r="H365" i="23"/>
  <c r="B455" i="23"/>
  <c r="G1002" i="23"/>
  <c r="K1002" i="23" s="1"/>
  <c r="J1002" i="23" s="1"/>
  <c r="K158" i="23"/>
  <c r="J158" i="23" s="1"/>
  <c r="H200" i="23"/>
  <c r="G437" i="23"/>
  <c r="H437" i="23" s="1"/>
  <c r="K892" i="23"/>
  <c r="J892" i="23" s="1"/>
  <c r="G1043" i="23"/>
  <c r="G1047" i="23"/>
  <c r="H1047" i="23" s="1"/>
  <c r="G1063" i="23"/>
  <c r="H1063" i="23" s="1"/>
  <c r="G1247" i="23"/>
  <c r="B291" i="23"/>
  <c r="G304" i="23"/>
  <c r="H304" i="23" s="1"/>
  <c r="H170" i="23"/>
  <c r="H186" i="23"/>
  <c r="H243" i="23"/>
  <c r="H447" i="23"/>
  <c r="H601" i="23"/>
  <c r="H856" i="23"/>
  <c r="G1264" i="23"/>
  <c r="H1264" i="23" s="1"/>
  <c r="G1118" i="23"/>
  <c r="H1118" i="23" s="1"/>
  <c r="G1048" i="23"/>
  <c r="H1048" i="23" s="1"/>
  <c r="G9" i="23"/>
  <c r="H9" i="23" s="1"/>
  <c r="H678" i="23"/>
  <c r="H775" i="23"/>
  <c r="H960" i="23"/>
  <c r="G1176" i="23"/>
  <c r="K1176" i="23" s="1"/>
  <c r="J1176" i="23" s="1"/>
  <c r="G233" i="23"/>
  <c r="K233" i="23" s="1"/>
  <c r="J233" i="23" s="1"/>
  <c r="G343" i="23"/>
  <c r="H343" i="23" s="1"/>
  <c r="G23" i="23"/>
  <c r="H23" i="23" s="1"/>
  <c r="G181" i="23"/>
  <c r="H181" i="23" s="1"/>
  <c r="G21" i="23"/>
  <c r="H21" i="23" s="1"/>
  <c r="G114" i="23"/>
  <c r="K114" i="23" s="1"/>
  <c r="J114" i="23" s="1"/>
  <c r="G438" i="23"/>
  <c r="H438" i="23" s="1"/>
  <c r="G913" i="23"/>
  <c r="G941" i="23"/>
  <c r="H941" i="23" s="1"/>
  <c r="G949" i="23"/>
  <c r="G1214" i="23"/>
  <c r="K1214" i="23" s="1"/>
  <c r="J1214" i="23" s="1"/>
  <c r="H242" i="23"/>
  <c r="H281" i="23"/>
  <c r="H261" i="23"/>
  <c r="H400" i="23"/>
  <c r="H380" i="23"/>
  <c r="H446" i="23"/>
  <c r="H426" i="23"/>
  <c r="H606" i="23"/>
  <c r="H594" i="23"/>
  <c r="G614" i="23"/>
  <c r="H614" i="23" s="1"/>
  <c r="H580" i="23"/>
  <c r="H591" i="23"/>
  <c r="H600" i="23"/>
  <c r="H531" i="23"/>
  <c r="G522" i="23"/>
  <c r="H522" i="23" s="1"/>
  <c r="G514" i="23"/>
  <c r="H514" i="23" s="1"/>
  <c r="H529" i="23"/>
  <c r="H530" i="23"/>
  <c r="G477" i="23"/>
  <c r="H477" i="23" s="1"/>
  <c r="H488" i="23"/>
  <c r="G440" i="23"/>
  <c r="H440" i="23" s="1"/>
  <c r="H432" i="23"/>
  <c r="G442" i="23"/>
  <c r="H442" i="23" s="1"/>
  <c r="G354" i="23"/>
  <c r="G351" i="23"/>
  <c r="H351" i="23" s="1"/>
  <c r="G355" i="23"/>
  <c r="H355" i="23" s="1"/>
  <c r="G348" i="23"/>
  <c r="H348" i="23" s="1"/>
  <c r="H334" i="23"/>
  <c r="G363" i="23"/>
  <c r="H363" i="23" s="1"/>
  <c r="G315" i="23"/>
  <c r="K315" i="23" s="1"/>
  <c r="J315" i="23" s="1"/>
  <c r="H324" i="23"/>
  <c r="G269" i="23"/>
  <c r="H244" i="23"/>
  <c r="G227" i="23"/>
  <c r="H227" i="23" s="1"/>
  <c r="G189" i="23"/>
  <c r="H189" i="23" s="1"/>
  <c r="K325" i="23"/>
  <c r="J325" i="23" s="1"/>
  <c r="K324" i="23"/>
  <c r="J324" i="23" s="1"/>
  <c r="G634" i="23"/>
  <c r="H638" i="23"/>
  <c r="H690" i="23"/>
  <c r="G936" i="23"/>
  <c r="H936" i="23" s="1"/>
  <c r="H976" i="23"/>
  <c r="G264" i="23"/>
  <c r="H264" i="23" s="1"/>
  <c r="G268" i="23"/>
  <c r="H268" i="23" s="1"/>
  <c r="G276" i="23"/>
  <c r="K276" i="23" s="1"/>
  <c r="J276" i="23" s="1"/>
  <c r="G312" i="23"/>
  <c r="G356" i="23"/>
  <c r="H356" i="23" s="1"/>
  <c r="G360" i="23"/>
  <c r="H360" i="23" s="1"/>
  <c r="H367" i="23"/>
  <c r="G375" i="23"/>
  <c r="G395" i="23"/>
  <c r="H395" i="23" s="1"/>
  <c r="G646" i="23"/>
  <c r="H694" i="23"/>
  <c r="G840" i="23"/>
  <c r="H968" i="23"/>
  <c r="G1296" i="23"/>
  <c r="H1296" i="23" s="1"/>
  <c r="G121" i="23"/>
  <c r="H121" i="23" s="1"/>
  <c r="G179" i="23"/>
  <c r="H179" i="23" s="1"/>
  <c r="G216" i="23"/>
  <c r="H216" i="23" s="1"/>
  <c r="G231" i="23"/>
  <c r="K231" i="23" s="1"/>
  <c r="J231" i="23" s="1"/>
  <c r="G280" i="23"/>
  <c r="H280" i="23" s="1"/>
  <c r="H284" i="23"/>
  <c r="G380" i="23"/>
  <c r="G388" i="23"/>
  <c r="K388" i="23" s="1"/>
  <c r="J388" i="23" s="1"/>
  <c r="G392" i="23"/>
  <c r="K392" i="23" s="1"/>
  <c r="J392" i="23" s="1"/>
  <c r="G396" i="23"/>
  <c r="G400" i="23"/>
  <c r="K400" i="23" s="1"/>
  <c r="J400" i="23" s="1"/>
  <c r="H408" i="23"/>
  <c r="G416" i="23"/>
  <c r="K416" i="23" s="1"/>
  <c r="H554" i="23"/>
  <c r="H562" i="23"/>
  <c r="G1252" i="23"/>
  <c r="H1252" i="23" s="1"/>
  <c r="G1260" i="23"/>
  <c r="H1260" i="23" s="1"/>
  <c r="K1267" i="23"/>
  <c r="J1267" i="23" s="1"/>
  <c r="G1304" i="23"/>
  <c r="H1304" i="23" s="1"/>
  <c r="G1312" i="23"/>
  <c r="K1312" i="23" s="1"/>
  <c r="J1312" i="23" s="1"/>
  <c r="K427" i="23"/>
  <c r="J427" i="23" s="1"/>
  <c r="G912" i="23"/>
  <c r="H912" i="23" s="1"/>
  <c r="G1008" i="23"/>
  <c r="G480" i="23"/>
  <c r="H480" i="23" s="1"/>
  <c r="G65" i="23"/>
  <c r="H65" i="23" s="1"/>
  <c r="G340" i="23"/>
  <c r="H340" i="23" s="1"/>
  <c r="G344" i="23"/>
  <c r="G476" i="23"/>
  <c r="G239" i="23"/>
  <c r="K239" i="23" s="1"/>
  <c r="J239" i="23" s="1"/>
  <c r="H972" i="23"/>
  <c r="G91" i="23"/>
  <c r="H91" i="23" s="1"/>
  <c r="H586" i="23"/>
  <c r="G86" i="23"/>
  <c r="G352" i="23"/>
  <c r="H352" i="23" s="1"/>
  <c r="G1163" i="23"/>
  <c r="K1163" i="23" s="1"/>
  <c r="J1163" i="23" s="1"/>
  <c r="H558" i="23"/>
  <c r="G136" i="23"/>
  <c r="H136" i="23" s="1"/>
  <c r="H683" i="23"/>
  <c r="H760" i="23"/>
  <c r="G1139" i="23"/>
  <c r="H1139" i="23" s="1"/>
  <c r="H79" i="23"/>
  <c r="H695" i="23"/>
  <c r="K772" i="23"/>
  <c r="J772" i="23" s="1"/>
  <c r="G1006" i="23"/>
  <c r="G1220" i="23"/>
  <c r="G132" i="23"/>
  <c r="H132" i="23" s="1"/>
  <c r="G188" i="23"/>
  <c r="H188" i="23" s="1"/>
  <c r="G232" i="23"/>
  <c r="K232" i="23" s="1"/>
  <c r="J232" i="23" s="1"/>
  <c r="G1018" i="23"/>
  <c r="K1018" i="23" s="1"/>
  <c r="J1018" i="23" s="1"/>
  <c r="G1261" i="23"/>
  <c r="H1261" i="23" s="1"/>
  <c r="H655" i="23"/>
  <c r="G676" i="23"/>
  <c r="H676" i="23" s="1"/>
  <c r="H688" i="23"/>
  <c r="H712" i="23"/>
  <c r="G995" i="23"/>
  <c r="G1010" i="23"/>
  <c r="G342" i="23"/>
  <c r="H342" i="23" s="1"/>
  <c r="G358" i="23"/>
  <c r="H358" i="23" s="1"/>
  <c r="G369" i="23"/>
  <c r="H369" i="23" s="1"/>
  <c r="G426" i="23"/>
  <c r="G434" i="23"/>
  <c r="K434" i="23" s="1"/>
  <c r="J434" i="23" s="1"/>
  <c r="G459" i="23"/>
  <c r="H459" i="23" s="1"/>
  <c r="G463" i="23"/>
  <c r="H463" i="23" s="1"/>
  <c r="G471" i="23"/>
  <c r="H471" i="23" s="1"/>
  <c r="H486" i="23"/>
  <c r="G507" i="23"/>
  <c r="H507" i="23" s="1"/>
  <c r="H544" i="23"/>
  <c r="H559" i="23"/>
  <c r="H588" i="23"/>
  <c r="H596" i="23"/>
  <c r="G644" i="23"/>
  <c r="H644" i="23" s="1"/>
  <c r="H652" i="23"/>
  <c r="G842" i="23"/>
  <c r="H842" i="23" s="1"/>
  <c r="H850" i="23"/>
  <c r="H854" i="23"/>
  <c r="K886" i="23"/>
  <c r="J886" i="23" s="1"/>
  <c r="G902" i="23"/>
  <c r="G918" i="23"/>
  <c r="H918" i="23" s="1"/>
  <c r="G1003" i="23"/>
  <c r="G1007" i="23"/>
  <c r="G1015" i="23"/>
  <c r="K1015" i="23" s="1"/>
  <c r="J1015" i="23" s="1"/>
  <c r="G1257" i="23"/>
  <c r="G1294" i="23"/>
  <c r="H1294" i="23" s="1"/>
  <c r="H117" i="23"/>
  <c r="G68" i="23"/>
  <c r="H68" i="23" s="1"/>
  <c r="G279" i="23"/>
  <c r="K279" i="23" s="1"/>
  <c r="J279" i="23" s="1"/>
  <c r="G170" i="23"/>
  <c r="K170" i="23" s="1"/>
  <c r="G190" i="23"/>
  <c r="G484" i="23"/>
  <c r="H484" i="23" s="1"/>
  <c r="H722" i="23"/>
  <c r="G444" i="23"/>
  <c r="H444" i="23" s="1"/>
  <c r="G224" i="23"/>
  <c r="K224" i="23" s="1"/>
  <c r="J224" i="23" s="1"/>
  <c r="H590" i="23"/>
  <c r="G1127" i="23"/>
  <c r="G61" i="23"/>
  <c r="G349" i="23"/>
  <c r="G526" i="23"/>
  <c r="H526" i="23" s="1"/>
  <c r="G1131" i="23"/>
  <c r="H1131" i="23" s="1"/>
  <c r="G265" i="23"/>
  <c r="G466" i="23"/>
  <c r="H466" i="23" s="1"/>
  <c r="K477" i="23"/>
  <c r="J477" i="23" s="1"/>
  <c r="G1083" i="23"/>
  <c r="G1103" i="23"/>
  <c r="G1256" i="23"/>
  <c r="H1256" i="23" s="1"/>
  <c r="G196" i="23"/>
  <c r="H196" i="23" s="1"/>
  <c r="G1099" i="23"/>
  <c r="H1099" i="23" s="1"/>
  <c r="G1249" i="23"/>
  <c r="H1249" i="23" s="1"/>
  <c r="H691" i="23"/>
  <c r="H969" i="23"/>
  <c r="G1136" i="23"/>
  <c r="H1136" i="23" s="1"/>
  <c r="H584" i="23"/>
  <c r="G636" i="23"/>
  <c r="H636" i="23" s="1"/>
  <c r="G27" i="23"/>
  <c r="H27" i="23" s="1"/>
  <c r="G18" i="23"/>
  <c r="H18" i="23" s="1"/>
  <c r="G362" i="23"/>
  <c r="H362" i="23" s="1"/>
  <c r="G386" i="23"/>
  <c r="G390" i="23"/>
  <c r="K390" i="23" s="1"/>
  <c r="J390" i="23" s="1"/>
  <c r="G394" i="23"/>
  <c r="H394" i="23" s="1"/>
  <c r="G398" i="23"/>
  <c r="H398" i="23" s="1"/>
  <c r="G410" i="23"/>
  <c r="K410" i="23" s="1"/>
  <c r="J410" i="23" s="1"/>
  <c r="H491" i="23"/>
  <c r="H552" i="23"/>
  <c r="H564" i="23"/>
  <c r="H640" i="23"/>
  <c r="H926" i="23"/>
  <c r="G938" i="23"/>
  <c r="H958" i="23"/>
  <c r="G1181" i="23"/>
  <c r="K1181" i="23" s="1"/>
  <c r="J1181" i="23" s="1"/>
  <c r="G1250" i="23"/>
  <c r="G1258" i="23"/>
  <c r="H1258" i="23" s="1"/>
  <c r="G1262" i="23"/>
  <c r="G1286" i="23"/>
  <c r="H1286" i="23" s="1"/>
  <c r="G1302" i="23"/>
  <c r="H774" i="23"/>
  <c r="H808" i="23"/>
  <c r="G317" i="23"/>
  <c r="H317" i="23" s="1"/>
  <c r="G252" i="23"/>
  <c r="H583" i="23"/>
  <c r="H687" i="23"/>
  <c r="G1046" i="23"/>
  <c r="H1046" i="23" s="1"/>
  <c r="G474" i="23"/>
  <c r="H474" i="23" s="1"/>
  <c r="G1066" i="23"/>
  <c r="K1066" i="23" s="1"/>
  <c r="J1066" i="23" s="1"/>
  <c r="G1180" i="23"/>
  <c r="G62" i="23"/>
  <c r="K62" i="23" s="1"/>
  <c r="J62" i="23" s="1"/>
  <c r="H490" i="23"/>
  <c r="K1022" i="23"/>
  <c r="J1022" i="23" s="1"/>
  <c r="G113" i="23"/>
  <c r="K113" i="23" s="1"/>
  <c r="J113" i="23" s="1"/>
  <c r="G430" i="23"/>
  <c r="K430" i="23" s="1"/>
  <c r="J430" i="23" s="1"/>
  <c r="H962" i="23"/>
  <c r="G990" i="23"/>
  <c r="G997" i="23" s="1"/>
  <c r="G30" i="23"/>
  <c r="H30" i="23" s="1"/>
  <c r="H604" i="23"/>
  <c r="H326" i="23"/>
  <c r="G402" i="23"/>
  <c r="K402" i="23" s="1"/>
  <c r="J402" i="23" s="1"/>
  <c r="H572" i="23"/>
  <c r="H798" i="23"/>
  <c r="K806" i="23"/>
  <c r="J806" i="23" s="1"/>
  <c r="H810" i="23"/>
  <c r="G942" i="23"/>
  <c r="G1125" i="23"/>
  <c r="G1129" i="23"/>
  <c r="H1129" i="23" s="1"/>
  <c r="G1137" i="23"/>
  <c r="H1137" i="23" s="1"/>
  <c r="G1173" i="23"/>
  <c r="K1173" i="23" s="1"/>
  <c r="J1173" i="23" s="1"/>
  <c r="G1189" i="23"/>
  <c r="K1189" i="23" s="1"/>
  <c r="J1189" i="23" s="1"/>
  <c r="G1213" i="23"/>
  <c r="H1270" i="23"/>
  <c r="G1290" i="23"/>
  <c r="H1290" i="23" s="1"/>
  <c r="B125" i="23"/>
  <c r="B84" i="23"/>
  <c r="H964" i="23"/>
  <c r="H610" i="23"/>
  <c r="K888" i="23"/>
  <c r="J888" i="23" s="1"/>
  <c r="G192" i="23"/>
  <c r="K192" i="23" s="1"/>
  <c r="J192" i="23" s="1"/>
  <c r="G220" i="23"/>
  <c r="H220" i="23" s="1"/>
  <c r="G272" i="23"/>
  <c r="K530" i="23"/>
  <c r="J530" i="23" s="1"/>
  <c r="H679" i="23"/>
  <c r="H768" i="23"/>
  <c r="G1208" i="23"/>
  <c r="K1208" i="23" s="1"/>
  <c r="J1208" i="23" s="1"/>
  <c r="G273" i="23"/>
  <c r="G470" i="23"/>
  <c r="H776" i="23"/>
  <c r="G1014" i="23"/>
  <c r="G1236" i="23"/>
  <c r="G478" i="23"/>
  <c r="H478" i="23" s="1"/>
  <c r="G498" i="23"/>
  <c r="H498" i="23" s="1"/>
  <c r="G1248" i="23"/>
  <c r="H736" i="23"/>
  <c r="H651" i="23"/>
  <c r="G922" i="23"/>
  <c r="G1055" i="23"/>
  <c r="H1055" i="23" s="1"/>
  <c r="G234" i="23"/>
  <c r="K234" i="23" s="1"/>
  <c r="J234" i="23" s="1"/>
  <c r="G270" i="23"/>
  <c r="K270" i="23" s="1"/>
  <c r="J270" i="23" s="1"/>
  <c r="G71" i="23"/>
  <c r="K71" i="23" s="1"/>
  <c r="J71" i="23" s="1"/>
  <c r="H119" i="23"/>
  <c r="G148" i="23"/>
  <c r="H148" i="23" s="1"/>
  <c r="G238" i="23"/>
  <c r="H238" i="23" s="1"/>
  <c r="G307" i="23"/>
  <c r="K307" i="23" s="1"/>
  <c r="J307" i="23" s="1"/>
  <c r="G319" i="23"/>
  <c r="K365" i="23"/>
  <c r="J365" i="23" s="1"/>
  <c r="G512" i="23"/>
  <c r="H512" i="23" s="1"/>
  <c r="G520" i="23"/>
  <c r="H520" i="23" s="1"/>
  <c r="G524" i="23"/>
  <c r="H524" i="23" s="1"/>
  <c r="H548" i="23"/>
  <c r="G826" i="23"/>
  <c r="G827" i="23" s="1"/>
  <c r="H827" i="23" s="1"/>
  <c r="K883" i="23"/>
  <c r="J883" i="23" s="1"/>
  <c r="K891" i="23"/>
  <c r="J891" i="23" s="1"/>
  <c r="H923" i="23"/>
  <c r="G931" i="23"/>
  <c r="H931" i="23" s="1"/>
  <c r="G1044" i="23"/>
  <c r="H1044" i="23" s="1"/>
  <c r="G1052" i="23"/>
  <c r="H1052" i="23" s="1"/>
  <c r="G1056" i="23"/>
  <c r="G1145" i="23"/>
  <c r="H1145" i="23" s="1"/>
  <c r="G1254" i="23"/>
  <c r="H1254" i="23" s="1"/>
  <c r="G464" i="23"/>
  <c r="H464" i="23" s="1"/>
  <c r="H730" i="23"/>
  <c r="G175" i="23"/>
  <c r="H175" i="23" s="1"/>
  <c r="G145" i="23"/>
  <c r="K145" i="23" s="1"/>
  <c r="J145" i="23" s="1"/>
  <c r="G336" i="23"/>
  <c r="G313" i="23"/>
  <c r="G184" i="23"/>
  <c r="H184" i="23" s="1"/>
  <c r="G337" i="23"/>
  <c r="H337" i="23" s="1"/>
  <c r="G675" i="23"/>
  <c r="H675" i="23" s="1"/>
  <c r="G1168" i="23"/>
  <c r="K204" i="23"/>
  <c r="J204" i="23" s="1"/>
  <c r="G257" i="23"/>
  <c r="G277" i="23"/>
  <c r="K277" i="23" s="1"/>
  <c r="J277" i="23" s="1"/>
  <c r="G1095" i="23"/>
  <c r="G482" i="23"/>
  <c r="H482" i="23" s="1"/>
  <c r="G671" i="23"/>
  <c r="G57" i="23"/>
  <c r="H57" i="23" s="1"/>
  <c r="G31" i="23"/>
  <c r="H31" i="23" s="1"/>
  <c r="H974" i="23"/>
  <c r="G226" i="23"/>
  <c r="H226" i="23" s="1"/>
  <c r="G70" i="23"/>
  <c r="H70" i="23" s="1"/>
  <c r="G59" i="23"/>
  <c r="G149" i="23"/>
  <c r="G182" i="23"/>
  <c r="K182" i="23" s="1"/>
  <c r="J182" i="23" s="1"/>
  <c r="G186" i="23"/>
  <c r="K186" i="23" s="1"/>
  <c r="J186" i="23" s="1"/>
  <c r="G194" i="23"/>
  <c r="H194" i="23" s="1"/>
  <c r="G230" i="23"/>
  <c r="K230" i="23" s="1"/>
  <c r="J230" i="23" s="1"/>
  <c r="G246" i="23"/>
  <c r="H246" i="23" s="1"/>
  <c r="G347" i="23"/>
  <c r="H347" i="23" s="1"/>
  <c r="H487" i="23"/>
  <c r="H532" i="23"/>
  <c r="H766" i="23"/>
  <c r="G838" i="23"/>
  <c r="G846" i="23"/>
  <c r="H846" i="23" s="1"/>
  <c r="G1064" i="23"/>
  <c r="H1064" i="23" s="1"/>
  <c r="G1072" i="23"/>
  <c r="H1092" i="23"/>
  <c r="G1166" i="23"/>
  <c r="G1170" i="23"/>
  <c r="G1198" i="23"/>
  <c r="G1206" i="23"/>
  <c r="G1210" i="23"/>
  <c r="H1266" i="23"/>
  <c r="G1291" i="23"/>
  <c r="G1306" i="23"/>
  <c r="G271" i="23"/>
  <c r="K271" i="23" s="1"/>
  <c r="J271" i="23" s="1"/>
  <c r="K1020" i="23"/>
  <c r="J1020" i="23" s="1"/>
  <c r="H1081" i="23"/>
  <c r="G320" i="23"/>
  <c r="K320" i="23" s="1"/>
  <c r="J320" i="23" s="1"/>
  <c r="H582" i="23"/>
  <c r="H566" i="23"/>
  <c r="H598" i="23"/>
  <c r="G309" i="23"/>
  <c r="H309" i="23" s="1"/>
  <c r="H364" i="23"/>
  <c r="H812" i="23"/>
  <c r="G321" i="23"/>
  <c r="H321" i="23" s="1"/>
  <c r="G384" i="23"/>
  <c r="K384" i="23" s="1"/>
  <c r="J384" i="23" s="1"/>
  <c r="H930" i="23"/>
  <c r="K450" i="23"/>
  <c r="J450" i="23" s="1"/>
  <c r="H547" i="23"/>
  <c r="G17" i="23"/>
  <c r="H17" i="23" s="1"/>
  <c r="G314" i="23"/>
  <c r="H314" i="23" s="1"/>
  <c r="G28" i="23"/>
  <c r="H28" i="23" s="1"/>
  <c r="K202" i="23"/>
  <c r="J202" i="23" s="1"/>
  <c r="G263" i="23"/>
  <c r="K263" i="23" s="1"/>
  <c r="J263" i="23" s="1"/>
  <c r="G267" i="23"/>
  <c r="G275" i="23"/>
  <c r="H275" i="23" s="1"/>
  <c r="G311" i="23"/>
  <c r="H311" i="23" s="1"/>
  <c r="G359" i="23"/>
  <c r="H359" i="23" s="1"/>
  <c r="G460" i="23"/>
  <c r="H460" i="23" s="1"/>
  <c r="G472" i="23"/>
  <c r="H472" i="23" s="1"/>
  <c r="G516" i="23"/>
  <c r="H516" i="23" s="1"/>
  <c r="H681" i="23"/>
  <c r="H689" i="23"/>
  <c r="G697" i="23"/>
  <c r="H697" i="23" s="1"/>
  <c r="H778" i="23"/>
  <c r="H967" i="23"/>
  <c r="G1004" i="23"/>
  <c r="G1012" i="23"/>
  <c r="K1012" i="23" s="1"/>
  <c r="J1012" i="23" s="1"/>
  <c r="G1016" i="23"/>
  <c r="K1016" i="23" s="1"/>
  <c r="J1016" i="23" s="1"/>
  <c r="H1040" i="23"/>
  <c r="H1077" i="23"/>
  <c r="G1085" i="23"/>
  <c r="H1085" i="23" s="1"/>
  <c r="H1089" i="23"/>
  <c r="G1093" i="23"/>
  <c r="G1097" i="23"/>
  <c r="H1097" i="23" s="1"/>
  <c r="G1105" i="23"/>
  <c r="H1105" i="23" s="1"/>
  <c r="G1113" i="23"/>
  <c r="G1178" i="23"/>
  <c r="G1218" i="23"/>
  <c r="G1230" i="23"/>
  <c r="K1230" i="23" s="1"/>
  <c r="J1230" i="23" s="1"/>
  <c r="G431" i="23"/>
  <c r="H431" i="23" s="1"/>
  <c r="G439" i="23"/>
  <c r="H439" i="23" s="1"/>
  <c r="G479" i="23"/>
  <c r="H479" i="23" s="1"/>
  <c r="G510" i="23"/>
  <c r="H510" i="23" s="1"/>
  <c r="G518" i="23"/>
  <c r="H518" i="23" s="1"/>
  <c r="H555" i="23"/>
  <c r="H595" i="23"/>
  <c r="H603" i="23"/>
  <c r="G611" i="23"/>
  <c r="H611" i="23" s="1"/>
  <c r="H767" i="23"/>
  <c r="H819" i="23"/>
  <c r="G839" i="23"/>
  <c r="H851" i="23"/>
  <c r="G915" i="23"/>
  <c r="H915" i="23" s="1"/>
  <c r="G1128" i="23"/>
  <c r="H1128" i="23" s="1"/>
  <c r="G1305" i="23"/>
  <c r="H1305" i="23" s="1"/>
  <c r="G64" i="23"/>
  <c r="H64" i="23" s="1"/>
  <c r="G101" i="23"/>
  <c r="H101" i="23" s="1"/>
  <c r="G155" i="23"/>
  <c r="H155" i="23" s="1"/>
  <c r="G183" i="23"/>
  <c r="K183" i="23" s="1"/>
  <c r="J183" i="23" s="1"/>
  <c r="G195" i="23"/>
  <c r="K195" i="23" s="1"/>
  <c r="J195" i="23" s="1"/>
  <c r="G308" i="23"/>
  <c r="H308" i="23" s="1"/>
  <c r="K327" i="23"/>
  <c r="J327" i="23" s="1"/>
  <c r="G387" i="23"/>
  <c r="G391" i="23"/>
  <c r="G399" i="23"/>
  <c r="K399" i="23" s="1"/>
  <c r="J399" i="23" s="1"/>
  <c r="G403" i="23"/>
  <c r="H403" i="23" s="1"/>
  <c r="G443" i="23"/>
  <c r="G511" i="23"/>
  <c r="H511" i="23" s="1"/>
  <c r="G515" i="23"/>
  <c r="H515" i="23" s="1"/>
  <c r="G523" i="23"/>
  <c r="H523" i="23" s="1"/>
  <c r="H567" i="23"/>
  <c r="G615" i="23"/>
  <c r="K615" i="23" s="1"/>
  <c r="J615" i="23" s="1"/>
  <c r="G635" i="23"/>
  <c r="G642" i="23"/>
  <c r="H642" i="23" s="1"/>
  <c r="H650" i="23"/>
  <c r="G662" i="23"/>
  <c r="H727" i="23"/>
  <c r="H927" i="23"/>
  <c r="G935" i="23"/>
  <c r="H971" i="23"/>
  <c r="H975" i="23"/>
  <c r="G999" i="23"/>
  <c r="K1023" i="23"/>
  <c r="J1023" i="23" s="1"/>
  <c r="G1031" i="23"/>
  <c r="G1084" i="23"/>
  <c r="H1084" i="23" s="1"/>
  <c r="G1148" i="23"/>
  <c r="G1169" i="23"/>
  <c r="K1169" i="23" s="1"/>
  <c r="J1169" i="23" s="1"/>
  <c r="K1184" i="23"/>
  <c r="G1197" i="23"/>
  <c r="K1197" i="23" s="1"/>
  <c r="J1197" i="23" s="1"/>
  <c r="K1205" i="23"/>
  <c r="J1205" i="23" s="1"/>
  <c r="G1209" i="23"/>
  <c r="K1209" i="23" s="1"/>
  <c r="J1209" i="23" s="1"/>
  <c r="G1245" i="23"/>
  <c r="H1269" i="23"/>
  <c r="K323" i="23"/>
  <c r="J323" i="23" s="1"/>
  <c r="G483" i="23"/>
  <c r="H563" i="23"/>
  <c r="G843" i="23"/>
  <c r="H843" i="23" s="1"/>
  <c r="G1087" i="23"/>
  <c r="H1087" i="23" s="1"/>
  <c r="G1140" i="23"/>
  <c r="H1140" i="23" s="1"/>
  <c r="G66" i="23"/>
  <c r="G111" i="23"/>
  <c r="K111" i="23" s="1"/>
  <c r="J111" i="23" s="1"/>
  <c r="H160" i="23"/>
  <c r="G191" i="23"/>
  <c r="K191" i="23" s="1"/>
  <c r="J191" i="23" s="1"/>
  <c r="G63" i="23"/>
  <c r="K63" i="23" s="1"/>
  <c r="J63" i="23" s="1"/>
  <c r="H203" i="23"/>
  <c r="G211" i="23"/>
  <c r="G316" i="23"/>
  <c r="G335" i="23"/>
  <c r="K407" i="23"/>
  <c r="J407" i="23" s="1"/>
  <c r="G435" i="23"/>
  <c r="H435" i="23" s="1"/>
  <c r="G451" i="23"/>
  <c r="H451" i="23" s="1"/>
  <c r="G467" i="23"/>
  <c r="H467" i="23" s="1"/>
  <c r="G475" i="23"/>
  <c r="H475" i="23" s="1"/>
  <c r="H599" i="23"/>
  <c r="H607" i="23"/>
  <c r="G643" i="23"/>
  <c r="G647" i="23"/>
  <c r="H647" i="23" s="1"/>
  <c r="G667" i="23"/>
  <c r="H667" i="23" s="1"/>
  <c r="H682" i="23"/>
  <c r="H731" i="23"/>
  <c r="K763" i="23"/>
  <c r="J763" i="23" s="1"/>
  <c r="G779" i="23"/>
  <c r="H779" i="23" s="1"/>
  <c r="G835" i="23"/>
  <c r="K868" i="23"/>
  <c r="J868" i="23" s="1"/>
  <c r="G1036" i="23"/>
  <c r="H1036" i="23" s="1"/>
  <c r="G1051" i="23"/>
  <c r="H1051" i="23" s="1"/>
  <c r="G1096" i="23"/>
  <c r="H1096" i="23" s="1"/>
  <c r="G1100" i="23"/>
  <c r="H1100" i="23" s="1"/>
  <c r="G1104" i="23"/>
  <c r="H1104" i="23" s="1"/>
  <c r="G1177" i="23"/>
  <c r="K1177" i="23" s="1"/>
  <c r="J1177" i="23" s="1"/>
  <c r="G1217" i="23"/>
  <c r="K1217" i="23" s="1"/>
  <c r="J1217" i="23" s="1"/>
  <c r="G1221" i="23"/>
  <c r="K1265" i="23"/>
  <c r="J1265" i="23" s="1"/>
  <c r="G1282" i="23"/>
  <c r="H1282" i="23" s="1"/>
  <c r="G138" i="23"/>
  <c r="G108" i="23"/>
  <c r="H108" i="23" s="1"/>
  <c r="G225" i="23"/>
  <c r="H225" i="23" s="1"/>
  <c r="G237" i="23"/>
  <c r="H237" i="23" s="1"/>
  <c r="G357" i="23"/>
  <c r="H357" i="23" s="1"/>
  <c r="H368" i="23"/>
  <c r="G436" i="23"/>
  <c r="K436" i="23" s="1"/>
  <c r="J436" i="23" s="1"/>
  <c r="H756" i="23"/>
  <c r="K881" i="23"/>
  <c r="J881" i="23" s="1"/>
  <c r="G1222" i="23"/>
  <c r="G60" i="23"/>
  <c r="G261" i="23"/>
  <c r="G305" i="23"/>
  <c r="G353" i="23"/>
  <c r="G465" i="23"/>
  <c r="H561" i="23"/>
  <c r="H761" i="23"/>
  <c r="G1017" i="23"/>
  <c r="G1049" i="23"/>
  <c r="H1049" i="23" s="1"/>
  <c r="G1172" i="23"/>
  <c r="K1172" i="23" s="1"/>
  <c r="J1172" i="23" s="1"/>
  <c r="G1174" i="23"/>
  <c r="K1174" i="23" s="1"/>
  <c r="J1174" i="23" s="1"/>
  <c r="G1299" i="23"/>
  <c r="G13" i="23"/>
  <c r="H13" i="23" s="1"/>
  <c r="K118" i="23"/>
  <c r="J118" i="23" s="1"/>
  <c r="G127" i="23"/>
  <c r="G128" i="23" s="1"/>
  <c r="K128" i="23" s="1"/>
  <c r="J128" i="23" s="1"/>
  <c r="G193" i="23"/>
  <c r="K193" i="23" s="1"/>
  <c r="J193" i="23" s="1"/>
  <c r="G229" i="23"/>
  <c r="H245" i="23"/>
  <c r="G306" i="23"/>
  <c r="H306" i="23" s="1"/>
  <c r="G310" i="23"/>
  <c r="G361" i="23"/>
  <c r="H361" i="23" s="1"/>
  <c r="G389" i="23"/>
  <c r="K389" i="23" s="1"/>
  <c r="J389" i="23" s="1"/>
  <c r="G397" i="23"/>
  <c r="K397" i="23" s="1"/>
  <c r="J397" i="23" s="1"/>
  <c r="G401" i="23"/>
  <c r="G425" i="23"/>
  <c r="K425" i="23" s="1"/>
  <c r="J425" i="23" s="1"/>
  <c r="G485" i="23"/>
  <c r="G513" i="23"/>
  <c r="G521" i="23"/>
  <c r="H521" i="23" s="1"/>
  <c r="G613" i="23"/>
  <c r="H613" i="23" s="1"/>
  <c r="G633" i="23"/>
  <c r="H633" i="23" s="1"/>
  <c r="G656" i="23"/>
  <c r="H656" i="23" s="1"/>
  <c r="H717" i="23"/>
  <c r="H725" i="23"/>
  <c r="H729" i="23"/>
  <c r="G845" i="23"/>
  <c r="H845" i="23" s="1"/>
  <c r="H965" i="23"/>
  <c r="H973" i="23"/>
  <c r="G1009" i="23"/>
  <c r="K1009" i="23" s="1"/>
  <c r="J1009" i="23" s="1"/>
  <c r="G1025" i="23"/>
  <c r="G1086" i="23"/>
  <c r="G1098" i="23"/>
  <c r="G1102" i="23"/>
  <c r="G1122" i="23"/>
  <c r="H1122" i="23" s="1"/>
  <c r="G1159" i="23"/>
  <c r="K1159" i="23" s="1"/>
  <c r="J1159" i="23" s="1"/>
  <c r="G1167" i="23"/>
  <c r="K1167" i="23" s="1"/>
  <c r="J1167" i="23" s="1"/>
  <c r="G1255" i="23"/>
  <c r="H1255" i="23" s="1"/>
  <c r="G1271" i="23"/>
  <c r="G98" i="23"/>
  <c r="H98" i="23" s="1"/>
  <c r="K285" i="23"/>
  <c r="J285" i="23" s="1"/>
  <c r="G461" i="23"/>
  <c r="H461" i="23" s="1"/>
  <c r="H560" i="23"/>
  <c r="H809" i="23"/>
  <c r="G921" i="23"/>
  <c r="H921" i="23" s="1"/>
  <c r="G933" i="23"/>
  <c r="H933" i="23" s="1"/>
  <c r="G1005" i="23"/>
  <c r="K1005" i="23" s="1"/>
  <c r="J1005" i="23" s="1"/>
  <c r="H1101" i="23"/>
  <c r="G1126" i="23"/>
  <c r="H1126" i="23" s="1"/>
  <c r="G1138" i="23"/>
  <c r="G1251" i="23"/>
  <c r="G341" i="23"/>
  <c r="G429" i="23"/>
  <c r="H429" i="23" s="1"/>
  <c r="G473" i="23"/>
  <c r="H473" i="23" s="1"/>
  <c r="G481" i="23"/>
  <c r="H553" i="23"/>
  <c r="H565" i="23"/>
  <c r="H605" i="23"/>
  <c r="H724" i="23"/>
  <c r="H817" i="23"/>
  <c r="G841" i="23"/>
  <c r="H841" i="23" s="1"/>
  <c r="G1146" i="23"/>
  <c r="G1154" i="23"/>
  <c r="G1164" i="23" s="1"/>
  <c r="G1263" i="23"/>
  <c r="H1263" i="23" s="1"/>
  <c r="G1295" i="23"/>
  <c r="G1303" i="23"/>
  <c r="G198" i="23"/>
  <c r="H198" i="23" s="1"/>
  <c r="G197" i="23"/>
  <c r="H197" i="23" s="1"/>
  <c r="H241" i="23"/>
  <c r="G318" i="23"/>
  <c r="K318" i="23" s="1"/>
  <c r="J318" i="23" s="1"/>
  <c r="K449" i="23"/>
  <c r="J449" i="23" s="1"/>
  <c r="G525" i="23"/>
  <c r="H525" i="23" s="1"/>
  <c r="H557" i="23"/>
  <c r="H573" i="23"/>
  <c r="G645" i="23"/>
  <c r="H645" i="23" s="1"/>
  <c r="H753" i="23"/>
  <c r="G861" i="23"/>
  <c r="K897" i="23"/>
  <c r="J897" i="23" s="1"/>
  <c r="H977" i="23"/>
  <c r="H981" i="23"/>
  <c r="G1094" i="23"/>
  <c r="H1094" i="23" s="1"/>
  <c r="G1106" i="23"/>
  <c r="H1106" i="23" s="1"/>
  <c r="G1132" i="23"/>
  <c r="G1171" i="23"/>
  <c r="G1179" i="23"/>
  <c r="K1183" i="23"/>
  <c r="J1183" i="23" s="1"/>
  <c r="G1203" i="23"/>
  <c r="G1211" i="23"/>
  <c r="G1219" i="23"/>
  <c r="K1219" i="23" s="1"/>
  <c r="J1219" i="23" s="1"/>
  <c r="K1227" i="23"/>
  <c r="J1227" i="23" s="1"/>
  <c r="H1307" i="23"/>
  <c r="G293" i="23"/>
  <c r="G404" i="23"/>
  <c r="K404" i="23" s="1"/>
  <c r="J404" i="23" s="1"/>
  <c r="G469" i="23"/>
  <c r="G648" i="23"/>
  <c r="H648" i="23" s="1"/>
  <c r="H813" i="23"/>
  <c r="G1013" i="23"/>
  <c r="G1182" i="23"/>
  <c r="G1259" i="23"/>
  <c r="G433" i="23"/>
  <c r="H433" i="23" s="1"/>
  <c r="G441" i="23"/>
  <c r="K441" i="23" s="1"/>
  <c r="J441" i="23" s="1"/>
  <c r="H597" i="23"/>
  <c r="H849" i="23"/>
  <c r="G1057" i="23"/>
  <c r="H1057" i="23" s="1"/>
  <c r="G72" i="23"/>
  <c r="K72" i="23" s="1"/>
  <c r="J72" i="23" s="1"/>
  <c r="G99" i="23"/>
  <c r="H99" i="23" s="1"/>
  <c r="G109" i="23"/>
  <c r="G205" i="23"/>
  <c r="G266" i="23"/>
  <c r="K266" i="23" s="1"/>
  <c r="J266" i="23" s="1"/>
  <c r="G274" i="23"/>
  <c r="H274" i="23" s="1"/>
  <c r="G278" i="23"/>
  <c r="G302" i="23"/>
  <c r="H302" i="23" s="1"/>
  <c r="G338" i="23"/>
  <c r="H338" i="23" s="1"/>
  <c r="G346" i="23"/>
  <c r="H346" i="23" s="1"/>
  <c r="G350" i="23"/>
  <c r="G393" i="23"/>
  <c r="H393" i="23" s="1"/>
  <c r="G517" i="23"/>
  <c r="H517" i="23" s="1"/>
  <c r="G533" i="23"/>
  <c r="K533" i="23" s="1"/>
  <c r="J533" i="23" s="1"/>
  <c r="H581" i="23"/>
  <c r="G649" i="23"/>
  <c r="H649" i="23" s="1"/>
  <c r="H677" i="23"/>
  <c r="H685" i="23"/>
  <c r="H721" i="23"/>
  <c r="H737" i="23"/>
  <c r="H805" i="23"/>
  <c r="G910" i="23"/>
  <c r="H910" i="23" s="1"/>
  <c r="G914" i="23"/>
  <c r="H914" i="23" s="1"/>
  <c r="H929" i="23"/>
  <c r="G1054" i="23"/>
  <c r="H1090" i="23"/>
  <c r="G1165" i="23"/>
  <c r="K1165" i="23" s="1"/>
  <c r="J1165" i="23" s="1"/>
  <c r="G1223" i="23"/>
  <c r="G1300" i="23"/>
  <c r="G154" i="23"/>
  <c r="H154" i="23" s="1"/>
  <c r="G151" i="23"/>
  <c r="K161" i="23"/>
  <c r="J161" i="23" s="1"/>
  <c r="G142" i="23"/>
  <c r="K142" i="23" s="1"/>
  <c r="J142" i="23" s="1"/>
  <c r="K156" i="23"/>
  <c r="J156" i="23" s="1"/>
  <c r="H157" i="23"/>
  <c r="G153" i="23"/>
  <c r="K153" i="23" s="1"/>
  <c r="J153" i="23" s="1"/>
  <c r="G147" i="23"/>
  <c r="H147" i="23" s="1"/>
  <c r="G152" i="23"/>
  <c r="G143" i="23"/>
  <c r="G139" i="23"/>
  <c r="K139" i="23" s="1"/>
  <c r="J139" i="23" s="1"/>
  <c r="G144" i="23"/>
  <c r="H144" i="23" s="1"/>
  <c r="H116" i="23"/>
  <c r="G106" i="23"/>
  <c r="H106" i="23" s="1"/>
  <c r="G102" i="23"/>
  <c r="K102" i="23" s="1"/>
  <c r="J102" i="23" s="1"/>
  <c r="G112" i="23"/>
  <c r="K112" i="23" s="1"/>
  <c r="J112" i="23" s="1"/>
  <c r="G103" i="23"/>
  <c r="H103" i="23" s="1"/>
  <c r="G104" i="23"/>
  <c r="H104" i="23" s="1"/>
  <c r="G100" i="23"/>
  <c r="G110" i="23"/>
  <c r="H110" i="23" s="1"/>
  <c r="G95" i="23"/>
  <c r="H95" i="23" s="1"/>
  <c r="G105" i="23"/>
  <c r="H105" i="23" s="1"/>
  <c r="K1298" i="23"/>
  <c r="J1298" i="23" s="1"/>
  <c r="G1292" i="23"/>
  <c r="H1292" i="23" s="1"/>
  <c r="K1269" i="23"/>
  <c r="J1269" i="23" s="1"/>
  <c r="G1237" i="23"/>
  <c r="H1237" i="23" s="1"/>
  <c r="G1241" i="23"/>
  <c r="H1241" i="23" s="1"/>
  <c r="K1228" i="23"/>
  <c r="J1228" i="23" s="1"/>
  <c r="K1221" i="23"/>
  <c r="J1221" i="23" s="1"/>
  <c r="G1207" i="23"/>
  <c r="G1200" i="23"/>
  <c r="K1187" i="23"/>
  <c r="J1187" i="23" s="1"/>
  <c r="K1147" i="23"/>
  <c r="J1147" i="23" s="1"/>
  <c r="G1141" i="23"/>
  <c r="H1141" i="23" s="1"/>
  <c r="G1078" i="23"/>
  <c r="H1078" i="23" s="1"/>
  <c r="K1064" i="23"/>
  <c r="J1064" i="23" s="1"/>
  <c r="K1050" i="23"/>
  <c r="J1050" i="23" s="1"/>
  <c r="K1048" i="23"/>
  <c r="J1048" i="23" s="1"/>
  <c r="K1060" i="23"/>
  <c r="J1060" i="23" s="1"/>
  <c r="K1053" i="23"/>
  <c r="J1053" i="23" s="1"/>
  <c r="G1059" i="23"/>
  <c r="H1059" i="23" s="1"/>
  <c r="K1013" i="23"/>
  <c r="J1013" i="23" s="1"/>
  <c r="K1025" i="23"/>
  <c r="J1025" i="23" s="1"/>
  <c r="G1001" i="23"/>
  <c r="K949" i="23"/>
  <c r="G950" i="23"/>
  <c r="H950" i="23" s="1"/>
  <c r="G951" i="23"/>
  <c r="H951" i="23" s="1"/>
  <c r="H955" i="23"/>
  <c r="H959" i="23"/>
  <c r="H956" i="23"/>
  <c r="K984" i="23"/>
  <c r="J984" i="23" s="1"/>
  <c r="H954" i="23"/>
  <c r="K926" i="23"/>
  <c r="J926" i="23" s="1"/>
  <c r="K924" i="23"/>
  <c r="J924" i="23" s="1"/>
  <c r="K932" i="23"/>
  <c r="J932" i="23" s="1"/>
  <c r="K943" i="23"/>
  <c r="J943" i="23" s="1"/>
  <c r="G919" i="23"/>
  <c r="H919" i="23" s="1"/>
  <c r="H917" i="23"/>
  <c r="K872" i="23"/>
  <c r="J872" i="23" s="1"/>
  <c r="K887" i="23"/>
  <c r="J887" i="23" s="1"/>
  <c r="K893" i="23"/>
  <c r="J893" i="23" s="1"/>
  <c r="K902" i="23"/>
  <c r="J902" i="23" s="1"/>
  <c r="K846" i="23"/>
  <c r="J846" i="23" s="1"/>
  <c r="K847" i="23"/>
  <c r="J847" i="23" s="1"/>
  <c r="K855" i="23"/>
  <c r="J855" i="23" s="1"/>
  <c r="K861" i="23"/>
  <c r="J861" i="23" s="1"/>
  <c r="G831" i="23"/>
  <c r="H831" i="23" s="1"/>
  <c r="K799" i="23"/>
  <c r="J799" i="23" s="1"/>
  <c r="K807" i="23"/>
  <c r="J807" i="23" s="1"/>
  <c r="K811" i="23"/>
  <c r="J811" i="23" s="1"/>
  <c r="K804" i="23"/>
  <c r="J804" i="23" s="1"/>
  <c r="K761" i="23"/>
  <c r="J761" i="23" s="1"/>
  <c r="K766" i="23"/>
  <c r="J766" i="23" s="1"/>
  <c r="K779" i="23"/>
  <c r="J779" i="23" s="1"/>
  <c r="K760" i="23"/>
  <c r="J760" i="23" s="1"/>
  <c r="K755" i="23"/>
  <c r="J755" i="23" s="1"/>
  <c r="H749" i="23"/>
  <c r="K712" i="23"/>
  <c r="J712" i="23" s="1"/>
  <c r="K718" i="23"/>
  <c r="J718" i="23" s="1"/>
  <c r="K730" i="23"/>
  <c r="J730" i="23" s="1"/>
  <c r="K738" i="23"/>
  <c r="J738" i="23" s="1"/>
  <c r="K714" i="23"/>
  <c r="J714" i="23" s="1"/>
  <c r="K734" i="23"/>
  <c r="J734" i="23" s="1"/>
  <c r="H708" i="23"/>
  <c r="K683" i="23"/>
  <c r="J683" i="23" s="1"/>
  <c r="K678" i="23"/>
  <c r="J678" i="23" s="1"/>
  <c r="K653" i="23"/>
  <c r="J653" i="23" s="1"/>
  <c r="K644" i="23"/>
  <c r="J644" i="23" s="1"/>
  <c r="K640" i="23"/>
  <c r="J640" i="23" s="1"/>
  <c r="K651" i="23"/>
  <c r="J651" i="23" s="1"/>
  <c r="G632" i="23"/>
  <c r="H632" i="23" s="1"/>
  <c r="K621" i="23"/>
  <c r="G626" i="23"/>
  <c r="H626" i="23" s="1"/>
  <c r="K594" i="23"/>
  <c r="J594" i="23" s="1"/>
  <c r="K602" i="23"/>
  <c r="J602" i="23" s="1"/>
  <c r="K591" i="23"/>
  <c r="J591" i="23" s="1"/>
  <c r="K601" i="23"/>
  <c r="J601" i="23" s="1"/>
  <c r="H589" i="23"/>
  <c r="K574" i="23"/>
  <c r="J574" i="23" s="1"/>
  <c r="H574" i="23"/>
  <c r="H550" i="23"/>
  <c r="K531" i="23"/>
  <c r="J531" i="23" s="1"/>
  <c r="K532" i="23"/>
  <c r="J532" i="23" s="1"/>
  <c r="K514" i="23"/>
  <c r="J514" i="23" s="1"/>
  <c r="K522" i="23"/>
  <c r="J522" i="23" s="1"/>
  <c r="K529" i="23"/>
  <c r="J529" i="23" s="1"/>
  <c r="G503" i="23"/>
  <c r="H503" i="23" s="1"/>
  <c r="K492" i="23"/>
  <c r="J492" i="23" s="1"/>
  <c r="H492" i="23"/>
  <c r="G468" i="23"/>
  <c r="H468" i="23" s="1"/>
  <c r="G462" i="23"/>
  <c r="H462" i="23" s="1"/>
  <c r="K457" i="23"/>
  <c r="K421" i="23"/>
  <c r="J421" i="23" s="1"/>
  <c r="K437" i="23"/>
  <c r="J437" i="23" s="1"/>
  <c r="K444" i="23"/>
  <c r="J444" i="23" s="1"/>
  <c r="K448" i="23"/>
  <c r="J448" i="23" s="1"/>
  <c r="K348" i="23"/>
  <c r="J348" i="23" s="1"/>
  <c r="K363" i="23"/>
  <c r="J363" i="23" s="1"/>
  <c r="J334" i="23"/>
  <c r="G345" i="23"/>
  <c r="H345" i="23" s="1"/>
  <c r="G339" i="23"/>
  <c r="H339" i="23" s="1"/>
  <c r="K328" i="23"/>
  <c r="J328" i="23" s="1"/>
  <c r="G298" i="23"/>
  <c r="H298" i="23" s="1"/>
  <c r="K280" i="23"/>
  <c r="J280" i="23" s="1"/>
  <c r="K269" i="23"/>
  <c r="J269" i="23" s="1"/>
  <c r="K278" i="23"/>
  <c r="J278" i="23" s="1"/>
  <c r="G259" i="23"/>
  <c r="H259" i="23" s="1"/>
  <c r="G262" i="23"/>
  <c r="H262" i="23" s="1"/>
  <c r="G256" i="23"/>
  <c r="H256" i="23" s="1"/>
  <c r="G254" i="23"/>
  <c r="H254" i="23" s="1"/>
  <c r="K252" i="23"/>
  <c r="K281" i="23"/>
  <c r="J281" i="23" s="1"/>
  <c r="G255" i="23"/>
  <c r="H255" i="23" s="1"/>
  <c r="K275" i="23"/>
  <c r="J275" i="23" s="1"/>
  <c r="K287" i="23"/>
  <c r="J287" i="23" s="1"/>
  <c r="K264" i="23"/>
  <c r="J264" i="23" s="1"/>
  <c r="K268" i="23"/>
  <c r="J268" i="23" s="1"/>
  <c r="K216" i="23"/>
  <c r="J216" i="23" s="1"/>
  <c r="K240" i="23"/>
  <c r="J240" i="23" s="1"/>
  <c r="K238" i="23"/>
  <c r="J238" i="23" s="1"/>
  <c r="K227" i="23"/>
  <c r="J227" i="23" s="1"/>
  <c r="K246" i="23"/>
  <c r="J246" i="23" s="1"/>
  <c r="G178" i="23"/>
  <c r="H178" i="23" s="1"/>
  <c r="G176" i="23"/>
  <c r="H176" i="23" s="1"/>
  <c r="K189" i="23"/>
  <c r="J189" i="23" s="1"/>
  <c r="G172" i="23"/>
  <c r="H172" i="23" s="1"/>
  <c r="G177" i="23"/>
  <c r="H177" i="23" s="1"/>
  <c r="K187" i="23"/>
  <c r="J187" i="23" s="1"/>
  <c r="K184" i="23"/>
  <c r="J184" i="23" s="1"/>
  <c r="G173" i="23"/>
  <c r="H173" i="23" s="1"/>
  <c r="G185" i="23"/>
  <c r="H185" i="23" s="1"/>
  <c r="K159" i="23"/>
  <c r="J159" i="23" s="1"/>
  <c r="K140" i="23"/>
  <c r="J140" i="23" s="1"/>
  <c r="K136" i="23"/>
  <c r="J136" i="23" s="1"/>
  <c r="K148" i="23"/>
  <c r="J148" i="23" s="1"/>
  <c r="K150" i="23"/>
  <c r="J150" i="23" s="1"/>
  <c r="K154" i="23"/>
  <c r="J154" i="23" s="1"/>
  <c r="K162" i="23"/>
  <c r="J162" i="23" s="1"/>
  <c r="K106" i="23"/>
  <c r="J106" i="23" s="1"/>
  <c r="K108" i="23"/>
  <c r="J108" i="23" s="1"/>
  <c r="K120" i="23"/>
  <c r="J120" i="23" s="1"/>
  <c r="K110" i="23"/>
  <c r="J110" i="23" s="1"/>
  <c r="G50" i="23"/>
  <c r="G56" i="23"/>
  <c r="H56" i="23" s="1"/>
  <c r="G69" i="23"/>
  <c r="H69" i="23" s="1"/>
  <c r="H78" i="23"/>
  <c r="G54" i="23"/>
  <c r="H54" i="23" s="1"/>
  <c r="G73" i="23"/>
  <c r="H73" i="23" s="1"/>
  <c r="G67" i="23"/>
  <c r="H76" i="23"/>
  <c r="G55" i="23"/>
  <c r="G47" i="23"/>
  <c r="G48" i="23"/>
  <c r="H48" i="23" s="1"/>
  <c r="G52" i="23"/>
  <c r="K52" i="23"/>
  <c r="J52" i="23" s="1"/>
  <c r="K45" i="23"/>
  <c r="K57" i="23"/>
  <c r="J57" i="23" s="1"/>
  <c r="G49" i="23"/>
  <c r="H49" i="23" s="1"/>
  <c r="G53" i="23"/>
  <c r="H53" i="23" s="1"/>
  <c r="K54" i="23"/>
  <c r="J54" i="23" s="1"/>
  <c r="K70" i="23"/>
  <c r="J70" i="23" s="1"/>
  <c r="K74" i="23"/>
  <c r="J74" i="23" s="1"/>
  <c r="G46" i="23"/>
  <c r="H46" i="23" s="1"/>
  <c r="K60" i="23"/>
  <c r="J60" i="23" s="1"/>
  <c r="K75" i="23"/>
  <c r="J75" i="23" s="1"/>
  <c r="K48" i="23"/>
  <c r="J48" i="23" s="1"/>
  <c r="G51" i="23"/>
  <c r="K77" i="23"/>
  <c r="J77" i="23" s="1"/>
  <c r="K80" i="23"/>
  <c r="J80" i="23" s="1"/>
  <c r="G58" i="23"/>
  <c r="H58" i="23" s="1"/>
  <c r="B10" i="23"/>
  <c r="B8" i="23"/>
  <c r="B29" i="23"/>
  <c r="G29" i="23" s="1"/>
  <c r="H29" i="23" s="1"/>
  <c r="B7" i="23"/>
  <c r="B15" i="23"/>
  <c r="G15" i="23" s="1"/>
  <c r="H15" i="23" s="1"/>
  <c r="B35" i="23"/>
  <c r="H35" i="23" s="1"/>
  <c r="B25" i="23"/>
  <c r="G25" i="23" s="1"/>
  <c r="H25" i="23" s="1"/>
  <c r="G39" i="23"/>
  <c r="H39" i="23" s="1"/>
  <c r="H34" i="23"/>
  <c r="H37" i="23"/>
  <c r="G4" i="23"/>
  <c r="G26" i="23"/>
  <c r="H26" i="23" s="1"/>
  <c r="K32" i="23"/>
  <c r="J32" i="23" s="1"/>
  <c r="J1184" i="23" l="1"/>
  <c r="G1280" i="23"/>
  <c r="H1280" i="23" s="1"/>
  <c r="K1295" i="23"/>
  <c r="J1295" i="23" s="1"/>
  <c r="H1295" i="23"/>
  <c r="K1300" i="23"/>
  <c r="J1300" i="23" s="1"/>
  <c r="H1300" i="23"/>
  <c r="K1309" i="23"/>
  <c r="J1309" i="23" s="1"/>
  <c r="H1309" i="23"/>
  <c r="K1293" i="23"/>
  <c r="J1293" i="23" s="1"/>
  <c r="H1293" i="23"/>
  <c r="K1308" i="23"/>
  <c r="J1308" i="23" s="1"/>
  <c r="H1308" i="23"/>
  <c r="K1311" i="23"/>
  <c r="J1311" i="23" s="1"/>
  <c r="H1311" i="23"/>
  <c r="K1299" i="23"/>
  <c r="J1299" i="23" s="1"/>
  <c r="H1299" i="23"/>
  <c r="K1288" i="23"/>
  <c r="J1288" i="23" s="1"/>
  <c r="H1288" i="23"/>
  <c r="K1302" i="23"/>
  <c r="J1302" i="23" s="1"/>
  <c r="H1302" i="23"/>
  <c r="K1306" i="23"/>
  <c r="J1306" i="23" s="1"/>
  <c r="H1306" i="23"/>
  <c r="K1305" i="23"/>
  <c r="J1305" i="23" s="1"/>
  <c r="K1291" i="23"/>
  <c r="J1291" i="23" s="1"/>
  <c r="H1291" i="23"/>
  <c r="K1307" i="23"/>
  <c r="J1307" i="23" s="1"/>
  <c r="K1303" i="23"/>
  <c r="J1303" i="23" s="1"/>
  <c r="H1303" i="23"/>
  <c r="G1287" i="23"/>
  <c r="H1287" i="23" s="1"/>
  <c r="H1277" i="23"/>
  <c r="G1281" i="23"/>
  <c r="H1281" i="23" s="1"/>
  <c r="G1285" i="23"/>
  <c r="H1285" i="23" s="1"/>
  <c r="K1310" i="23"/>
  <c r="J1310" i="23" s="1"/>
  <c r="K1289" i="23"/>
  <c r="J1289" i="23" s="1"/>
  <c r="G1283" i="23"/>
  <c r="K1277" i="23"/>
  <c r="J1277" i="23" s="1"/>
  <c r="G1284" i="23"/>
  <c r="G1278" i="23"/>
  <c r="H1278" i="23" s="1"/>
  <c r="K1259" i="23"/>
  <c r="J1259" i="23" s="1"/>
  <c r="H1259" i="23"/>
  <c r="K1250" i="23"/>
  <c r="J1250" i="23" s="1"/>
  <c r="H1250" i="23"/>
  <c r="K1245" i="23"/>
  <c r="J1245" i="23" s="1"/>
  <c r="H1245" i="23"/>
  <c r="K1247" i="23"/>
  <c r="J1247" i="23" s="1"/>
  <c r="H1247" i="23"/>
  <c r="K1268" i="23"/>
  <c r="J1268" i="23" s="1"/>
  <c r="H1268" i="23"/>
  <c r="K1251" i="23"/>
  <c r="J1251" i="23" s="1"/>
  <c r="H1251" i="23"/>
  <c r="K1253" i="23"/>
  <c r="J1253" i="23" s="1"/>
  <c r="H1253" i="23"/>
  <c r="K1248" i="23"/>
  <c r="J1248" i="23" s="1"/>
  <c r="H1248" i="23"/>
  <c r="K1257" i="23"/>
  <c r="J1257" i="23" s="1"/>
  <c r="H1257" i="23"/>
  <c r="K1262" i="23"/>
  <c r="J1262" i="23" s="1"/>
  <c r="H1262" i="23"/>
  <c r="H1243" i="23"/>
  <c r="H1236" i="23"/>
  <c r="K1261" i="23"/>
  <c r="J1261" i="23" s="1"/>
  <c r="G1239" i="23"/>
  <c r="H1239" i="23" s="1"/>
  <c r="K1211" i="23"/>
  <c r="J1211" i="23" s="1"/>
  <c r="G1196" i="23"/>
  <c r="K1195" i="23"/>
  <c r="J1195" i="23" s="1"/>
  <c r="K1206" i="23"/>
  <c r="J1206" i="23" s="1"/>
  <c r="G1161" i="23"/>
  <c r="G1160" i="23"/>
  <c r="K1154" i="23"/>
  <c r="J1154" i="23" s="1"/>
  <c r="G1162" i="23"/>
  <c r="K1162" i="23" s="1"/>
  <c r="J1162" i="23" s="1"/>
  <c r="K1137" i="23"/>
  <c r="J1137" i="23" s="1"/>
  <c r="K1130" i="23"/>
  <c r="J1130" i="23" s="1"/>
  <c r="K1145" i="23"/>
  <c r="J1145" i="23" s="1"/>
  <c r="K1127" i="23"/>
  <c r="J1127" i="23" s="1"/>
  <c r="H1127" i="23"/>
  <c r="K1125" i="23"/>
  <c r="J1125" i="23" s="1"/>
  <c r="H1125" i="23"/>
  <c r="K1124" i="23"/>
  <c r="J1124" i="23" s="1"/>
  <c r="H1124" i="23"/>
  <c r="K1135" i="23"/>
  <c r="J1135" i="23" s="1"/>
  <c r="H1135" i="23"/>
  <c r="K1134" i="23"/>
  <c r="J1134" i="23" s="1"/>
  <c r="H1134" i="23"/>
  <c r="K1138" i="23"/>
  <c r="J1138" i="23" s="1"/>
  <c r="H1138" i="23"/>
  <c r="K1143" i="23"/>
  <c r="J1143" i="23" s="1"/>
  <c r="K1132" i="23"/>
  <c r="J1132" i="23" s="1"/>
  <c r="H1132" i="23"/>
  <c r="K1126" i="23"/>
  <c r="J1126" i="23" s="1"/>
  <c r="K1133" i="23"/>
  <c r="J1133" i="23" s="1"/>
  <c r="H1133" i="23"/>
  <c r="K1140" i="23"/>
  <c r="J1140" i="23" s="1"/>
  <c r="K1128" i="23"/>
  <c r="J1128" i="23" s="1"/>
  <c r="K1146" i="23"/>
  <c r="J1146" i="23" s="1"/>
  <c r="H1146" i="23"/>
  <c r="G1117" i="23"/>
  <c r="H1117" i="23" s="1"/>
  <c r="H1113" i="23"/>
  <c r="G1115" i="23"/>
  <c r="H1115" i="23" s="1"/>
  <c r="K1097" i="23"/>
  <c r="J1097" i="23" s="1"/>
  <c r="K1089" i="23"/>
  <c r="J1089" i="23" s="1"/>
  <c r="K1085" i="23"/>
  <c r="J1085" i="23" s="1"/>
  <c r="K1077" i="23"/>
  <c r="J1077" i="23" s="1"/>
  <c r="K1091" i="23"/>
  <c r="J1091" i="23" s="1"/>
  <c r="H1091" i="23"/>
  <c r="K1088" i="23"/>
  <c r="J1088" i="23" s="1"/>
  <c r="H1088" i="23"/>
  <c r="K1098" i="23"/>
  <c r="J1098" i="23" s="1"/>
  <c r="H1098" i="23"/>
  <c r="K1093" i="23"/>
  <c r="J1093" i="23" s="1"/>
  <c r="H1093" i="23"/>
  <c r="K1095" i="23"/>
  <c r="J1095" i="23" s="1"/>
  <c r="H1095" i="23"/>
  <c r="K1086" i="23"/>
  <c r="J1086" i="23" s="1"/>
  <c r="H1086" i="23"/>
  <c r="K1084" i="23"/>
  <c r="J1084" i="23" s="1"/>
  <c r="K1102" i="23"/>
  <c r="J1102" i="23" s="1"/>
  <c r="H1102" i="23"/>
  <c r="K1103" i="23"/>
  <c r="J1103" i="23" s="1"/>
  <c r="H1103" i="23"/>
  <c r="K1083" i="23"/>
  <c r="J1083" i="23" s="1"/>
  <c r="H1083" i="23"/>
  <c r="K1101" i="23"/>
  <c r="J1101" i="23" s="1"/>
  <c r="K1087" i="23"/>
  <c r="J1087" i="23" s="1"/>
  <c r="G1082" i="23"/>
  <c r="H1082" i="23" s="1"/>
  <c r="H1072" i="23"/>
  <c r="K1040" i="23"/>
  <c r="J1040" i="23" s="1"/>
  <c r="K1058" i="23"/>
  <c r="J1058" i="23" s="1"/>
  <c r="K1054" i="23"/>
  <c r="J1054" i="23" s="1"/>
  <c r="H1054" i="23"/>
  <c r="K1062" i="23"/>
  <c r="J1062" i="23" s="1"/>
  <c r="H1062" i="23"/>
  <c r="K1043" i="23"/>
  <c r="J1043" i="23" s="1"/>
  <c r="H1043" i="23"/>
  <c r="K1056" i="23"/>
  <c r="J1056" i="23" s="1"/>
  <c r="H1056" i="23"/>
  <c r="K1063" i="23"/>
  <c r="J1063" i="23" s="1"/>
  <c r="K1065" i="23"/>
  <c r="J1065" i="23" s="1"/>
  <c r="H1065" i="23"/>
  <c r="K1046" i="23"/>
  <c r="J1046" i="23" s="1"/>
  <c r="K1061" i="23"/>
  <c r="J1061" i="23" s="1"/>
  <c r="H1061" i="23"/>
  <c r="K1031" i="23"/>
  <c r="J1031" i="23" s="1"/>
  <c r="H1031" i="23"/>
  <c r="K1021" i="23"/>
  <c r="J1021" i="23" s="1"/>
  <c r="K1011" i="23"/>
  <c r="J1011" i="23" s="1"/>
  <c r="K1014" i="23"/>
  <c r="J1014" i="23" s="1"/>
  <c r="K982" i="23"/>
  <c r="J982" i="23" s="1"/>
  <c r="H982" i="23"/>
  <c r="K978" i="23"/>
  <c r="J978" i="23" s="1"/>
  <c r="H978" i="23"/>
  <c r="K966" i="23"/>
  <c r="J966" i="23" s="1"/>
  <c r="H966" i="23"/>
  <c r="K983" i="23"/>
  <c r="J983" i="23" s="1"/>
  <c r="H983" i="23"/>
  <c r="K975" i="23"/>
  <c r="J975" i="23" s="1"/>
  <c r="K971" i="23"/>
  <c r="J971" i="23" s="1"/>
  <c r="K961" i="23"/>
  <c r="J961" i="23" s="1"/>
  <c r="H961" i="23"/>
  <c r="K970" i="23"/>
  <c r="J970" i="23" s="1"/>
  <c r="H970" i="23"/>
  <c r="K963" i="23"/>
  <c r="J963" i="23" s="1"/>
  <c r="H963" i="23"/>
  <c r="H957" i="23"/>
  <c r="H949" i="23"/>
  <c r="K960" i="23"/>
  <c r="J960" i="23" s="1"/>
  <c r="K980" i="23"/>
  <c r="J980" i="23" s="1"/>
  <c r="G953" i="23"/>
  <c r="K958" i="23"/>
  <c r="J958" i="23" s="1"/>
  <c r="K974" i="23"/>
  <c r="J974" i="23" s="1"/>
  <c r="K967" i="23"/>
  <c r="J967" i="23" s="1"/>
  <c r="K923" i="23"/>
  <c r="J923" i="23" s="1"/>
  <c r="K934" i="23"/>
  <c r="J934" i="23" s="1"/>
  <c r="K925" i="23"/>
  <c r="J925" i="23" s="1"/>
  <c r="H925" i="23"/>
  <c r="K913" i="23"/>
  <c r="J913" i="23" s="1"/>
  <c r="H913" i="23"/>
  <c r="K938" i="23"/>
  <c r="J938" i="23" s="1"/>
  <c r="H938" i="23"/>
  <c r="K941" i="23"/>
  <c r="J941" i="23" s="1"/>
  <c r="K942" i="23"/>
  <c r="J942" i="23" s="1"/>
  <c r="H942" i="23"/>
  <c r="K928" i="23"/>
  <c r="J928" i="23" s="1"/>
  <c r="H928" i="23"/>
  <c r="K920" i="23"/>
  <c r="J920" i="23" s="1"/>
  <c r="H920" i="23"/>
  <c r="K922" i="23"/>
  <c r="J922" i="23" s="1"/>
  <c r="H922" i="23"/>
  <c r="K939" i="23"/>
  <c r="J939" i="23" s="1"/>
  <c r="K940" i="23"/>
  <c r="J940" i="23" s="1"/>
  <c r="K935" i="23"/>
  <c r="J935" i="23" s="1"/>
  <c r="H935" i="23"/>
  <c r="G911" i="23"/>
  <c r="G909" i="23"/>
  <c r="H909" i="23" s="1"/>
  <c r="K879" i="23"/>
  <c r="J879" i="23" s="1"/>
  <c r="K894" i="23"/>
  <c r="J894" i="23" s="1"/>
  <c r="K884" i="23"/>
  <c r="J884" i="23" s="1"/>
  <c r="K841" i="23"/>
  <c r="J841" i="23" s="1"/>
  <c r="K844" i="23"/>
  <c r="J844" i="23" s="1"/>
  <c r="H844" i="23"/>
  <c r="K859" i="23"/>
  <c r="J859" i="23" s="1"/>
  <c r="H859" i="23"/>
  <c r="K838" i="23"/>
  <c r="J838" i="23" s="1"/>
  <c r="H838" i="23"/>
  <c r="K835" i="23"/>
  <c r="J835" i="23" s="1"/>
  <c r="H835" i="23"/>
  <c r="K858" i="23"/>
  <c r="J858" i="23" s="1"/>
  <c r="H858" i="23"/>
  <c r="K837" i="23"/>
  <c r="J837" i="23" s="1"/>
  <c r="H837" i="23"/>
  <c r="K839" i="23"/>
  <c r="J839" i="23" s="1"/>
  <c r="H839" i="23"/>
  <c r="K852" i="23"/>
  <c r="J852" i="23" s="1"/>
  <c r="H852" i="23"/>
  <c r="K848" i="23"/>
  <c r="J848" i="23" s="1"/>
  <c r="H848" i="23"/>
  <c r="K860" i="23"/>
  <c r="J860" i="23" s="1"/>
  <c r="H860" i="23"/>
  <c r="K840" i="23"/>
  <c r="J840" i="23" s="1"/>
  <c r="H840" i="23"/>
  <c r="K856" i="23"/>
  <c r="J856" i="23" s="1"/>
  <c r="K853" i="23"/>
  <c r="J853" i="23" s="1"/>
  <c r="H853" i="23"/>
  <c r="G829" i="23"/>
  <c r="H829" i="23" s="1"/>
  <c r="H826" i="23"/>
  <c r="H793" i="23"/>
  <c r="H785" i="23"/>
  <c r="G135" i="23"/>
  <c r="H135" i="23" s="1"/>
  <c r="G834" i="23"/>
  <c r="H834" i="23" s="1"/>
  <c r="H1246" i="23"/>
  <c r="K777" i="23"/>
  <c r="J777" i="23" s="1"/>
  <c r="H777" i="23"/>
  <c r="H223" i="23"/>
  <c r="K146" i="23"/>
  <c r="J146" i="23" s="1"/>
  <c r="K343" i="23"/>
  <c r="J343" i="23" s="1"/>
  <c r="K467" i="23"/>
  <c r="J467" i="23" s="1"/>
  <c r="K614" i="23"/>
  <c r="J614" i="23" s="1"/>
  <c r="K717" i="23"/>
  <c r="J717" i="23" s="1"/>
  <c r="G830" i="23"/>
  <c r="H830" i="23" s="1"/>
  <c r="K914" i="23"/>
  <c r="J914" i="23" s="1"/>
  <c r="G994" i="23"/>
  <c r="K803" i="23"/>
  <c r="J803" i="23" s="1"/>
  <c r="H803" i="23"/>
  <c r="H428" i="23"/>
  <c r="H449" i="23"/>
  <c r="H142" i="23"/>
  <c r="K121" i="23"/>
  <c r="J121" i="23" s="1"/>
  <c r="G133" i="23"/>
  <c r="H133" i="23" s="1"/>
  <c r="K656" i="23"/>
  <c r="J656" i="23" s="1"/>
  <c r="G1080" i="23"/>
  <c r="H1080" i="23" s="1"/>
  <c r="G1119" i="23"/>
  <c r="H1119" i="23" s="1"/>
  <c r="K1260" i="23"/>
  <c r="J1260" i="23" s="1"/>
  <c r="K1236" i="23"/>
  <c r="J1236" i="23" s="1"/>
  <c r="K769" i="23"/>
  <c r="J769" i="23" s="1"/>
  <c r="H769" i="23"/>
  <c r="K98" i="23"/>
  <c r="J98" i="23" s="1"/>
  <c r="K99" i="23"/>
  <c r="J99" i="23" s="1"/>
  <c r="K516" i="23"/>
  <c r="J516" i="23" s="1"/>
  <c r="K880" i="23"/>
  <c r="J880" i="23" s="1"/>
  <c r="G993" i="23"/>
  <c r="K993" i="23" s="1"/>
  <c r="J993" i="23" s="1"/>
  <c r="G1076" i="23"/>
  <c r="H1076" i="23" s="1"/>
  <c r="K1096" i="23"/>
  <c r="J1096" i="23" s="1"/>
  <c r="G1123" i="23"/>
  <c r="K757" i="23"/>
  <c r="J757" i="23" s="1"/>
  <c r="H757" i="23"/>
  <c r="K1301" i="23"/>
  <c r="J1301" i="23" s="1"/>
  <c r="G458" i="23"/>
  <c r="H458" i="23" s="1"/>
  <c r="K801" i="23"/>
  <c r="J801" i="23" s="1"/>
  <c r="H801" i="23"/>
  <c r="H139" i="23"/>
  <c r="H772" i="23"/>
  <c r="K771" i="23"/>
  <c r="J771" i="23" s="1"/>
  <c r="H771" i="23"/>
  <c r="G833" i="23"/>
  <c r="H390" i="23"/>
  <c r="K1226" i="23"/>
  <c r="J1226" i="23" s="1"/>
  <c r="K794" i="23"/>
  <c r="J794" i="23" s="1"/>
  <c r="H794" i="23"/>
  <c r="H222" i="23"/>
  <c r="H410" i="23"/>
  <c r="H72" i="23"/>
  <c r="K518" i="23"/>
  <c r="J518" i="23" s="1"/>
  <c r="K845" i="23"/>
  <c r="J845" i="23" s="1"/>
  <c r="K1144" i="23"/>
  <c r="J1144" i="23" s="1"/>
  <c r="K770" i="23"/>
  <c r="J770" i="23" s="1"/>
  <c r="H770" i="23"/>
  <c r="H153" i="23"/>
  <c r="H62" i="23"/>
  <c r="H806" i="23"/>
  <c r="K196" i="23"/>
  <c r="J196" i="23" s="1"/>
  <c r="K519" i="23"/>
  <c r="J519" i="23" s="1"/>
  <c r="K451" i="23"/>
  <c r="J451" i="23" s="1"/>
  <c r="K820" i="23"/>
  <c r="J820" i="23" s="1"/>
  <c r="K818" i="23"/>
  <c r="J818" i="23" s="1"/>
  <c r="H818" i="23"/>
  <c r="H113" i="23"/>
  <c r="H118" i="23"/>
  <c r="H195" i="23"/>
  <c r="H234" i="23"/>
  <c r="H182" i="23"/>
  <c r="K815" i="23"/>
  <c r="J815" i="23" s="1"/>
  <c r="H815" i="23"/>
  <c r="H762" i="23"/>
  <c r="K355" i="23"/>
  <c r="J355" i="23" s="1"/>
  <c r="K304" i="23"/>
  <c r="J304" i="23" s="1"/>
  <c r="K765" i="23"/>
  <c r="J765" i="23" s="1"/>
  <c r="H765" i="23"/>
  <c r="H202" i="23"/>
  <c r="K764" i="23"/>
  <c r="J764" i="23" s="1"/>
  <c r="H764" i="23"/>
  <c r="H102" i="23"/>
  <c r="G137" i="23"/>
  <c r="H137" i="23" s="1"/>
  <c r="K1045" i="23"/>
  <c r="J1045" i="23" s="1"/>
  <c r="K1252" i="23"/>
  <c r="J1252" i="23" s="1"/>
  <c r="K147" i="23"/>
  <c r="J147" i="23" s="1"/>
  <c r="H751" i="23"/>
  <c r="H744" i="23"/>
  <c r="H228" i="23"/>
  <c r="H233" i="23"/>
  <c r="K226" i="23"/>
  <c r="J226" i="23" s="1"/>
  <c r="K1024" i="23"/>
  <c r="J1024" i="23" s="1"/>
  <c r="K1142" i="23"/>
  <c r="J1142" i="23" s="1"/>
  <c r="K1297" i="23"/>
  <c r="J1297" i="23" s="1"/>
  <c r="K95" i="23"/>
  <c r="J95" i="23" s="1"/>
  <c r="K181" i="23"/>
  <c r="J181" i="23" s="1"/>
  <c r="K681" i="23"/>
  <c r="J681" i="23" s="1"/>
  <c r="K890" i="23"/>
  <c r="J890" i="23" s="1"/>
  <c r="G952" i="23"/>
  <c r="H952" i="23" s="1"/>
  <c r="K981" i="23"/>
  <c r="J981" i="23" s="1"/>
  <c r="K1047" i="23"/>
  <c r="J1047" i="23" s="1"/>
  <c r="K1196" i="23"/>
  <c r="J1196" i="23" s="1"/>
  <c r="K759" i="23"/>
  <c r="J759" i="23" s="1"/>
  <c r="H759" i="23"/>
  <c r="K802" i="23"/>
  <c r="J802" i="23" s="1"/>
  <c r="H802" i="23"/>
  <c r="H191" i="23"/>
  <c r="K144" i="23"/>
  <c r="J144" i="23" s="1"/>
  <c r="K1294" i="23"/>
  <c r="J1294" i="23" s="1"/>
  <c r="K127" i="23"/>
  <c r="K797" i="23"/>
  <c r="J797" i="23" s="1"/>
  <c r="H797" i="23"/>
  <c r="H384" i="23"/>
  <c r="K790" i="23"/>
  <c r="J790" i="23" s="1"/>
  <c r="H790" i="23"/>
  <c r="K101" i="23"/>
  <c r="J101" i="23" s="1"/>
  <c r="K241" i="23"/>
  <c r="J241" i="23" s="1"/>
  <c r="K73" i="23"/>
  <c r="J73" i="23" s="1"/>
  <c r="K235" i="23"/>
  <c r="J235" i="23" s="1"/>
  <c r="K442" i="23"/>
  <c r="J442" i="23" s="1"/>
  <c r="K309" i="23"/>
  <c r="J309" i="23" s="1"/>
  <c r="K973" i="23"/>
  <c r="J973" i="23" s="1"/>
  <c r="K1263" i="23"/>
  <c r="J1263" i="23" s="1"/>
  <c r="K1182" i="23"/>
  <c r="J1182" i="23" s="1"/>
  <c r="G916" i="23"/>
  <c r="H916" i="23" s="1"/>
  <c r="K800" i="23"/>
  <c r="J800" i="23" s="1"/>
  <c r="H800" i="23"/>
  <c r="H404" i="23"/>
  <c r="H115" i="23"/>
  <c r="G1238" i="23"/>
  <c r="H1238" i="23" s="1"/>
  <c r="K116" i="23"/>
  <c r="J116" i="23" s="1"/>
  <c r="K498" i="23"/>
  <c r="J498" i="23" s="1"/>
  <c r="K674" i="23"/>
  <c r="J674" i="23" s="1"/>
  <c r="K758" i="23"/>
  <c r="J758" i="23" s="1"/>
  <c r="H758" i="23"/>
  <c r="K689" i="23"/>
  <c r="J689" i="23" s="1"/>
  <c r="K119" i="23"/>
  <c r="J119" i="23" s="1"/>
  <c r="K560" i="23"/>
  <c r="J560" i="23" s="1"/>
  <c r="K933" i="23"/>
  <c r="J933" i="23" s="1"/>
  <c r="K979" i="23"/>
  <c r="J979" i="23" s="1"/>
  <c r="H279" i="23"/>
  <c r="G174" i="23"/>
  <c r="H174" i="23" s="1"/>
  <c r="K244" i="23"/>
  <c r="J244" i="23" s="1"/>
  <c r="K480" i="23"/>
  <c r="J480" i="23" s="1"/>
  <c r="K667" i="23"/>
  <c r="J667" i="23" s="1"/>
  <c r="K921" i="23"/>
  <c r="J921" i="23" s="1"/>
  <c r="G1041" i="23"/>
  <c r="G1074" i="23"/>
  <c r="H1074" i="23" s="1"/>
  <c r="K103" i="23"/>
  <c r="J103" i="23" s="1"/>
  <c r="K198" i="23"/>
  <c r="J198" i="23" s="1"/>
  <c r="K366" i="23"/>
  <c r="J366" i="23" s="1"/>
  <c r="K491" i="23"/>
  <c r="J491" i="23" s="1"/>
  <c r="K857" i="23"/>
  <c r="J857" i="23" s="1"/>
  <c r="G1033" i="23"/>
  <c r="H1033" i="23" s="1"/>
  <c r="K612" i="23"/>
  <c r="J612" i="23" s="1"/>
  <c r="H192" i="23"/>
  <c r="K816" i="23"/>
  <c r="J816" i="23" s="1"/>
  <c r="K812" i="23"/>
  <c r="J812" i="23" s="1"/>
  <c r="K810" i="23"/>
  <c r="J810" i="23" s="1"/>
  <c r="K798" i="23"/>
  <c r="J798" i="23" s="1"/>
  <c r="H792" i="23"/>
  <c r="H788" i="23"/>
  <c r="K817" i="23"/>
  <c r="J817" i="23" s="1"/>
  <c r="K785" i="23"/>
  <c r="J785" i="23" s="1"/>
  <c r="H789" i="23"/>
  <c r="H787" i="23"/>
  <c r="K767" i="23"/>
  <c r="J767" i="23" s="1"/>
  <c r="K753" i="23"/>
  <c r="J753" i="23" s="1"/>
  <c r="K768" i="23"/>
  <c r="J768" i="23" s="1"/>
  <c r="K737" i="23"/>
  <c r="J737" i="23" s="1"/>
  <c r="K728" i="23"/>
  <c r="J728" i="23" s="1"/>
  <c r="H728" i="23"/>
  <c r="K715" i="23"/>
  <c r="J715" i="23" s="1"/>
  <c r="H715" i="23"/>
  <c r="K720" i="23"/>
  <c r="J720" i="23" s="1"/>
  <c r="H720" i="23"/>
  <c r="K723" i="23"/>
  <c r="J723" i="23" s="1"/>
  <c r="H723" i="23"/>
  <c r="K735" i="23"/>
  <c r="J735" i="23" s="1"/>
  <c r="H735" i="23"/>
  <c r="K726" i="23"/>
  <c r="J726" i="23" s="1"/>
  <c r="K733" i="23"/>
  <c r="J733" i="23" s="1"/>
  <c r="H733" i="23"/>
  <c r="K719" i="23"/>
  <c r="J719" i="23" s="1"/>
  <c r="H719" i="23"/>
  <c r="K716" i="23"/>
  <c r="J716" i="23" s="1"/>
  <c r="H716" i="23"/>
  <c r="K727" i="23"/>
  <c r="J727" i="23" s="1"/>
  <c r="H710" i="23"/>
  <c r="H703" i="23"/>
  <c r="K722" i="23"/>
  <c r="J722" i="23" s="1"/>
  <c r="K729" i="23"/>
  <c r="J729" i="23" s="1"/>
  <c r="K673" i="23"/>
  <c r="J673" i="23" s="1"/>
  <c r="K691" i="23"/>
  <c r="J691" i="23" s="1"/>
  <c r="K684" i="23"/>
  <c r="J684" i="23" s="1"/>
  <c r="H684" i="23"/>
  <c r="K671" i="23"/>
  <c r="J671" i="23" s="1"/>
  <c r="H671" i="23"/>
  <c r="K686" i="23"/>
  <c r="J686" i="23" s="1"/>
  <c r="H686" i="23"/>
  <c r="K696" i="23"/>
  <c r="J696" i="23" s="1"/>
  <c r="H696" i="23"/>
  <c r="K677" i="23"/>
  <c r="J677" i="23" s="1"/>
  <c r="K695" i="23"/>
  <c r="J695" i="23" s="1"/>
  <c r="K687" i="23"/>
  <c r="J687" i="23" s="1"/>
  <c r="K680" i="23"/>
  <c r="J680" i="23" s="1"/>
  <c r="H680" i="23"/>
  <c r="K692" i="23"/>
  <c r="J692" i="23" s="1"/>
  <c r="H692" i="23"/>
  <c r="G666" i="23"/>
  <c r="H666" i="23" s="1"/>
  <c r="H662" i="23"/>
  <c r="K693" i="23"/>
  <c r="J693" i="23" s="1"/>
  <c r="K630" i="23"/>
  <c r="J630" i="23" s="1"/>
  <c r="K648" i="23"/>
  <c r="J648" i="23" s="1"/>
  <c r="G627" i="23"/>
  <c r="G623" i="23"/>
  <c r="H623" i="23" s="1"/>
  <c r="G624" i="23"/>
  <c r="H624" i="23" s="1"/>
  <c r="G622" i="23"/>
  <c r="H622" i="23" s="1"/>
  <c r="G625" i="23"/>
  <c r="K643" i="23"/>
  <c r="J643" i="23" s="1"/>
  <c r="H643" i="23"/>
  <c r="K634" i="23"/>
  <c r="J634" i="23" s="1"/>
  <c r="H634" i="23"/>
  <c r="K655" i="23"/>
  <c r="J655" i="23" s="1"/>
  <c r="K639" i="23"/>
  <c r="J639" i="23" s="1"/>
  <c r="H639" i="23"/>
  <c r="K637" i="23"/>
  <c r="J637" i="23" s="1"/>
  <c r="H637" i="23"/>
  <c r="K647" i="23"/>
  <c r="J647" i="23" s="1"/>
  <c r="K646" i="23"/>
  <c r="J646" i="23" s="1"/>
  <c r="H646" i="23"/>
  <c r="K654" i="23"/>
  <c r="J654" i="23" s="1"/>
  <c r="H654" i="23"/>
  <c r="K641" i="23"/>
  <c r="J641" i="23" s="1"/>
  <c r="H641" i="23"/>
  <c r="K635" i="23"/>
  <c r="J635" i="23" s="1"/>
  <c r="H635" i="23"/>
  <c r="G629" i="23"/>
  <c r="H629" i="23" s="1"/>
  <c r="K625" i="23"/>
  <c r="J625" i="23" s="1"/>
  <c r="H625" i="23"/>
  <c r="G628" i="23"/>
  <c r="K622" i="23"/>
  <c r="J622" i="23" s="1"/>
  <c r="H593" i="23"/>
  <c r="K593" i="23"/>
  <c r="J593" i="23" s="1"/>
  <c r="K229" i="23"/>
  <c r="J229" i="23" s="1"/>
  <c r="H229" i="23"/>
  <c r="K267" i="23"/>
  <c r="J267" i="23" s="1"/>
  <c r="H267" i="23"/>
  <c r="K190" i="23"/>
  <c r="J190" i="23" s="1"/>
  <c r="H190" i="23"/>
  <c r="K282" i="23"/>
  <c r="J282" i="23" s="1"/>
  <c r="H282" i="23"/>
  <c r="K273" i="23"/>
  <c r="J273" i="23" s="1"/>
  <c r="H273" i="23"/>
  <c r="K1179" i="23"/>
  <c r="J1179" i="23" s="1"/>
  <c r="G90" i="23"/>
  <c r="H90" i="23" s="1"/>
  <c r="H86" i="23"/>
  <c r="G92" i="23"/>
  <c r="H92" i="23" s="1"/>
  <c r="G96" i="23"/>
  <c r="H96" i="23" s="1"/>
  <c r="K1042" i="23"/>
  <c r="J1042" i="23" s="1"/>
  <c r="K117" i="23"/>
  <c r="J117" i="23" s="1"/>
  <c r="K351" i="23"/>
  <c r="J351" i="23" s="1"/>
  <c r="H151" i="23"/>
  <c r="K151" i="23"/>
  <c r="J151" i="23" s="1"/>
  <c r="K386" i="23"/>
  <c r="J386" i="23" s="1"/>
  <c r="H386" i="23"/>
  <c r="K97" i="23"/>
  <c r="J97" i="23" s="1"/>
  <c r="H97" i="23"/>
  <c r="K1049" i="23"/>
  <c r="J1049" i="23" s="1"/>
  <c r="K387" i="23"/>
  <c r="J387" i="23" s="1"/>
  <c r="H387" i="23"/>
  <c r="H283" i="23"/>
  <c r="H114" i="23"/>
  <c r="H71" i="23"/>
  <c r="G94" i="23"/>
  <c r="H94" i="23" s="1"/>
  <c r="K68" i="23"/>
  <c r="J68" i="23" s="1"/>
  <c r="K1036" i="23"/>
  <c r="J1036" i="23" s="1"/>
  <c r="K286" i="23"/>
  <c r="J286" i="23" s="1"/>
  <c r="H286" i="23"/>
  <c r="K91" i="23"/>
  <c r="J91" i="23" s="1"/>
  <c r="K867" i="23"/>
  <c r="J867" i="23" s="1"/>
  <c r="K391" i="23"/>
  <c r="J391" i="23" s="1"/>
  <c r="H391" i="23"/>
  <c r="H263" i="23"/>
  <c r="H705" i="23"/>
  <c r="K1216" i="23"/>
  <c r="J1216" i="23" s="1"/>
  <c r="K105" i="23"/>
  <c r="J105" i="23" s="1"/>
  <c r="K403" i="23"/>
  <c r="J403" i="23" s="1"/>
  <c r="H704" i="23"/>
  <c r="K1081" i="23"/>
  <c r="J1081" i="23" s="1"/>
  <c r="K1203" i="23"/>
  <c r="J1203" i="23" s="1"/>
  <c r="G836" i="23"/>
  <c r="K826" i="23"/>
  <c r="J826" i="23" s="1"/>
  <c r="K61" i="23"/>
  <c r="J61" i="23" s="1"/>
  <c r="H61" i="23"/>
  <c r="H318" i="23"/>
  <c r="K237" i="23"/>
  <c r="J237" i="23" s="1"/>
  <c r="K484" i="23"/>
  <c r="J484" i="23" s="1"/>
  <c r="K962" i="23"/>
  <c r="J962" i="23" s="1"/>
  <c r="G1038" i="23"/>
  <c r="H1038" i="23" s="1"/>
  <c r="K1044" i="23"/>
  <c r="J1044" i="23" s="1"/>
  <c r="K138" i="23"/>
  <c r="J138" i="23" s="1"/>
  <c r="H138" i="23"/>
  <c r="K874" i="23"/>
  <c r="J874" i="23" s="1"/>
  <c r="K396" i="23"/>
  <c r="J396" i="23" s="1"/>
  <c r="H396" i="23"/>
  <c r="H145" i="23"/>
  <c r="H277" i="23"/>
  <c r="H425" i="23"/>
  <c r="G89" i="23"/>
  <c r="H89" i="23" s="1"/>
  <c r="K478" i="23"/>
  <c r="J478" i="23" s="1"/>
  <c r="K685" i="23"/>
  <c r="J685" i="23" s="1"/>
  <c r="K1007" i="23"/>
  <c r="J1007" i="23" s="1"/>
  <c r="G1034" i="23"/>
  <c r="K1105" i="23"/>
  <c r="J1105" i="23" s="1"/>
  <c r="K1188" i="23"/>
  <c r="J1188" i="23" s="1"/>
  <c r="H469" i="23"/>
  <c r="K469" i="23"/>
  <c r="J469" i="23" s="1"/>
  <c r="K1201" i="23"/>
  <c r="J1201" i="23" s="1"/>
  <c r="K964" i="23"/>
  <c r="J964" i="23" s="1"/>
  <c r="G376" i="23"/>
  <c r="H376" i="23" s="1"/>
  <c r="H375" i="23"/>
  <c r="K78" i="23"/>
  <c r="J78" i="23" s="1"/>
  <c r="K47" i="23"/>
  <c r="J47" i="23" s="1"/>
  <c r="H47" i="23"/>
  <c r="K225" i="23"/>
  <c r="J225" i="23" s="1"/>
  <c r="K458" i="23"/>
  <c r="J458" i="23" s="1"/>
  <c r="K633" i="23"/>
  <c r="J633" i="23" s="1"/>
  <c r="K873" i="23"/>
  <c r="J873" i="23" s="1"/>
  <c r="K929" i="23"/>
  <c r="J929" i="23" s="1"/>
  <c r="K1006" i="23"/>
  <c r="J1006" i="23" s="1"/>
  <c r="K1256" i="23"/>
  <c r="J1256" i="23" s="1"/>
  <c r="K870" i="23"/>
  <c r="J870" i="23" s="1"/>
  <c r="K401" i="23"/>
  <c r="J401" i="23" s="1"/>
  <c r="H401" i="23"/>
  <c r="H149" i="23"/>
  <c r="K149" i="23"/>
  <c r="J149" i="23" s="1"/>
  <c r="K313" i="23"/>
  <c r="J313" i="23" s="1"/>
  <c r="H313" i="23"/>
  <c r="G258" i="23"/>
  <c r="H258" i="23" s="1"/>
  <c r="H252" i="23"/>
  <c r="G260" i="23"/>
  <c r="H260" i="23" s="1"/>
  <c r="K969" i="23"/>
  <c r="J969" i="23" s="1"/>
  <c r="K201" i="23"/>
  <c r="J201" i="23" s="1"/>
  <c r="H201" i="23"/>
  <c r="H434" i="23"/>
  <c r="H161" i="23"/>
  <c r="G11" i="23"/>
  <c r="H11" i="23" s="1"/>
  <c r="H4" i="23"/>
  <c r="K76" i="23"/>
  <c r="J76" i="23" s="1"/>
  <c r="K55" i="23"/>
  <c r="J55" i="23" s="1"/>
  <c r="H55" i="23"/>
  <c r="G87" i="23"/>
  <c r="H87" i="23" s="1"/>
  <c r="G253" i="23"/>
  <c r="H253" i="23" s="1"/>
  <c r="K435" i="23"/>
  <c r="J435" i="23" s="1"/>
  <c r="K607" i="23"/>
  <c r="J607" i="23" s="1"/>
  <c r="K697" i="23"/>
  <c r="J697" i="23" s="1"/>
  <c r="H706" i="23"/>
  <c r="G998" i="23"/>
  <c r="K998" i="23" s="1"/>
  <c r="J998" i="23" s="1"/>
  <c r="G294" i="23"/>
  <c r="H293" i="23"/>
  <c r="G1155" i="23"/>
  <c r="K1155" i="23" s="1"/>
  <c r="J1155" i="23" s="1"/>
  <c r="G1157" i="23"/>
  <c r="K1157" i="23" s="1"/>
  <c r="J1157" i="23" s="1"/>
  <c r="G1156" i="23"/>
  <c r="K642" i="23"/>
  <c r="J642" i="23" s="1"/>
  <c r="H59" i="23"/>
  <c r="K59" i="23"/>
  <c r="J59" i="23" s="1"/>
  <c r="H232" i="23"/>
  <c r="H388" i="23"/>
  <c r="H270" i="23"/>
  <c r="H407" i="23"/>
  <c r="H615" i="23"/>
  <c r="H399" i="23"/>
  <c r="H443" i="23"/>
  <c r="K443" i="23"/>
  <c r="J443" i="23" s="1"/>
  <c r="K362" i="23"/>
  <c r="J362" i="23" s="1"/>
  <c r="K354" i="23"/>
  <c r="J354" i="23" s="1"/>
  <c r="H354" i="23"/>
  <c r="K440" i="23"/>
  <c r="J440" i="23" s="1"/>
  <c r="K703" i="23"/>
  <c r="J703" i="23" s="1"/>
  <c r="K143" i="23"/>
  <c r="J143" i="23" s="1"/>
  <c r="H143" i="23"/>
  <c r="H205" i="23"/>
  <c r="K205" i="23"/>
  <c r="J205" i="23" s="1"/>
  <c r="K305" i="23"/>
  <c r="J305" i="23" s="1"/>
  <c r="H305" i="23"/>
  <c r="K731" i="23"/>
  <c r="J731" i="23" s="1"/>
  <c r="K66" i="23"/>
  <c r="J66" i="23" s="1"/>
  <c r="H66" i="23"/>
  <c r="K775" i="23"/>
  <c r="J775" i="23" s="1"/>
  <c r="H158" i="23"/>
  <c r="K409" i="23"/>
  <c r="J409" i="23" s="1"/>
  <c r="H409" i="23"/>
  <c r="H239" i="23"/>
  <c r="K490" i="23"/>
  <c r="J490" i="23" s="1"/>
  <c r="K597" i="23"/>
  <c r="J597" i="23" s="1"/>
  <c r="K67" i="23"/>
  <c r="J67" i="23" s="1"/>
  <c r="H67" i="23"/>
  <c r="K197" i="23"/>
  <c r="J197" i="23" s="1"/>
  <c r="K432" i="23"/>
  <c r="J432" i="23" s="1"/>
  <c r="K694" i="23"/>
  <c r="J694" i="23" s="1"/>
  <c r="K1055" i="23"/>
  <c r="J1055" i="23" s="1"/>
  <c r="K1122" i="23"/>
  <c r="J1122" i="23" s="1"/>
  <c r="K1264" i="23"/>
  <c r="J1264" i="23" s="1"/>
  <c r="K152" i="23"/>
  <c r="J152" i="23" s="1"/>
  <c r="H152" i="23"/>
  <c r="K109" i="23"/>
  <c r="J109" i="23" s="1"/>
  <c r="H109" i="23"/>
  <c r="K901" i="23"/>
  <c r="J901" i="23" s="1"/>
  <c r="H389" i="23"/>
  <c r="K50" i="23"/>
  <c r="J50" i="23" s="1"/>
  <c r="H50" i="23"/>
  <c r="H483" i="23"/>
  <c r="K483" i="23"/>
  <c r="J483" i="23" s="1"/>
  <c r="H285" i="23"/>
  <c r="K257" i="23"/>
  <c r="J257" i="23" s="1"/>
  <c r="H257" i="23"/>
  <c r="H436" i="23"/>
  <c r="H271" i="23"/>
  <c r="H323" i="23"/>
  <c r="K649" i="23"/>
  <c r="J649" i="23" s="1"/>
  <c r="H707" i="23"/>
  <c r="K1017" i="23"/>
  <c r="J1017" i="23" s="1"/>
  <c r="K438" i="23"/>
  <c r="J438" i="23" s="1"/>
  <c r="H230" i="23"/>
  <c r="K571" i="23"/>
  <c r="J571" i="23" s="1"/>
  <c r="H571" i="23"/>
  <c r="H307" i="23"/>
  <c r="K272" i="23"/>
  <c r="J272" i="23" s="1"/>
  <c r="H272" i="23"/>
  <c r="K819" i="23"/>
  <c r="J819" i="23" s="1"/>
  <c r="K645" i="23"/>
  <c r="J645" i="23" s="1"/>
  <c r="K316" i="23"/>
  <c r="J316" i="23" s="1"/>
  <c r="H316" i="23"/>
  <c r="G221" i="23"/>
  <c r="H221" i="23" s="1"/>
  <c r="H211" i="23"/>
  <c r="K13" i="23"/>
  <c r="J13" i="23" s="1"/>
  <c r="K200" i="23"/>
  <c r="J200" i="23" s="1"/>
  <c r="K849" i="23"/>
  <c r="J849" i="23" s="1"/>
  <c r="K927" i="23"/>
  <c r="J927" i="23" s="1"/>
  <c r="K1186" i="23"/>
  <c r="J1186" i="23" s="1"/>
  <c r="K915" i="23"/>
  <c r="J915" i="23" s="1"/>
  <c r="K1304" i="23"/>
  <c r="J1304" i="23" s="1"/>
  <c r="H430" i="23"/>
  <c r="H327" i="23"/>
  <c r="K1052" i="23"/>
  <c r="J1052" i="23" s="1"/>
  <c r="K1118" i="23"/>
  <c r="J1118" i="23" s="1"/>
  <c r="K100" i="23"/>
  <c r="J100" i="23" s="1"/>
  <c r="H100" i="23"/>
  <c r="K931" i="23"/>
  <c r="J931" i="23" s="1"/>
  <c r="K86" i="23"/>
  <c r="J86" i="23" s="1"/>
  <c r="G93" i="23"/>
  <c r="H93" i="23" s="1"/>
  <c r="G88" i="23"/>
  <c r="H88" i="23" s="1"/>
  <c r="K509" i="23"/>
  <c r="J509" i="23" s="1"/>
  <c r="K606" i="23"/>
  <c r="J606" i="23" s="1"/>
  <c r="K1254" i="23"/>
  <c r="J1254" i="23" s="1"/>
  <c r="K721" i="23"/>
  <c r="J721" i="23" s="1"/>
  <c r="K1222" i="23"/>
  <c r="J1222" i="23" s="1"/>
  <c r="K319" i="23"/>
  <c r="J319" i="23" s="1"/>
  <c r="H319" i="23"/>
  <c r="K1286" i="23"/>
  <c r="J1286" i="23" s="1"/>
  <c r="K406" i="23"/>
  <c r="J406" i="23" s="1"/>
  <c r="H406" i="23"/>
  <c r="K676" i="23"/>
  <c r="J676" i="23" s="1"/>
  <c r="H450" i="23"/>
  <c r="H204" i="23"/>
  <c r="K1072" i="23"/>
  <c r="J1072" i="23" s="1"/>
  <c r="G1075" i="23"/>
  <c r="H1075" i="23" s="1"/>
  <c r="H1242" i="23"/>
  <c r="K312" i="23"/>
  <c r="J312" i="23" s="1"/>
  <c r="H312" i="23"/>
  <c r="G1079" i="23"/>
  <c r="H1079" i="23" s="1"/>
  <c r="G1240" i="23"/>
  <c r="G1199" i="23"/>
  <c r="G631" i="23"/>
  <c r="H631" i="23" s="1"/>
  <c r="H533" i="23"/>
  <c r="H127" i="23"/>
  <c r="H128" i="23"/>
  <c r="H441" i="23"/>
  <c r="K596" i="23"/>
  <c r="J596" i="23" s="1"/>
  <c r="K603" i="23"/>
  <c r="J603" i="23" s="1"/>
  <c r="K611" i="23"/>
  <c r="J611" i="23" s="1"/>
  <c r="K595" i="23"/>
  <c r="J595" i="23" s="1"/>
  <c r="K600" i="23"/>
  <c r="J600" i="23" s="1"/>
  <c r="K586" i="23"/>
  <c r="J586" i="23" s="1"/>
  <c r="K610" i="23"/>
  <c r="J610" i="23" s="1"/>
  <c r="K584" i="23"/>
  <c r="J584" i="23" s="1"/>
  <c r="K582" i="23"/>
  <c r="J582" i="23" s="1"/>
  <c r="K608" i="23"/>
  <c r="J608" i="23" s="1"/>
  <c r="H608" i="23"/>
  <c r="K613" i="23"/>
  <c r="J613" i="23" s="1"/>
  <c r="K598" i="23"/>
  <c r="J598" i="23" s="1"/>
  <c r="K585" i="23"/>
  <c r="J585" i="23" s="1"/>
  <c r="H585" i="23"/>
  <c r="K592" i="23"/>
  <c r="J592" i="23" s="1"/>
  <c r="H592" i="23"/>
  <c r="K587" i="23"/>
  <c r="J587" i="23" s="1"/>
  <c r="H587" i="23"/>
  <c r="K588" i="23"/>
  <c r="J588" i="23" s="1"/>
  <c r="K590" i="23"/>
  <c r="J590" i="23" s="1"/>
  <c r="K583" i="23"/>
  <c r="J583" i="23" s="1"/>
  <c r="K567" i="23"/>
  <c r="J567" i="23" s="1"/>
  <c r="K563" i="23"/>
  <c r="J563" i="23" s="1"/>
  <c r="K573" i="23"/>
  <c r="J573" i="23" s="1"/>
  <c r="K561" i="23"/>
  <c r="J561" i="23" s="1"/>
  <c r="K553" i="23"/>
  <c r="J553" i="23" s="1"/>
  <c r="K552" i="23"/>
  <c r="J552" i="23" s="1"/>
  <c r="K551" i="23"/>
  <c r="J551" i="23" s="1"/>
  <c r="H551" i="23"/>
  <c r="K559" i="23"/>
  <c r="J559" i="23" s="1"/>
  <c r="K544" i="23"/>
  <c r="J544" i="23" s="1"/>
  <c r="K569" i="23"/>
  <c r="J569" i="23" s="1"/>
  <c r="H569" i="23"/>
  <c r="K570" i="23"/>
  <c r="J570" i="23" s="1"/>
  <c r="H570" i="23"/>
  <c r="K556" i="23"/>
  <c r="J556" i="23" s="1"/>
  <c r="H556" i="23"/>
  <c r="K554" i="23"/>
  <c r="J554" i="23" s="1"/>
  <c r="K555" i="23"/>
  <c r="J555" i="23" s="1"/>
  <c r="K558" i="23"/>
  <c r="J558" i="23" s="1"/>
  <c r="K566" i="23"/>
  <c r="J566" i="23" s="1"/>
  <c r="K565" i="23"/>
  <c r="J565" i="23" s="1"/>
  <c r="K572" i="23"/>
  <c r="J572" i="23" s="1"/>
  <c r="K557" i="23"/>
  <c r="J557" i="23" s="1"/>
  <c r="K548" i="23"/>
  <c r="J548" i="23" s="1"/>
  <c r="H543" i="23"/>
  <c r="H539" i="23"/>
  <c r="K521" i="23"/>
  <c r="J521" i="23" s="1"/>
  <c r="K512" i="23"/>
  <c r="J512" i="23" s="1"/>
  <c r="K524" i="23"/>
  <c r="J524" i="23" s="1"/>
  <c r="K520" i="23"/>
  <c r="J520" i="23" s="1"/>
  <c r="K523" i="23"/>
  <c r="J523" i="23" s="1"/>
  <c r="K526" i="23"/>
  <c r="J526" i="23" s="1"/>
  <c r="K515" i="23"/>
  <c r="J515" i="23" s="1"/>
  <c r="K511" i="23"/>
  <c r="J511" i="23" s="1"/>
  <c r="G506" i="23"/>
  <c r="H506" i="23" s="1"/>
  <c r="G502" i="23"/>
  <c r="H502" i="23" s="1"/>
  <c r="G505" i="23"/>
  <c r="H505" i="23" s="1"/>
  <c r="K517" i="23"/>
  <c r="J517" i="23" s="1"/>
  <c r="K525" i="23"/>
  <c r="J525" i="23" s="1"/>
  <c r="K528" i="23"/>
  <c r="J528" i="23" s="1"/>
  <c r="H528" i="23"/>
  <c r="K513" i="23"/>
  <c r="J513" i="23" s="1"/>
  <c r="H513" i="23"/>
  <c r="K507" i="23"/>
  <c r="J507" i="23" s="1"/>
  <c r="G501" i="23"/>
  <c r="H501" i="23" s="1"/>
  <c r="G508" i="23"/>
  <c r="H508" i="23" s="1"/>
  <c r="G504" i="23"/>
  <c r="H504" i="23" s="1"/>
  <c r="G500" i="23"/>
  <c r="H500" i="23" s="1"/>
  <c r="G499" i="23"/>
  <c r="H499" i="23" s="1"/>
  <c r="K466" i="23"/>
  <c r="J466" i="23" s="1"/>
  <c r="K461" i="23"/>
  <c r="J461" i="23" s="1"/>
  <c r="K486" i="23"/>
  <c r="J486" i="23" s="1"/>
  <c r="K471" i="23"/>
  <c r="J471" i="23" s="1"/>
  <c r="K488" i="23"/>
  <c r="J488" i="23" s="1"/>
  <c r="K460" i="23"/>
  <c r="J460" i="23" s="1"/>
  <c r="K459" i="23"/>
  <c r="J459" i="23" s="1"/>
  <c r="K464" i="23"/>
  <c r="J464" i="23" s="1"/>
  <c r="K475" i="23"/>
  <c r="J475" i="23" s="1"/>
  <c r="K476" i="23"/>
  <c r="J476" i="23" s="1"/>
  <c r="H476" i="23"/>
  <c r="K470" i="23"/>
  <c r="J470" i="23" s="1"/>
  <c r="H470" i="23"/>
  <c r="K473" i="23"/>
  <c r="J473" i="23" s="1"/>
  <c r="K474" i="23"/>
  <c r="J474" i="23" s="1"/>
  <c r="K472" i="23"/>
  <c r="J472" i="23" s="1"/>
  <c r="K487" i="23"/>
  <c r="J487" i="23" s="1"/>
  <c r="K481" i="23"/>
  <c r="J481" i="23" s="1"/>
  <c r="H481" i="23"/>
  <c r="K489" i="23"/>
  <c r="J489" i="23" s="1"/>
  <c r="H489" i="23"/>
  <c r="K482" i="23"/>
  <c r="J482" i="23" s="1"/>
  <c r="K485" i="23"/>
  <c r="J485" i="23" s="1"/>
  <c r="H485" i="23"/>
  <c r="K465" i="23"/>
  <c r="J465" i="23" s="1"/>
  <c r="H465" i="23"/>
  <c r="K463" i="23"/>
  <c r="J463" i="23" s="1"/>
  <c r="K431" i="23"/>
  <c r="J431" i="23" s="1"/>
  <c r="K433" i="23"/>
  <c r="J433" i="23" s="1"/>
  <c r="K429" i="23"/>
  <c r="J429" i="23" s="1"/>
  <c r="G378" i="23"/>
  <c r="H378" i="23" s="1"/>
  <c r="K375" i="23"/>
  <c r="G382" i="23"/>
  <c r="K398" i="23"/>
  <c r="J398" i="23" s="1"/>
  <c r="K405" i="23"/>
  <c r="J405" i="23" s="1"/>
  <c r="K380" i="23"/>
  <c r="J380" i="23" s="1"/>
  <c r="G385" i="23"/>
  <c r="H385" i="23" s="1"/>
  <c r="G379" i="23"/>
  <c r="H379" i="23" s="1"/>
  <c r="K393" i="23"/>
  <c r="J393" i="23" s="1"/>
  <c r="K408" i="23"/>
  <c r="J408" i="23" s="1"/>
  <c r="K395" i="23"/>
  <c r="J395" i="23" s="1"/>
  <c r="G381" i="23"/>
  <c r="G377" i="23"/>
  <c r="G383" i="23"/>
  <c r="K359" i="23"/>
  <c r="J359" i="23" s="1"/>
  <c r="K367" i="23"/>
  <c r="J367" i="23" s="1"/>
  <c r="K337" i="23"/>
  <c r="J337" i="23" s="1"/>
  <c r="K352" i="23"/>
  <c r="J352" i="23" s="1"/>
  <c r="K360" i="23"/>
  <c r="J360" i="23" s="1"/>
  <c r="K356" i="23"/>
  <c r="J356" i="23" s="1"/>
  <c r="K350" i="23"/>
  <c r="J350" i="23" s="1"/>
  <c r="H350" i="23"/>
  <c r="K353" i="23"/>
  <c r="J353" i="23" s="1"/>
  <c r="H353" i="23"/>
  <c r="K361" i="23"/>
  <c r="J361" i="23" s="1"/>
  <c r="K349" i="23"/>
  <c r="J349" i="23" s="1"/>
  <c r="H349" i="23"/>
  <c r="K368" i="23"/>
  <c r="J368" i="23" s="1"/>
  <c r="K357" i="23"/>
  <c r="J357" i="23" s="1"/>
  <c r="K341" i="23"/>
  <c r="J341" i="23" s="1"/>
  <c r="H341" i="23"/>
  <c r="K335" i="23"/>
  <c r="J335" i="23" s="1"/>
  <c r="H335" i="23"/>
  <c r="K340" i="23"/>
  <c r="J340" i="23" s="1"/>
  <c r="K344" i="23"/>
  <c r="J344" i="23" s="1"/>
  <c r="H344" i="23"/>
  <c r="K338" i="23"/>
  <c r="J338" i="23" s="1"/>
  <c r="K336" i="23"/>
  <c r="J336" i="23" s="1"/>
  <c r="H336" i="23"/>
  <c r="K317" i="23"/>
  <c r="J317" i="23" s="1"/>
  <c r="K308" i="23"/>
  <c r="J308" i="23" s="1"/>
  <c r="K326" i="23"/>
  <c r="J326" i="23" s="1"/>
  <c r="K306" i="23"/>
  <c r="J306" i="23" s="1"/>
  <c r="K314" i="23"/>
  <c r="J314" i="23" s="1"/>
  <c r="K302" i="23"/>
  <c r="J302" i="23" s="1"/>
  <c r="G297" i="23"/>
  <c r="H297" i="23" s="1"/>
  <c r="K293" i="23"/>
  <c r="J293" i="23" s="1"/>
  <c r="G301" i="23"/>
  <c r="H301" i="23" s="1"/>
  <c r="G300" i="23"/>
  <c r="H300" i="23" s="1"/>
  <c r="G299" i="23"/>
  <c r="H299" i="23" s="1"/>
  <c r="G303" i="23"/>
  <c r="H303" i="23" s="1"/>
  <c r="K261" i="23"/>
  <c r="J261" i="23" s="1"/>
  <c r="K284" i="23"/>
  <c r="J284" i="23" s="1"/>
  <c r="K274" i="23"/>
  <c r="J274" i="23" s="1"/>
  <c r="K220" i="23"/>
  <c r="J220" i="23" s="1"/>
  <c r="G218" i="23"/>
  <c r="G214" i="23"/>
  <c r="K211" i="23"/>
  <c r="J211" i="23" s="1"/>
  <c r="G219" i="23"/>
  <c r="H219" i="23" s="1"/>
  <c r="G213" i="23"/>
  <c r="H213" i="23" s="1"/>
  <c r="G217" i="23"/>
  <c r="G215" i="23"/>
  <c r="G212" i="23"/>
  <c r="H212" i="23" s="1"/>
  <c r="K194" i="23"/>
  <c r="J194" i="23" s="1"/>
  <c r="K203" i="23"/>
  <c r="J203" i="23" s="1"/>
  <c r="K179" i="23"/>
  <c r="J179" i="23" s="1"/>
  <c r="K175" i="23"/>
  <c r="J175" i="23" s="1"/>
  <c r="G180" i="23"/>
  <c r="H180" i="23" s="1"/>
  <c r="K900" i="23"/>
  <c r="J900" i="23" s="1"/>
  <c r="K188" i="23"/>
  <c r="J188" i="23" s="1"/>
  <c r="K564" i="23"/>
  <c r="J564" i="23" s="1"/>
  <c r="K1131" i="23"/>
  <c r="J1131" i="23" s="1"/>
  <c r="G131" i="23"/>
  <c r="H131" i="23" s="1"/>
  <c r="H549" i="23"/>
  <c r="K1003" i="23"/>
  <c r="J1003" i="23" s="1"/>
  <c r="K972" i="23"/>
  <c r="J972" i="23" s="1"/>
  <c r="K976" i="23"/>
  <c r="J976" i="23" s="1"/>
  <c r="K918" i="23"/>
  <c r="J918" i="23" s="1"/>
  <c r="K1224" i="23"/>
  <c r="J1224" i="23" s="1"/>
  <c r="K1004" i="23"/>
  <c r="J1004" i="23" s="1"/>
  <c r="K1213" i="23"/>
  <c r="J1213" i="23" s="1"/>
  <c r="K990" i="23"/>
  <c r="J990" i="23" s="1"/>
  <c r="G991" i="23"/>
  <c r="K991" i="23" s="1"/>
  <c r="J991" i="23" s="1"/>
  <c r="K342" i="23"/>
  <c r="J342" i="23" s="1"/>
  <c r="K876" i="23"/>
  <c r="J876" i="23" s="1"/>
  <c r="K638" i="23"/>
  <c r="J638" i="23" s="1"/>
  <c r="K39" i="23"/>
  <c r="J39" i="23" s="1"/>
  <c r="G129" i="23"/>
  <c r="H129" i="23" s="1"/>
  <c r="K479" i="23"/>
  <c r="J479" i="23" s="1"/>
  <c r="K539" i="23"/>
  <c r="J539" i="23" s="1"/>
  <c r="K636" i="23"/>
  <c r="J636" i="23" s="1"/>
  <c r="K808" i="23"/>
  <c r="J808" i="23" s="1"/>
  <c r="K965" i="23"/>
  <c r="J965" i="23" s="1"/>
  <c r="H748" i="23"/>
  <c r="H746" i="23"/>
  <c r="K744" i="23"/>
  <c r="K854" i="23"/>
  <c r="J854" i="23" s="1"/>
  <c r="K1010" i="23"/>
  <c r="J1010" i="23" s="1"/>
  <c r="K776" i="23"/>
  <c r="J776" i="23" s="1"/>
  <c r="K936" i="23"/>
  <c r="J936" i="23" s="1"/>
  <c r="K1129" i="23"/>
  <c r="J1129" i="23" s="1"/>
  <c r="K1282" i="23"/>
  <c r="J1282" i="23" s="1"/>
  <c r="G670" i="23"/>
  <c r="H670" i="23" s="1"/>
  <c r="G665" i="23"/>
  <c r="G669" i="23"/>
  <c r="H669" i="23" s="1"/>
  <c r="K814" i="23"/>
  <c r="J814" i="23" s="1"/>
  <c r="K850" i="23"/>
  <c r="J850" i="23" s="1"/>
  <c r="K995" i="23"/>
  <c r="J995" i="23" s="1"/>
  <c r="K774" i="23"/>
  <c r="J774" i="23" s="1"/>
  <c r="K104" i="23"/>
  <c r="J104" i="23" s="1"/>
  <c r="K778" i="23"/>
  <c r="J778" i="23" s="1"/>
  <c r="K679" i="23"/>
  <c r="J679" i="23" s="1"/>
  <c r="K1258" i="23"/>
  <c r="J1258" i="23" s="1"/>
  <c r="K842" i="23"/>
  <c r="J842" i="23" s="1"/>
  <c r="K604" i="23"/>
  <c r="J604" i="23" s="1"/>
  <c r="K1220" i="23"/>
  <c r="J1220" i="23" s="1"/>
  <c r="K439" i="23"/>
  <c r="J439" i="23" s="1"/>
  <c r="K160" i="23"/>
  <c r="J160" i="23" s="1"/>
  <c r="K369" i="23"/>
  <c r="J369" i="23" s="1"/>
  <c r="H545" i="23"/>
  <c r="K1249" i="23"/>
  <c r="J1249" i="23" s="1"/>
  <c r="K155" i="23"/>
  <c r="J155" i="23" s="1"/>
  <c r="K912" i="23"/>
  <c r="J912" i="23" s="1"/>
  <c r="G12" i="23"/>
  <c r="H12" i="23" s="1"/>
  <c r="K358" i="23"/>
  <c r="J358" i="23" s="1"/>
  <c r="K510" i="23"/>
  <c r="J510" i="23" s="1"/>
  <c r="K650" i="23"/>
  <c r="J650" i="23" s="1"/>
  <c r="K885" i="23"/>
  <c r="J885" i="23" s="1"/>
  <c r="K999" i="23"/>
  <c r="J999" i="23" s="1"/>
  <c r="K1166" i="23"/>
  <c r="J1166" i="23" s="1"/>
  <c r="K1171" i="23"/>
  <c r="J1171" i="23" s="1"/>
  <c r="K310" i="23"/>
  <c r="J310" i="23" s="1"/>
  <c r="K1225" i="23"/>
  <c r="J1225" i="23" s="1"/>
  <c r="K682" i="23"/>
  <c r="J682" i="23" s="1"/>
  <c r="K1266" i="23"/>
  <c r="J1266" i="23" s="1"/>
  <c r="K688" i="23"/>
  <c r="J688" i="23" s="1"/>
  <c r="K1139" i="23"/>
  <c r="J1139" i="23" s="1"/>
  <c r="G8" i="23"/>
  <c r="H8" i="23" s="1"/>
  <c r="G134" i="23"/>
  <c r="H134" i="23" s="1"/>
  <c r="K562" i="23"/>
  <c r="J562" i="23" s="1"/>
  <c r="H540" i="23"/>
  <c r="K690" i="23"/>
  <c r="J690" i="23" s="1"/>
  <c r="G663" i="23"/>
  <c r="H663" i="23" s="1"/>
  <c r="K1057" i="23"/>
  <c r="J1057" i="23" s="1"/>
  <c r="K1148" i="23"/>
  <c r="J1148" i="23" s="1"/>
  <c r="K882" i="23"/>
  <c r="J882" i="23" s="1"/>
  <c r="K1210" i="23"/>
  <c r="J1210" i="23" s="1"/>
  <c r="K394" i="23"/>
  <c r="J394" i="23" s="1"/>
  <c r="K1136" i="23"/>
  <c r="J1136" i="23" s="1"/>
  <c r="K581" i="23"/>
  <c r="J581" i="23" s="1"/>
  <c r="G419" i="23"/>
  <c r="H419" i="23" s="1"/>
  <c r="G423" i="23"/>
  <c r="H423" i="23" s="1"/>
  <c r="K1168" i="23"/>
  <c r="J1168" i="23" s="1"/>
  <c r="K446" i="23"/>
  <c r="J446" i="23" s="1"/>
  <c r="K599" i="23"/>
  <c r="J599" i="23" s="1"/>
  <c r="K1090" i="23"/>
  <c r="J1090" i="23" s="1"/>
  <c r="K1204" i="23"/>
  <c r="J1204" i="23" s="1"/>
  <c r="G422" i="23"/>
  <c r="H422" i="23" s="1"/>
  <c r="K64" i="23"/>
  <c r="J64" i="23" s="1"/>
  <c r="K1218" i="23"/>
  <c r="J1218" i="23" s="1"/>
  <c r="K675" i="23"/>
  <c r="J675" i="23" s="1"/>
  <c r="K1270" i="23"/>
  <c r="J1270" i="23" s="1"/>
  <c r="K1099" i="23"/>
  <c r="J1099" i="23" s="1"/>
  <c r="G424" i="23"/>
  <c r="H424" i="23" s="1"/>
  <c r="K605" i="23"/>
  <c r="J605" i="23" s="1"/>
  <c r="G130" i="23"/>
  <c r="H130" i="23" s="1"/>
  <c r="K65" i="23"/>
  <c r="J65" i="23" s="1"/>
  <c r="K346" i="23"/>
  <c r="J346" i="23" s="1"/>
  <c r="K662" i="23"/>
  <c r="J662" i="23" s="1"/>
  <c r="H747" i="23"/>
  <c r="K813" i="23"/>
  <c r="J813" i="23" s="1"/>
  <c r="G1000" i="23"/>
  <c r="K1092" i="23"/>
  <c r="J1092" i="23" s="1"/>
  <c r="K910" i="23"/>
  <c r="J910" i="23" s="1"/>
  <c r="G418" i="23"/>
  <c r="H418" i="23" s="1"/>
  <c r="K1106" i="23"/>
  <c r="J1106" i="23" s="1"/>
  <c r="K1271" i="23"/>
  <c r="J1271" i="23" s="1"/>
  <c r="K725" i="23"/>
  <c r="J725" i="23" s="1"/>
  <c r="K245" i="23"/>
  <c r="J245" i="23" s="1"/>
  <c r="K895" i="23"/>
  <c r="J895" i="23" s="1"/>
  <c r="K1178" i="23"/>
  <c r="J1178" i="23" s="1"/>
  <c r="K321" i="23"/>
  <c r="J321" i="23" s="1"/>
  <c r="K1198" i="23"/>
  <c r="J1198" i="23" s="1"/>
  <c r="G828" i="23"/>
  <c r="H828" i="23" s="1"/>
  <c r="G832" i="23"/>
  <c r="K1180" i="23"/>
  <c r="J1180" i="23" s="1"/>
  <c r="H542" i="23"/>
  <c r="K930" i="23"/>
  <c r="J930" i="23" s="1"/>
  <c r="K968" i="23"/>
  <c r="J968" i="23" s="1"/>
  <c r="G996" i="23"/>
  <c r="K1229" i="23"/>
  <c r="J1229" i="23" s="1"/>
  <c r="K1223" i="23"/>
  <c r="J1223" i="23" s="1"/>
  <c r="K1094" i="23"/>
  <c r="J1094" i="23" s="1"/>
  <c r="K1255" i="23"/>
  <c r="J1255" i="23" s="1"/>
  <c r="K1104" i="23"/>
  <c r="J1104" i="23" s="1"/>
  <c r="K843" i="23"/>
  <c r="J843" i="23" s="1"/>
  <c r="G1039" i="23"/>
  <c r="H1039" i="23" s="1"/>
  <c r="G1032" i="23"/>
  <c r="G1037" i="23"/>
  <c r="G1035" i="23"/>
  <c r="H1035" i="23" s="1"/>
  <c r="K1113" i="23"/>
  <c r="J1113" i="23" s="1"/>
  <c r="G1121" i="23"/>
  <c r="G1114" i="23"/>
  <c r="H1114" i="23" s="1"/>
  <c r="G1116" i="23"/>
  <c r="H1116" i="23" s="1"/>
  <c r="G1120" i="23"/>
  <c r="H1120" i="23" s="1"/>
  <c r="K1170" i="23"/>
  <c r="J1170" i="23" s="1"/>
  <c r="K736" i="23"/>
  <c r="J736" i="23" s="1"/>
  <c r="K1290" i="23"/>
  <c r="J1290" i="23" s="1"/>
  <c r="K652" i="23"/>
  <c r="J652" i="23" s="1"/>
  <c r="K426" i="23"/>
  <c r="J426" i="23" s="1"/>
  <c r="K809" i="23"/>
  <c r="J809" i="23" s="1"/>
  <c r="G992" i="23"/>
  <c r="K992" i="23" s="1"/>
  <c r="J992" i="23" s="1"/>
  <c r="K1296" i="23"/>
  <c r="J1296" i="23" s="1"/>
  <c r="G417" i="23"/>
  <c r="H417" i="23" s="1"/>
  <c r="K311" i="23"/>
  <c r="J311" i="23" s="1"/>
  <c r="G672" i="23"/>
  <c r="K724" i="23"/>
  <c r="J724" i="23" s="1"/>
  <c r="K805" i="23"/>
  <c r="J805" i="23" s="1"/>
  <c r="K977" i="23"/>
  <c r="J977" i="23" s="1"/>
  <c r="K364" i="23"/>
  <c r="J364" i="23" s="1"/>
  <c r="K1008" i="23"/>
  <c r="J1008" i="23" s="1"/>
  <c r="G420" i="23"/>
  <c r="H420" i="23" s="1"/>
  <c r="K79" i="23"/>
  <c r="J79" i="23" s="1"/>
  <c r="K347" i="23"/>
  <c r="J347" i="23" s="1"/>
  <c r="K1279" i="23"/>
  <c r="J1279" i="23" s="1"/>
  <c r="K756" i="23"/>
  <c r="J756" i="23" s="1"/>
  <c r="K1051" i="23"/>
  <c r="J1051" i="23" s="1"/>
  <c r="K69" i="23"/>
  <c r="J69" i="23" s="1"/>
  <c r="K4" i="23"/>
  <c r="J4" i="23" s="1"/>
  <c r="G14" i="23"/>
  <c r="G668" i="23"/>
  <c r="K909" i="23"/>
  <c r="J909" i="23" s="1"/>
  <c r="K132" i="23"/>
  <c r="J132" i="23" s="1"/>
  <c r="G664" i="23"/>
  <c r="K851" i="23"/>
  <c r="J851" i="23" s="1"/>
  <c r="K1100" i="23"/>
  <c r="J1100" i="23" s="1"/>
  <c r="G295" i="23"/>
  <c r="H295" i="23" s="1"/>
  <c r="H10" i="23"/>
  <c r="K265" i="23"/>
  <c r="J265" i="23" s="1"/>
  <c r="H1066" i="23"/>
  <c r="G1073" i="23"/>
  <c r="G171" i="23"/>
  <c r="G296" i="23"/>
  <c r="H296" i="23" s="1"/>
  <c r="G1158" i="23"/>
  <c r="K157" i="23"/>
  <c r="J157" i="23" s="1"/>
  <c r="K1285" i="23"/>
  <c r="J1285" i="23" s="1"/>
  <c r="K1292" i="23"/>
  <c r="J1292" i="23" s="1"/>
  <c r="K1243" i="23"/>
  <c r="J1243" i="23" s="1"/>
  <c r="K1241" i="23"/>
  <c r="J1241" i="23" s="1"/>
  <c r="K1237" i="23"/>
  <c r="J1237" i="23" s="1"/>
  <c r="K1200" i="23"/>
  <c r="J1200" i="23" s="1"/>
  <c r="K1207" i="23"/>
  <c r="J1207" i="23" s="1"/>
  <c r="K1164" i="23"/>
  <c r="J1164" i="23" s="1"/>
  <c r="K1141" i="23"/>
  <c r="J1141" i="23" s="1"/>
  <c r="K1075" i="23"/>
  <c r="J1075" i="23" s="1"/>
  <c r="K1078" i="23"/>
  <c r="J1078" i="23" s="1"/>
  <c r="K1039" i="23"/>
  <c r="J1039" i="23" s="1"/>
  <c r="K1059" i="23"/>
  <c r="J1059" i="23" s="1"/>
  <c r="K997" i="23"/>
  <c r="J997" i="23" s="1"/>
  <c r="K1019" i="23"/>
  <c r="J1019" i="23" s="1"/>
  <c r="K1001" i="23"/>
  <c r="J1001" i="23" s="1"/>
  <c r="J949" i="23"/>
  <c r="K955" i="23"/>
  <c r="J955" i="23" s="1"/>
  <c r="K950" i="23"/>
  <c r="J950" i="23" s="1"/>
  <c r="K959" i="23"/>
  <c r="J959" i="23" s="1"/>
  <c r="K951" i="23"/>
  <c r="J951" i="23" s="1"/>
  <c r="K956" i="23"/>
  <c r="J956" i="23" s="1"/>
  <c r="K954" i="23"/>
  <c r="J954" i="23" s="1"/>
  <c r="K917" i="23"/>
  <c r="K937" i="23"/>
  <c r="J937" i="23" s="1"/>
  <c r="K919" i="23"/>
  <c r="J919" i="23" s="1"/>
  <c r="K896" i="23"/>
  <c r="J896" i="23" s="1"/>
  <c r="K878" i="23"/>
  <c r="J878" i="23" s="1"/>
  <c r="K827" i="23"/>
  <c r="J827" i="23" s="1"/>
  <c r="K831" i="23"/>
  <c r="J831" i="23" s="1"/>
  <c r="K792" i="23"/>
  <c r="J792" i="23" s="1"/>
  <c r="K793" i="23"/>
  <c r="J793" i="23" s="1"/>
  <c r="K749" i="23"/>
  <c r="J749" i="23" s="1"/>
  <c r="K751" i="23"/>
  <c r="J751" i="23" s="1"/>
  <c r="K773" i="23"/>
  <c r="J773" i="23" s="1"/>
  <c r="K708" i="23"/>
  <c r="J708" i="23" s="1"/>
  <c r="K732" i="23"/>
  <c r="J732" i="23" s="1"/>
  <c r="K666" i="23"/>
  <c r="J666" i="23" s="1"/>
  <c r="K626" i="23"/>
  <c r="J626" i="23" s="1"/>
  <c r="J621" i="23"/>
  <c r="K632" i="23"/>
  <c r="J632" i="23" s="1"/>
  <c r="K609" i="23"/>
  <c r="J609" i="23" s="1"/>
  <c r="K589" i="23"/>
  <c r="J589" i="23" s="1"/>
  <c r="K550" i="23"/>
  <c r="J550" i="23" s="1"/>
  <c r="K568" i="23"/>
  <c r="J568" i="23" s="1"/>
  <c r="K543" i="23"/>
  <c r="J543" i="23" s="1"/>
  <c r="K547" i="23"/>
  <c r="J547" i="23" s="1"/>
  <c r="K503" i="23"/>
  <c r="J503" i="23" s="1"/>
  <c r="K527" i="23"/>
  <c r="J527" i="23" s="1"/>
  <c r="J457" i="23"/>
  <c r="K462" i="23"/>
  <c r="J462" i="23" s="1"/>
  <c r="K468" i="23"/>
  <c r="J468" i="23" s="1"/>
  <c r="J416" i="23"/>
  <c r="K445" i="23"/>
  <c r="J445" i="23" s="1"/>
  <c r="J375" i="23"/>
  <c r="K378" i="23"/>
  <c r="J378" i="23" s="1"/>
  <c r="K339" i="23"/>
  <c r="J339" i="23" s="1"/>
  <c r="K345" i="23"/>
  <c r="J345" i="23" s="1"/>
  <c r="K298" i="23"/>
  <c r="J298" i="23" s="1"/>
  <c r="K254" i="23"/>
  <c r="J254" i="23" s="1"/>
  <c r="K255" i="23"/>
  <c r="J255" i="23" s="1"/>
  <c r="K256" i="23"/>
  <c r="J256" i="23" s="1"/>
  <c r="K259" i="23"/>
  <c r="J259" i="23" s="1"/>
  <c r="K262" i="23"/>
  <c r="J262" i="23" s="1"/>
  <c r="K258" i="23"/>
  <c r="J258" i="23" s="1"/>
  <c r="J252" i="23"/>
  <c r="K221" i="23"/>
  <c r="J221" i="23" s="1"/>
  <c r="K172" i="23"/>
  <c r="J172" i="23" s="1"/>
  <c r="J170" i="23"/>
  <c r="K177" i="23"/>
  <c r="J177" i="23" s="1"/>
  <c r="K176" i="23"/>
  <c r="J176" i="23" s="1"/>
  <c r="K174" i="23"/>
  <c r="J174" i="23" s="1"/>
  <c r="K173" i="23"/>
  <c r="J173" i="23" s="1"/>
  <c r="K185" i="23"/>
  <c r="J185" i="23" s="1"/>
  <c r="K178" i="23"/>
  <c r="J178" i="23" s="1"/>
  <c r="K135" i="23"/>
  <c r="J135" i="23" s="1"/>
  <c r="K129" i="23"/>
  <c r="J129" i="23" s="1"/>
  <c r="J127" i="23"/>
  <c r="K133" i="23"/>
  <c r="J133" i="23" s="1"/>
  <c r="K88" i="23"/>
  <c r="J88" i="23" s="1"/>
  <c r="K94" i="23"/>
  <c r="J94" i="23" s="1"/>
  <c r="K92" i="23"/>
  <c r="J92" i="23" s="1"/>
  <c r="K96" i="23"/>
  <c r="J96" i="23" s="1"/>
  <c r="K56" i="23"/>
  <c r="J56" i="23" s="1"/>
  <c r="K53" i="23"/>
  <c r="J53" i="23" s="1"/>
  <c r="K58" i="23"/>
  <c r="J58" i="23" s="1"/>
  <c r="K49" i="23"/>
  <c r="J49" i="23" s="1"/>
  <c r="K51" i="23"/>
  <c r="J51" i="23" s="1"/>
  <c r="J45" i="23"/>
  <c r="K46" i="23"/>
  <c r="J46" i="23" s="1"/>
  <c r="G7" i="23"/>
  <c r="G5" i="23"/>
  <c r="G6" i="23"/>
  <c r="H6" i="23" s="1"/>
  <c r="K26" i="23"/>
  <c r="J26" i="23" s="1"/>
  <c r="K37" i="23"/>
  <c r="J37" i="23" s="1"/>
  <c r="K28" i="23"/>
  <c r="J28" i="23" s="1"/>
  <c r="K34" i="23"/>
  <c r="J34" i="23" s="1"/>
  <c r="K36" i="23"/>
  <c r="J36" i="23" s="1"/>
  <c r="K30" i="23"/>
  <c r="J30" i="23" s="1"/>
  <c r="K23" i="23"/>
  <c r="J23" i="23" s="1"/>
  <c r="K16" i="23"/>
  <c r="J16" i="23" s="1"/>
  <c r="K11" i="23"/>
  <c r="J11" i="23" s="1"/>
  <c r="K21" i="23"/>
  <c r="J21" i="23" s="1"/>
  <c r="K27" i="23"/>
  <c r="J27" i="23" s="1"/>
  <c r="K35" i="23"/>
  <c r="J35" i="23" s="1"/>
  <c r="K20" i="23"/>
  <c r="J20" i="23" s="1"/>
  <c r="K31" i="23"/>
  <c r="J31" i="23" s="1"/>
  <c r="K18" i="23"/>
  <c r="J18" i="23" s="1"/>
  <c r="K33" i="23"/>
  <c r="J33" i="23" s="1"/>
  <c r="K24" i="23"/>
  <c r="J24" i="23" s="1"/>
  <c r="K17" i="23"/>
  <c r="J17" i="23" s="1"/>
  <c r="K38" i="23"/>
  <c r="J38" i="23" s="1"/>
  <c r="K25" i="23"/>
  <c r="J25" i="23" s="1"/>
  <c r="K15" i="23"/>
  <c r="J15" i="23" s="1"/>
  <c r="K19" i="23"/>
  <c r="J19" i="23" s="1"/>
  <c r="K29" i="23"/>
  <c r="J29" i="23" s="1"/>
  <c r="K9" i="23"/>
  <c r="J9" i="23" s="1"/>
  <c r="J906" i="23" l="1"/>
  <c r="J917" i="23"/>
  <c r="K1152" i="23"/>
  <c r="K1280" i="23"/>
  <c r="J1280" i="23" s="1"/>
  <c r="K1287" i="23"/>
  <c r="J1287" i="23" s="1"/>
  <c r="K1281" i="23"/>
  <c r="J1281" i="23" s="1"/>
  <c r="K1278" i="23"/>
  <c r="J1278" i="23" s="1"/>
  <c r="K1284" i="23"/>
  <c r="J1284" i="23" s="1"/>
  <c r="H1284" i="23"/>
  <c r="K1283" i="23"/>
  <c r="J1283" i="23" s="1"/>
  <c r="H1283" i="23"/>
  <c r="K1239" i="23"/>
  <c r="J1239" i="23" s="1"/>
  <c r="K1244" i="23"/>
  <c r="J1244" i="23" s="1"/>
  <c r="H1244" i="23"/>
  <c r="K1240" i="23"/>
  <c r="J1240" i="23" s="1"/>
  <c r="H1240" i="23"/>
  <c r="K1246" i="23"/>
  <c r="J1246" i="23" s="1"/>
  <c r="K1202" i="23"/>
  <c r="J1202" i="23" s="1"/>
  <c r="K1160" i="23"/>
  <c r="J1160" i="23" s="1"/>
  <c r="K1161" i="23"/>
  <c r="J1161" i="23" s="1"/>
  <c r="K1156" i="23"/>
  <c r="J1156" i="23" s="1"/>
  <c r="K1117" i="23"/>
  <c r="J1117" i="23" s="1"/>
  <c r="K1115" i="23"/>
  <c r="J1115" i="23" s="1"/>
  <c r="K1121" i="23"/>
  <c r="J1121" i="23" s="1"/>
  <c r="H1121" i="23"/>
  <c r="K1119" i="23"/>
  <c r="J1119" i="23" s="1"/>
  <c r="K1123" i="23"/>
  <c r="J1123" i="23" s="1"/>
  <c r="H1123" i="23"/>
  <c r="K1114" i="23"/>
  <c r="J1114" i="23" s="1"/>
  <c r="K1082" i="23"/>
  <c r="J1082" i="23" s="1"/>
  <c r="K1073" i="23"/>
  <c r="J1073" i="23" s="1"/>
  <c r="H1073" i="23"/>
  <c r="K1076" i="23"/>
  <c r="J1076" i="23" s="1"/>
  <c r="K1080" i="23"/>
  <c r="J1080" i="23" s="1"/>
  <c r="K1033" i="23"/>
  <c r="J1033" i="23" s="1"/>
  <c r="K1041" i="23"/>
  <c r="J1041" i="23" s="1"/>
  <c r="H1041" i="23"/>
  <c r="K1035" i="23"/>
  <c r="J1035" i="23" s="1"/>
  <c r="K1037" i="23"/>
  <c r="J1037" i="23" s="1"/>
  <c r="H1037" i="23"/>
  <c r="K1032" i="23"/>
  <c r="J1032" i="23" s="1"/>
  <c r="H1032" i="23"/>
  <c r="K1034" i="23"/>
  <c r="J1034" i="23" s="1"/>
  <c r="H1034" i="23"/>
  <c r="K957" i="23"/>
  <c r="J957" i="23" s="1"/>
  <c r="K953" i="23"/>
  <c r="J953" i="23" s="1"/>
  <c r="H953" i="23"/>
  <c r="K952" i="23"/>
  <c r="J952" i="23" s="1"/>
  <c r="J947" i="23" s="1"/>
  <c r="K916" i="23"/>
  <c r="J916" i="23" s="1"/>
  <c r="H911" i="23"/>
  <c r="K911" i="23"/>
  <c r="J911" i="23" s="1"/>
  <c r="K869" i="23"/>
  <c r="J869" i="23" s="1"/>
  <c r="K829" i="23"/>
  <c r="J829" i="23" s="1"/>
  <c r="K833" i="23"/>
  <c r="J833" i="23" s="1"/>
  <c r="H833" i="23"/>
  <c r="K830" i="23"/>
  <c r="J830" i="23" s="1"/>
  <c r="K834" i="23"/>
  <c r="J834" i="23" s="1"/>
  <c r="K836" i="23"/>
  <c r="J836" i="23" s="1"/>
  <c r="H836" i="23"/>
  <c r="K832" i="23"/>
  <c r="J832" i="23" s="1"/>
  <c r="H832" i="23"/>
  <c r="K994" i="23"/>
  <c r="J994" i="23" s="1"/>
  <c r="K752" i="23"/>
  <c r="J752" i="23" s="1"/>
  <c r="H752" i="23"/>
  <c r="K750" i="23"/>
  <c r="J750" i="23" s="1"/>
  <c r="H750" i="23"/>
  <c r="K795" i="23"/>
  <c r="J795" i="23" s="1"/>
  <c r="H795" i="23"/>
  <c r="K1238" i="23"/>
  <c r="J1238" i="23" s="1"/>
  <c r="K754" i="23"/>
  <c r="J754" i="23" s="1"/>
  <c r="H754" i="23"/>
  <c r="K1000" i="23"/>
  <c r="J1000" i="23" s="1"/>
  <c r="K791" i="23"/>
  <c r="J791" i="23" s="1"/>
  <c r="H791" i="23"/>
  <c r="K89" i="23"/>
  <c r="J89" i="23" s="1"/>
  <c r="K828" i="23"/>
  <c r="J828" i="23" s="1"/>
  <c r="K745" i="23"/>
  <c r="J745" i="23" s="1"/>
  <c r="H745" i="23"/>
  <c r="K1074" i="23"/>
  <c r="J1074" i="23" s="1"/>
  <c r="K786" i="23"/>
  <c r="J786" i="23" s="1"/>
  <c r="H786" i="23"/>
  <c r="K134" i="23"/>
  <c r="J134" i="23" s="1"/>
  <c r="K12" i="23"/>
  <c r="J12" i="23" s="1"/>
  <c r="K130" i="23"/>
  <c r="J130" i="23" s="1"/>
  <c r="K137" i="23"/>
  <c r="J137" i="23" s="1"/>
  <c r="K788" i="23"/>
  <c r="J788" i="23" s="1"/>
  <c r="K789" i="23"/>
  <c r="J789" i="23" s="1"/>
  <c r="K787" i="23"/>
  <c r="J787" i="23" s="1"/>
  <c r="K704" i="23"/>
  <c r="J704" i="23" s="1"/>
  <c r="K710" i="23"/>
  <c r="J710" i="23" s="1"/>
  <c r="K711" i="23"/>
  <c r="J711" i="23" s="1"/>
  <c r="H711" i="23"/>
  <c r="K713" i="23"/>
  <c r="J713" i="23" s="1"/>
  <c r="H713" i="23"/>
  <c r="K706" i="23"/>
  <c r="J706" i="23" s="1"/>
  <c r="K709" i="23"/>
  <c r="J709" i="23" s="1"/>
  <c r="H709" i="23"/>
  <c r="K668" i="23"/>
  <c r="J668" i="23" s="1"/>
  <c r="H668" i="23"/>
  <c r="K665" i="23"/>
  <c r="J665" i="23" s="1"/>
  <c r="H665" i="23"/>
  <c r="K672" i="23"/>
  <c r="J672" i="23" s="1"/>
  <c r="H672" i="23"/>
  <c r="K664" i="23"/>
  <c r="J664" i="23" s="1"/>
  <c r="H664" i="23"/>
  <c r="K663" i="23"/>
  <c r="J663" i="23" s="1"/>
  <c r="K669" i="23"/>
  <c r="J669" i="23" s="1"/>
  <c r="K624" i="23"/>
  <c r="J624" i="23" s="1"/>
  <c r="K623" i="23"/>
  <c r="J623" i="23" s="1"/>
  <c r="H627" i="23"/>
  <c r="K627" i="23"/>
  <c r="J627" i="23" s="1"/>
  <c r="K629" i="23"/>
  <c r="J629" i="23" s="1"/>
  <c r="H628" i="23"/>
  <c r="K628" i="23"/>
  <c r="J628" i="23" s="1"/>
  <c r="K1038" i="23"/>
  <c r="J1038" i="23" s="1"/>
  <c r="K87" i="23"/>
  <c r="J87" i="23" s="1"/>
  <c r="K385" i="23"/>
  <c r="J385" i="23" s="1"/>
  <c r="K747" i="23"/>
  <c r="J747" i="23" s="1"/>
  <c r="K875" i="23"/>
  <c r="J875" i="23" s="1"/>
  <c r="K996" i="23"/>
  <c r="J996" i="23" s="1"/>
  <c r="K877" i="23"/>
  <c r="J877" i="23" s="1"/>
  <c r="K707" i="23"/>
  <c r="J707" i="23" s="1"/>
  <c r="K294" i="23"/>
  <c r="J294" i="23" s="1"/>
  <c r="H294" i="23"/>
  <c r="K871" i="23"/>
  <c r="J871" i="23" s="1"/>
  <c r="K1242" i="23"/>
  <c r="J1242" i="23" s="1"/>
  <c r="K93" i="23"/>
  <c r="J93" i="23" s="1"/>
  <c r="K180" i="23"/>
  <c r="J180" i="23" s="1"/>
  <c r="K376" i="23"/>
  <c r="J376" i="23" s="1"/>
  <c r="K382" i="23"/>
  <c r="J382" i="23" s="1"/>
  <c r="H382" i="23"/>
  <c r="K212" i="23"/>
  <c r="J212" i="23" s="1"/>
  <c r="K215" i="23"/>
  <c r="J215" i="23" s="1"/>
  <c r="H215" i="23"/>
  <c r="K90" i="23"/>
  <c r="J90" i="23" s="1"/>
  <c r="K217" i="23"/>
  <c r="J217" i="23" s="1"/>
  <c r="H217" i="23"/>
  <c r="K424" i="23"/>
  <c r="J424" i="23" s="1"/>
  <c r="K171" i="23"/>
  <c r="J171" i="23" s="1"/>
  <c r="J168" i="23" s="1"/>
  <c r="H171" i="23"/>
  <c r="K502" i="23"/>
  <c r="J502" i="23" s="1"/>
  <c r="K218" i="23"/>
  <c r="J218" i="23" s="1"/>
  <c r="H218" i="23"/>
  <c r="K381" i="23"/>
  <c r="J381" i="23" s="1"/>
  <c r="H381" i="23"/>
  <c r="K253" i="23"/>
  <c r="J253" i="23" s="1"/>
  <c r="K5" i="23"/>
  <c r="J5" i="23" s="1"/>
  <c r="H5" i="23"/>
  <c r="K705" i="23"/>
  <c r="J705" i="23" s="1"/>
  <c r="K14" i="23"/>
  <c r="J14" i="23" s="1"/>
  <c r="H14" i="23"/>
  <c r="K214" i="23"/>
  <c r="J214" i="23" s="1"/>
  <c r="H214" i="23"/>
  <c r="K10" i="23"/>
  <c r="J10" i="23" s="1"/>
  <c r="K7" i="23"/>
  <c r="J7" i="23" s="1"/>
  <c r="H7" i="23"/>
  <c r="K260" i="23"/>
  <c r="J260" i="23" s="1"/>
  <c r="K505" i="23"/>
  <c r="J505" i="23" s="1"/>
  <c r="K631" i="23"/>
  <c r="J631" i="23" s="1"/>
  <c r="K1079" i="23"/>
  <c r="J1079" i="23" s="1"/>
  <c r="K383" i="23"/>
  <c r="J383" i="23" s="1"/>
  <c r="H383" i="23"/>
  <c r="K1199" i="23"/>
  <c r="J1199" i="23" s="1"/>
  <c r="K506" i="23"/>
  <c r="J506" i="23" s="1"/>
  <c r="K377" i="23"/>
  <c r="J377" i="23" s="1"/>
  <c r="H377" i="23"/>
  <c r="J578" i="23"/>
  <c r="K540" i="23"/>
  <c r="J540" i="23" s="1"/>
  <c r="K545" i="23"/>
  <c r="J545" i="23" s="1"/>
  <c r="K546" i="23"/>
  <c r="J546" i="23" s="1"/>
  <c r="H546" i="23"/>
  <c r="K549" i="23"/>
  <c r="J549" i="23" s="1"/>
  <c r="K541" i="23"/>
  <c r="J541" i="23" s="1"/>
  <c r="H541" i="23"/>
  <c r="K508" i="23"/>
  <c r="J508" i="23" s="1"/>
  <c r="K500" i="23"/>
  <c r="J500" i="23" s="1"/>
  <c r="K504" i="23"/>
  <c r="J504" i="23" s="1"/>
  <c r="K499" i="23"/>
  <c r="J499" i="23" s="1"/>
  <c r="K501" i="23"/>
  <c r="J501" i="23" s="1"/>
  <c r="K379" i="23"/>
  <c r="J379" i="23" s="1"/>
  <c r="K303" i="23"/>
  <c r="J303" i="23" s="1"/>
  <c r="K299" i="23"/>
  <c r="J299" i="23" s="1"/>
  <c r="K300" i="23"/>
  <c r="J300" i="23" s="1"/>
  <c r="K301" i="23"/>
  <c r="J301" i="23" s="1"/>
  <c r="K297" i="23"/>
  <c r="J297" i="23" s="1"/>
  <c r="K213" i="23"/>
  <c r="J213" i="23" s="1"/>
  <c r="K219" i="23"/>
  <c r="J219" i="23" s="1"/>
  <c r="K417" i="23"/>
  <c r="J417" i="23" s="1"/>
  <c r="K8" i="23"/>
  <c r="J8" i="23" s="1"/>
  <c r="J744" i="23"/>
  <c r="K748" i="23"/>
  <c r="J748" i="23" s="1"/>
  <c r="K418" i="23"/>
  <c r="J418" i="23" s="1"/>
  <c r="K422" i="23"/>
  <c r="J422" i="23" s="1"/>
  <c r="K746" i="23"/>
  <c r="J746" i="23" s="1"/>
  <c r="K670" i="23"/>
  <c r="J670" i="23" s="1"/>
  <c r="K1158" i="23"/>
  <c r="J1158" i="23" s="1"/>
  <c r="K1116" i="23"/>
  <c r="J1116" i="23" s="1"/>
  <c r="K420" i="23"/>
  <c r="J420" i="23" s="1"/>
  <c r="K1120" i="23"/>
  <c r="J1120" i="23" s="1"/>
  <c r="K419" i="23"/>
  <c r="J419" i="23" s="1"/>
  <c r="K6" i="23"/>
  <c r="J6" i="23" s="1"/>
  <c r="K295" i="23"/>
  <c r="J295" i="23" s="1"/>
  <c r="K296" i="23"/>
  <c r="J296" i="23" s="1"/>
  <c r="J332" i="23"/>
  <c r="K423" i="23"/>
  <c r="J423" i="23" s="1"/>
  <c r="K542" i="23"/>
  <c r="J542" i="23" s="1"/>
  <c r="K131" i="23"/>
  <c r="J131" i="23" s="1"/>
  <c r="J125" i="23" s="1"/>
  <c r="K578" i="23"/>
  <c r="J1152" i="23"/>
  <c r="K455" i="23"/>
  <c r="J455" i="23"/>
  <c r="K332" i="23"/>
  <c r="J43" i="23"/>
  <c r="K43" i="23"/>
  <c r="K22" i="23"/>
  <c r="J22" i="23" s="1"/>
  <c r="J783" i="23" l="1"/>
  <c r="J1275" i="23"/>
  <c r="K1275" i="23"/>
  <c r="J1234" i="23"/>
  <c r="J1193" i="23"/>
  <c r="J1070" i="23"/>
  <c r="J988" i="23"/>
  <c r="K988" i="23"/>
  <c r="K947" i="23"/>
  <c r="J824" i="23"/>
  <c r="K1070" i="23"/>
  <c r="J209" i="23"/>
  <c r="J865" i="23"/>
  <c r="J496" i="23"/>
  <c r="J250" i="23"/>
  <c r="K1193" i="23"/>
  <c r="J1029" i="23"/>
  <c r="K824" i="23"/>
  <c r="J84" i="23"/>
  <c r="K783" i="23"/>
  <c r="J701" i="23"/>
  <c r="J660" i="23"/>
  <c r="J619" i="23"/>
  <c r="K250" i="23"/>
  <c r="K496" i="23"/>
  <c r="K1029" i="23"/>
  <c r="K619" i="23"/>
  <c r="J1111" i="23"/>
  <c r="K865" i="23"/>
  <c r="K1234" i="23"/>
  <c r="K660" i="23"/>
  <c r="K84" i="23"/>
  <c r="J373" i="23"/>
  <c r="K168" i="23"/>
  <c r="K125" i="23"/>
  <c r="J537" i="23"/>
  <c r="K537" i="23"/>
  <c r="J414" i="23"/>
  <c r="K373" i="23"/>
  <c r="J291" i="23"/>
  <c r="K209" i="23"/>
  <c r="J742" i="23"/>
  <c r="K414" i="23"/>
  <c r="K2" i="23"/>
  <c r="K1111" i="23"/>
  <c r="K291" i="23"/>
  <c r="K742" i="23"/>
  <c r="W28" i="18" l="1"/>
  <c r="Z27" i="18"/>
  <c r="Y27" i="18"/>
  <c r="Z26" i="18"/>
  <c r="Y26" i="18"/>
  <c r="X26" i="18"/>
  <c r="W26" i="18"/>
  <c r="W24" i="18"/>
  <c r="Z23" i="18"/>
  <c r="Z22" i="18"/>
  <c r="Y22" i="18"/>
  <c r="X22" i="18"/>
  <c r="W22" i="18"/>
  <c r="W20" i="18"/>
  <c r="V20" i="18"/>
  <c r="Z19" i="18"/>
  <c r="Z13" i="18"/>
  <c r="Z29" i="18" s="1"/>
  <c r="Y13" i="18"/>
  <c r="Y29" i="18" s="1"/>
  <c r="X13" i="18"/>
  <c r="X29" i="18" s="1"/>
  <c r="W13" i="18"/>
  <c r="W29" i="18" s="1"/>
  <c r="V13" i="18"/>
  <c r="Z12" i="18"/>
  <c r="Z28" i="18" s="1"/>
  <c r="Y12" i="18"/>
  <c r="Y28" i="18" s="1"/>
  <c r="X12" i="18"/>
  <c r="X28" i="18" s="1"/>
  <c r="W12" i="18"/>
  <c r="V12" i="18"/>
  <c r="Z11" i="18"/>
  <c r="Y11" i="18"/>
  <c r="X11" i="18"/>
  <c r="X27" i="18" s="1"/>
  <c r="W11" i="18"/>
  <c r="W27" i="18" s="1"/>
  <c r="V11" i="18"/>
  <c r="Z10" i="18"/>
  <c r="Y10" i="18"/>
  <c r="X10" i="18"/>
  <c r="W10" i="18"/>
  <c r="V10" i="18"/>
  <c r="Z9" i="18"/>
  <c r="Z25" i="18" s="1"/>
  <c r="Y9" i="18"/>
  <c r="Y25" i="18" s="1"/>
  <c r="X9" i="18"/>
  <c r="X25" i="18" s="1"/>
  <c r="W9" i="18"/>
  <c r="W25" i="18" s="1"/>
  <c r="V9" i="18"/>
  <c r="Z8" i="18"/>
  <c r="Z24" i="18" s="1"/>
  <c r="Y8" i="18"/>
  <c r="Y24" i="18" s="1"/>
  <c r="X8" i="18"/>
  <c r="X24" i="18" s="1"/>
  <c r="W8" i="18"/>
  <c r="V8" i="18"/>
  <c r="Z7" i="18"/>
  <c r="Y7" i="18"/>
  <c r="Y23" i="18" s="1"/>
  <c r="X7" i="18"/>
  <c r="X23" i="18" s="1"/>
  <c r="W7" i="18"/>
  <c r="W23" i="18" s="1"/>
  <c r="V7" i="18"/>
  <c r="Z6" i="18"/>
  <c r="Y6" i="18"/>
  <c r="X6" i="18"/>
  <c r="W6" i="18"/>
  <c r="V6" i="18"/>
  <c r="Z5" i="18"/>
  <c r="Z21" i="18" s="1"/>
  <c r="Y5" i="18"/>
  <c r="Y21" i="18" s="1"/>
  <c r="X5" i="18"/>
  <c r="X21" i="18" s="1"/>
  <c r="W5" i="18"/>
  <c r="W21" i="18" s="1"/>
  <c r="V5" i="18"/>
  <c r="Z4" i="18"/>
  <c r="Z20" i="18" s="1"/>
  <c r="Y4" i="18"/>
  <c r="Y20" i="18" s="1"/>
  <c r="X4" i="18"/>
  <c r="X20" i="18" s="1"/>
  <c r="W4" i="18"/>
  <c r="V4" i="18"/>
  <c r="Z3" i="18"/>
  <c r="Z14" i="18" s="1"/>
  <c r="Y3" i="18"/>
  <c r="Y14" i="18" s="1"/>
  <c r="X3" i="18"/>
  <c r="X19" i="18" s="1"/>
  <c r="W3" i="18"/>
  <c r="W14" i="18" s="1"/>
  <c r="V3" i="18"/>
  <c r="V14" i="18" s="1"/>
  <c r="V18" i="18" l="1"/>
  <c r="Y18" i="18"/>
  <c r="Z18" i="18"/>
  <c r="V19" i="18"/>
  <c r="W19" i="18"/>
  <c r="Y19" i="18"/>
  <c r="W18" i="18"/>
  <c r="X14" i="18"/>
  <c r="X18" i="18"/>
</calcChain>
</file>

<file path=xl/sharedStrings.xml><?xml version="1.0" encoding="utf-8"?>
<sst xmlns="http://schemas.openxmlformats.org/spreadsheetml/2006/main" count="2810" uniqueCount="358">
  <si>
    <t>Visible Window Size</t>
    <phoneticPr fontId="25" type="noConversion"/>
  </si>
  <si>
    <t>* Please refer to PayLineTableRegular_4x5.txt</t>
  </si>
  <si>
    <t>M4</t>
  </si>
  <si>
    <t>M1</t>
  </si>
  <si>
    <t>M5</t>
  </si>
  <si>
    <t>K</t>
  </si>
  <si>
    <t>M3</t>
  </si>
  <si>
    <t>M2</t>
  </si>
  <si>
    <t>J</t>
  </si>
  <si>
    <t>WW</t>
  </si>
  <si>
    <t>A</t>
  </si>
  <si>
    <t>Q</t>
  </si>
  <si>
    <t>WJ</t>
  </si>
  <si>
    <t>WQ</t>
  </si>
  <si>
    <t>WK</t>
  </si>
  <si>
    <t>WA</t>
  </si>
  <si>
    <t>W5</t>
  </si>
  <si>
    <t>W4</t>
  </si>
  <si>
    <t>W3</t>
  </si>
  <si>
    <t>W2</t>
  </si>
  <si>
    <t>W1</t>
  </si>
  <si>
    <t>--</t>
  </si>
  <si>
    <t>Symbol</t>
  </si>
  <si>
    <t>C1</t>
  </si>
  <si>
    <t>Model:</t>
    <phoneticPr fontId="25" type="noConversion"/>
  </si>
  <si>
    <t xml:space="preserve">Coin  </t>
    <phoneticPr fontId="25" type="noConversion"/>
  </si>
  <si>
    <t>Pay Line</t>
    <phoneticPr fontId="25" type="noConversion"/>
  </si>
  <si>
    <t>Avg. Pay</t>
    <phoneticPr fontId="25" type="noConversion"/>
  </si>
  <si>
    <t>Pay Combo</t>
    <phoneticPr fontId="25" type="noConversion"/>
  </si>
  <si>
    <t>1-50</t>
    <phoneticPr fontId="25" type="noConversion"/>
  </si>
  <si>
    <t>4 SC</t>
    <phoneticPr fontId="25" type="noConversion"/>
  </si>
  <si>
    <t>3 SC</t>
    <phoneticPr fontId="25" type="noConversion"/>
  </si>
  <si>
    <t>Reel #</t>
    <phoneticPr fontId="25" type="noConversion"/>
  </si>
  <si>
    <t>R3</t>
  </si>
  <si>
    <t>R4</t>
  </si>
  <si>
    <t>R5</t>
  </si>
  <si>
    <t>R2</t>
  </si>
  <si>
    <t>R1</t>
    <phoneticPr fontId="25" type="noConversion"/>
  </si>
  <si>
    <t>R2</t>
    <phoneticPr fontId="25" type="noConversion"/>
  </si>
  <si>
    <t>R4</t>
    <phoneticPr fontId="25" type="noConversion"/>
  </si>
  <si>
    <t>R5</t>
    <phoneticPr fontId="25" type="noConversion"/>
  </si>
  <si>
    <t>R1</t>
  </si>
  <si>
    <t>TE</t>
  </si>
  <si>
    <t>5 SC</t>
    <phoneticPr fontId="25" type="noConversion"/>
  </si>
  <si>
    <r>
      <t>Pay Table</t>
    </r>
    <r>
      <rPr>
        <b/>
        <sz val="12"/>
        <rFont val="細明體"/>
        <family val="3"/>
        <charset val="136"/>
      </rPr>
      <t>：</t>
    </r>
  </si>
  <si>
    <t>All wins show for 1 credit bet.</t>
  </si>
  <si>
    <t>WT</t>
  </si>
  <si>
    <t>R3</t>
    <phoneticPr fontId="25" type="noConversion"/>
  </si>
  <si>
    <t>ID</t>
    <phoneticPr fontId="25" type="noConversion"/>
  </si>
  <si>
    <t>Description</t>
    <phoneticPr fontId="25" type="noConversion"/>
  </si>
  <si>
    <t>Line #</t>
  </si>
  <si>
    <t>J</t>
    <phoneticPr fontId="24" type="noConversion"/>
  </si>
  <si>
    <t>TE</t>
    <phoneticPr fontId="24" type="noConversion"/>
  </si>
  <si>
    <t>--</t>
    <phoneticPr fontId="24" type="noConversion"/>
  </si>
  <si>
    <t>基本遊戲：</t>
  </si>
  <si>
    <r>
      <rPr>
        <b/>
        <sz val="10"/>
        <rFont val="新細明體"/>
        <family val="1"/>
        <charset val="136"/>
      </rPr>
      <t>基本游戏：</t>
    </r>
  </si>
  <si>
    <r>
      <rPr>
        <sz val="10"/>
        <rFont val="新細明體"/>
        <family val="1"/>
        <charset val="136"/>
      </rPr>
      <t>除了分散标志以外，所有标志必须由最左至右连续出现，方可获得派彩。</t>
    </r>
  </si>
  <si>
    <t>3 or more [C1] initiates FREE SPIN BONUS.</t>
  </si>
  <si>
    <t>Idling Screen</t>
  </si>
  <si>
    <t>Feature:</t>
    <phoneticPr fontId="24" type="noConversion"/>
  </si>
  <si>
    <t>J50300-BN</t>
    <phoneticPr fontId="25" type="noConversion"/>
  </si>
  <si>
    <t>TE</t>
    <phoneticPr fontId="24" type="noConversion"/>
  </si>
  <si>
    <t>M5</t>
    <phoneticPr fontId="24" type="noConversion"/>
  </si>
  <si>
    <t>K</t>
    <phoneticPr fontId="24" type="noConversion"/>
  </si>
  <si>
    <t>J</t>
    <phoneticPr fontId="24" type="noConversion"/>
  </si>
  <si>
    <t>M2</t>
    <phoneticPr fontId="24" type="noConversion"/>
  </si>
  <si>
    <t>Q</t>
    <phoneticPr fontId="24" type="noConversion"/>
  </si>
  <si>
    <t>A</t>
    <phoneticPr fontId="24" type="noConversion"/>
  </si>
  <si>
    <t>M4</t>
    <phoneticPr fontId="24" type="noConversion"/>
  </si>
  <si>
    <t>M1</t>
    <phoneticPr fontId="24" type="noConversion"/>
  </si>
  <si>
    <t>M3</t>
    <phoneticPr fontId="24" type="noConversion"/>
  </si>
  <si>
    <t>K</t>
    <phoneticPr fontId="24" type="noConversion"/>
  </si>
  <si>
    <t>M5</t>
    <phoneticPr fontId="24" type="noConversion"/>
  </si>
  <si>
    <t>M5</t>
    <phoneticPr fontId="24" type="noConversion"/>
  </si>
  <si>
    <t>Q</t>
    <phoneticPr fontId="24" type="noConversion"/>
  </si>
  <si>
    <t>A</t>
    <phoneticPr fontId="24" type="noConversion"/>
  </si>
  <si>
    <t>TE</t>
    <phoneticPr fontId="24" type="noConversion"/>
  </si>
  <si>
    <t>K</t>
    <phoneticPr fontId="24" type="noConversion"/>
  </si>
  <si>
    <t>M1</t>
    <phoneticPr fontId="24" type="noConversion"/>
  </si>
  <si>
    <t>J</t>
    <phoneticPr fontId="24" type="noConversion"/>
  </si>
  <si>
    <t>M4</t>
    <phoneticPr fontId="24" type="noConversion"/>
  </si>
  <si>
    <t>M4</t>
    <phoneticPr fontId="24" type="noConversion"/>
  </si>
  <si>
    <t>TE</t>
    <phoneticPr fontId="24" type="noConversion"/>
  </si>
  <si>
    <t>C1</t>
    <phoneticPr fontId="24" type="noConversion"/>
  </si>
  <si>
    <t>J</t>
    <phoneticPr fontId="24" type="noConversion"/>
  </si>
  <si>
    <t>Q</t>
    <phoneticPr fontId="24" type="noConversion"/>
  </si>
  <si>
    <t>A</t>
    <phoneticPr fontId="24" type="noConversion"/>
  </si>
  <si>
    <t>C1</t>
    <phoneticPr fontId="24" type="noConversion"/>
  </si>
  <si>
    <t>M2</t>
    <phoneticPr fontId="24" type="noConversion"/>
  </si>
  <si>
    <t>A</t>
    <phoneticPr fontId="24" type="noConversion"/>
  </si>
  <si>
    <t>M4</t>
    <phoneticPr fontId="24" type="noConversion"/>
  </si>
  <si>
    <t>M4</t>
    <phoneticPr fontId="24" type="noConversion"/>
  </si>
  <si>
    <t>M2</t>
    <phoneticPr fontId="24" type="noConversion"/>
  </si>
  <si>
    <t>M3</t>
    <phoneticPr fontId="24" type="noConversion"/>
  </si>
  <si>
    <t>M5</t>
    <phoneticPr fontId="24" type="noConversion"/>
  </si>
  <si>
    <t>GAMP PLAY
REEL POSITION
ALL LINE PAYS ARE MULTIPLIED BY LINE BET. ONLY THE HIGHEST LINE WIN IS PAID ON EACH LINE PLAYED. SCATTER WINS ARE ADDED TO LINE WINS. ALL LINE PAY SYMBOLS MUST APPEAR ON A BETTED LINE ON ADJACENT REELS BEGINNING WITH THE LEFTMOST REEL.
THE MULTIPLIER SHOWN ON THE IDLE SCREEN IS CALCULATED ON THE BASIS OF TOTAL BET IN ONE SPIN.</t>
  </si>
  <si>
    <r>
      <t>遊戲玩法</t>
    </r>
    <r>
      <rPr>
        <sz val="10"/>
        <rFont val="新細明體"/>
        <family val="2"/>
        <scheme val="minor"/>
      </rPr>
      <t xml:space="preserve">
轉輪位置
所有的連線贏分將會乘以每線押分，在每一已押分線內只派出最高的中獎彩金。分散標誌贏分會與連線贏分相加。連線中獎標誌需在已押分的遊戲線上從最左至右連續出現，方獲派彩。
</t>
    </r>
    <r>
      <rPr>
        <sz val="10"/>
        <rFont val="新細明體"/>
        <family val="1"/>
        <charset val="136"/>
        <scheme val="minor"/>
      </rPr>
      <t>待機畫面所顯示倍數為單一場遊戲總贏分，由總押分金額計算而得。</t>
    </r>
  </si>
  <si>
    <t>游戏玩法
转轮位置
所有的连线赢分将会乘以每线投注，在每一已投注线内只派出最高的中奖彩金。分散标志赢分会与连线赢分相加。连线中奖标志需在已投注的游戏线上从最左至右连续出现，方获派彩。
待机画面所显示倍数为单一场游戏总赢分，由总投注金额计算而得。</t>
  </si>
  <si>
    <r>
      <t>Base Game Pays</t>
    </r>
    <r>
      <rPr>
        <b/>
        <sz val="10"/>
        <rFont val="新細明體"/>
        <family val="1"/>
        <charset val="136"/>
      </rPr>
      <t>：</t>
    </r>
    <phoneticPr fontId="25" type="noConversion"/>
  </si>
  <si>
    <r>
      <t>FREE SPIN BONUS</t>
    </r>
    <r>
      <rPr>
        <sz val="10"/>
        <rFont val="細明體"/>
        <family val="3"/>
        <charset val="136"/>
      </rPr>
      <t>：</t>
    </r>
    <r>
      <rPr>
        <sz val="10"/>
        <rFont val="Arial"/>
        <family val="2"/>
      </rPr>
      <t xml:space="preserve">   
                        Any 5 – 100 credits times the total bet
[C1]                  Any 4 – 10 credits times the total bet
Scatter Pay       Any 3 – 2 credits times the total bet</t>
    </r>
    <phoneticPr fontId="25" type="noConversion"/>
  </si>
  <si>
    <t>免費遊戲獎賞：
            任何 5 - 100  得分乘以總押分
[C1]        任何 4 - 10  得分乘以總押分   
分散獎賞    任何 3 - 2  得分乘以總押分</t>
    <phoneticPr fontId="25" type="noConversion"/>
  </si>
  <si>
    <r>
      <rPr>
        <sz val="10"/>
        <rFont val="細明體"/>
        <family val="3"/>
        <charset val="136"/>
      </rPr>
      <t xml:space="preserve">免费游戏奖赏：
</t>
    </r>
    <r>
      <rPr>
        <sz val="10"/>
        <rFont val="Arial"/>
        <family val="2"/>
      </rPr>
      <t xml:space="preserve">                   </t>
    </r>
    <r>
      <rPr>
        <sz val="10"/>
        <rFont val="細明體"/>
        <family val="3"/>
        <charset val="136"/>
      </rPr>
      <t>任何</t>
    </r>
    <r>
      <rPr>
        <sz val="10"/>
        <rFont val="Arial"/>
        <family val="2"/>
      </rPr>
      <t xml:space="preserve"> 5 - 100  </t>
    </r>
    <r>
      <rPr>
        <sz val="10"/>
        <rFont val="細明體"/>
        <family val="3"/>
        <charset val="136"/>
      </rPr>
      <t xml:space="preserve">得分乘以总投注
</t>
    </r>
    <r>
      <rPr>
        <sz val="10"/>
        <rFont val="Arial"/>
        <family val="2"/>
      </rPr>
      <t xml:space="preserve">[C1]             </t>
    </r>
    <r>
      <rPr>
        <sz val="10"/>
        <rFont val="細明體"/>
        <family val="3"/>
        <charset val="136"/>
      </rPr>
      <t>任何</t>
    </r>
    <r>
      <rPr>
        <sz val="10"/>
        <rFont val="Arial"/>
        <family val="2"/>
      </rPr>
      <t xml:space="preserve"> 4 - 10  </t>
    </r>
    <r>
      <rPr>
        <sz val="10"/>
        <rFont val="細明體"/>
        <family val="3"/>
        <charset val="136"/>
      </rPr>
      <t>得分乘以总投注</t>
    </r>
    <r>
      <rPr>
        <sz val="10"/>
        <rFont val="Arial"/>
        <family val="2"/>
      </rPr>
      <t xml:space="preserve">   
</t>
    </r>
    <r>
      <rPr>
        <sz val="10"/>
        <rFont val="細明體"/>
        <family val="3"/>
        <charset val="136"/>
      </rPr>
      <t>分散奖赏</t>
    </r>
    <r>
      <rPr>
        <sz val="10"/>
        <rFont val="Arial"/>
        <family val="2"/>
      </rPr>
      <t xml:space="preserve">     </t>
    </r>
    <r>
      <rPr>
        <sz val="10"/>
        <rFont val="細明體"/>
        <family val="3"/>
        <charset val="136"/>
      </rPr>
      <t>任何</t>
    </r>
    <r>
      <rPr>
        <sz val="10"/>
        <rFont val="Arial"/>
        <family val="2"/>
      </rPr>
      <t xml:space="preserve"> 3 - 2  </t>
    </r>
    <r>
      <rPr>
        <sz val="10"/>
        <rFont val="細明體"/>
        <family val="3"/>
        <charset val="136"/>
      </rPr>
      <t>得分乘以总投注</t>
    </r>
    <phoneticPr fontId="25" type="noConversion"/>
  </si>
  <si>
    <t>All wins leftmost to right only except scatter.</t>
    <phoneticPr fontId="25" type="noConversion"/>
  </si>
  <si>
    <t>除了分散標誌以外，所有標誌必須由最左至右連續出現，方可獲得派彩。</t>
    <phoneticPr fontId="38" type="noConversion"/>
  </si>
  <si>
    <t>All wins show for 1 credit bet.</t>
    <phoneticPr fontId="25" type="noConversion"/>
  </si>
  <si>
    <t>所有派彩以一押分顯示。</t>
    <phoneticPr fontId="25" type="noConversion"/>
  </si>
  <si>
    <t>所有派彩以一投注分显示。</t>
    <phoneticPr fontId="25" type="noConversion"/>
  </si>
  <si>
    <t>Game Interruption 
Credits bet will be returned (may require attendant RESET) for any lockup or interruption occurs during game play and the game result cannot be determined; such game is considered VOID.</t>
    <phoneticPr fontId="25" type="noConversion"/>
  </si>
  <si>
    <t>遊戲故障
如遇任何故障導致遊戲結果無法被判定時，此局遊戲不成立，機台押分將自動退還 (也許需要服務員重新設置)。</t>
    <phoneticPr fontId="25" type="noConversion"/>
  </si>
  <si>
    <t>游戏故障
如遇任何故障导致游戏结果无法被判定时，此局游戏不成立，机台投注将自动退还 (也许需要服务员重新设置)。</t>
    <phoneticPr fontId="25" type="noConversion"/>
  </si>
  <si>
    <r>
      <t>Free Spin Bonus</t>
    </r>
    <r>
      <rPr>
        <b/>
        <sz val="10"/>
        <rFont val="細明體"/>
        <family val="3"/>
        <charset val="136"/>
      </rPr>
      <t>：</t>
    </r>
    <phoneticPr fontId="24" type="noConversion"/>
  </si>
  <si>
    <t>免費遊戲獎賞：</t>
    <phoneticPr fontId="24" type="noConversion"/>
  </si>
  <si>
    <t>免费游戏奖赏：</t>
    <phoneticPr fontId="24" type="noConversion"/>
  </si>
  <si>
    <t>During free spins the bet multiplier per reel and the active reels remain the same as the spin that triggered the bonus.</t>
    <phoneticPr fontId="25" type="noConversion"/>
  </si>
  <si>
    <t>在免費遊戲中，轉輪押分倍數及啟動轉輪數與觸發免費遊戲獎賞時相同。</t>
    <phoneticPr fontId="25" type="noConversion"/>
  </si>
  <si>
    <t>在免费游戏中，转轮投注倍数及启动转轮数与触发免费游戏奖赏时相同。</t>
    <phoneticPr fontId="25" type="noConversion"/>
  </si>
  <si>
    <r>
      <t>Free Game Pays</t>
    </r>
    <r>
      <rPr>
        <b/>
        <sz val="10"/>
        <rFont val="細明體"/>
        <family val="3"/>
        <charset val="136"/>
      </rPr>
      <t>：</t>
    </r>
    <r>
      <rPr>
        <b/>
        <sz val="10"/>
        <rFont val="Arial"/>
        <family val="2"/>
      </rPr>
      <t xml:space="preserve">
Free Spin Bonus</t>
    </r>
    <phoneticPr fontId="25" type="noConversion"/>
  </si>
  <si>
    <t>免費遊戲：
免費遊戲獎賞</t>
    <phoneticPr fontId="24" type="noConversion"/>
  </si>
  <si>
    <t>免费游戏：
免费游戏奖赏</t>
    <phoneticPr fontId="24" type="noConversion"/>
  </si>
  <si>
    <r>
      <t>WILD</t>
    </r>
    <r>
      <rPr>
        <sz val="10"/>
        <rFont val="細明體"/>
        <family val="3"/>
        <charset val="136"/>
      </rPr>
      <t>：</t>
    </r>
    <r>
      <rPr>
        <sz val="10"/>
        <rFont val="Arial"/>
        <family val="2"/>
      </rPr>
      <t xml:space="preserve">[WW]Substitutes for all symbols except [C1].
</t>
    </r>
    <r>
      <rPr>
        <sz val="10"/>
        <color rgb="FFFF0000"/>
        <rFont val="Arial"/>
        <family val="2"/>
      </rPr>
      <t xml:space="preserve">[M1] Only appears on reel 1.
</t>
    </r>
    <r>
      <rPr>
        <sz val="10"/>
        <rFont val="Arial"/>
        <family val="2"/>
      </rPr>
      <t>Any [M1] appearing on reel 1 will turn into [WW], And all [WW] symbols will shift to the right with each spin. When any [WW] shifted out of reel 5 will be returned to reel 1.</t>
    </r>
    <phoneticPr fontId="25" type="noConversion"/>
  </si>
  <si>
    <r>
      <t xml:space="preserve">百搭：[WW]可代替所有標誌除了[C1]。
</t>
    </r>
    <r>
      <rPr>
        <sz val="10"/>
        <color rgb="FFFF0000"/>
        <rFont val="細明體"/>
        <family val="3"/>
        <charset val="136"/>
      </rPr>
      <t xml:space="preserve">[M1]只會出現在第1轉輪
</t>
    </r>
    <r>
      <rPr>
        <sz val="10"/>
        <rFont val="細明體"/>
        <family val="3"/>
        <charset val="136"/>
      </rPr>
      <t>出現在第1轉輪的[M1]皆會轉換為[WW]，且每個[WW]皆會隨著每個場次向右移動，向右移出第5轉輪外的[WW]則會返回第1轉輪。</t>
    </r>
    <phoneticPr fontId="25" type="noConversion"/>
  </si>
  <si>
    <r>
      <rPr>
        <sz val="10"/>
        <rFont val="細明體"/>
        <family val="3"/>
        <charset val="136"/>
      </rPr>
      <t>百搭：</t>
    </r>
    <r>
      <rPr>
        <sz val="10"/>
        <rFont val="Arial"/>
        <family val="2"/>
      </rPr>
      <t>[WW]</t>
    </r>
    <r>
      <rPr>
        <sz val="10"/>
        <rFont val="細明體"/>
        <family val="3"/>
        <charset val="136"/>
      </rPr>
      <t>可代替所有标志除了</t>
    </r>
    <r>
      <rPr>
        <sz val="10"/>
        <rFont val="Arial"/>
        <family val="2"/>
      </rPr>
      <t>[C1]</t>
    </r>
    <r>
      <rPr>
        <sz val="10"/>
        <rFont val="細明體"/>
        <family val="3"/>
        <charset val="136"/>
      </rPr>
      <t xml:space="preserve">。
</t>
    </r>
    <r>
      <rPr>
        <sz val="10"/>
        <color rgb="FFFF0000"/>
        <rFont val="Arial"/>
        <family val="2"/>
      </rPr>
      <t>[M1]</t>
    </r>
    <r>
      <rPr>
        <sz val="10"/>
        <color rgb="FFFF0000"/>
        <rFont val="細明體"/>
        <family val="3"/>
        <charset val="136"/>
      </rPr>
      <t>只会出现在第</t>
    </r>
    <r>
      <rPr>
        <sz val="10"/>
        <color rgb="FFFF0000"/>
        <rFont val="Arial"/>
        <family val="2"/>
      </rPr>
      <t>1</t>
    </r>
    <r>
      <rPr>
        <sz val="10"/>
        <color rgb="FFFF0000"/>
        <rFont val="細明體"/>
        <family val="3"/>
        <charset val="136"/>
      </rPr>
      <t xml:space="preserve">转轮
</t>
    </r>
    <r>
      <rPr>
        <sz val="10"/>
        <rFont val="細明體"/>
        <family val="3"/>
        <charset val="136"/>
      </rPr>
      <t>出现在第</t>
    </r>
    <r>
      <rPr>
        <sz val="10"/>
        <rFont val="Arial"/>
        <family val="2"/>
      </rPr>
      <t>1</t>
    </r>
    <r>
      <rPr>
        <sz val="10"/>
        <rFont val="細明體"/>
        <family val="3"/>
        <charset val="136"/>
      </rPr>
      <t>转轮的</t>
    </r>
    <r>
      <rPr>
        <sz val="10"/>
        <rFont val="Arial"/>
        <family val="2"/>
      </rPr>
      <t>[M1]</t>
    </r>
    <r>
      <rPr>
        <sz val="10"/>
        <rFont val="細明體"/>
        <family val="3"/>
        <charset val="136"/>
      </rPr>
      <t>皆会转换为</t>
    </r>
    <r>
      <rPr>
        <sz val="10"/>
        <rFont val="Arial"/>
        <family val="2"/>
      </rPr>
      <t>[WW]</t>
    </r>
    <r>
      <rPr>
        <sz val="10"/>
        <rFont val="細明體"/>
        <family val="3"/>
        <charset val="136"/>
      </rPr>
      <t>，且每个</t>
    </r>
    <r>
      <rPr>
        <sz val="10"/>
        <rFont val="Arial"/>
        <family val="2"/>
      </rPr>
      <t>[WW]</t>
    </r>
    <r>
      <rPr>
        <sz val="10"/>
        <rFont val="細明體"/>
        <family val="3"/>
        <charset val="136"/>
      </rPr>
      <t>皆会随着每个场次向右移动，向右移出第</t>
    </r>
    <r>
      <rPr>
        <sz val="10"/>
        <rFont val="Arial"/>
        <family val="2"/>
      </rPr>
      <t>5</t>
    </r>
    <r>
      <rPr>
        <sz val="10"/>
        <rFont val="細明體"/>
        <family val="3"/>
        <charset val="136"/>
      </rPr>
      <t>转轮外的</t>
    </r>
    <r>
      <rPr>
        <sz val="10"/>
        <rFont val="Arial"/>
        <family val="2"/>
      </rPr>
      <t>[WW]</t>
    </r>
    <r>
      <rPr>
        <sz val="10"/>
        <rFont val="細明體"/>
        <family val="3"/>
        <charset val="136"/>
      </rPr>
      <t>则会返回第</t>
    </r>
    <r>
      <rPr>
        <sz val="10"/>
        <rFont val="Arial"/>
        <family val="2"/>
      </rPr>
      <t>1</t>
    </r>
    <r>
      <rPr>
        <sz val="10"/>
        <rFont val="細明體"/>
        <family val="3"/>
        <charset val="136"/>
      </rPr>
      <t>转轮。</t>
    </r>
    <phoneticPr fontId="25" type="noConversion"/>
  </si>
  <si>
    <r>
      <t>FREE SPIN BONUS</t>
    </r>
    <r>
      <rPr>
        <sz val="10"/>
        <rFont val="細明體"/>
        <family val="3"/>
        <charset val="136"/>
      </rPr>
      <t>：</t>
    </r>
    <r>
      <rPr>
        <sz val="10"/>
        <rFont val="Arial"/>
        <family val="2"/>
      </rPr>
      <t xml:space="preserve">   
[C1]                3 – 2 credits times the total bet
Scatter Pay     Only appears on reels 2,3 and 4.</t>
    </r>
    <phoneticPr fontId="25" type="noConversion"/>
  </si>
  <si>
    <t xml:space="preserve">免費遊戲獎賞：
[C1]        3 - 2  得分乘以總押分
分散獎賞    只出現在第2、3、4轉輪   </t>
    <phoneticPr fontId="25" type="noConversion"/>
  </si>
  <si>
    <r>
      <rPr>
        <sz val="10"/>
        <rFont val="細明體"/>
        <family val="3"/>
        <charset val="136"/>
      </rPr>
      <t xml:space="preserve">免费游戏奖赏：
</t>
    </r>
    <r>
      <rPr>
        <sz val="10"/>
        <rFont val="Arial"/>
        <family val="2"/>
      </rPr>
      <t xml:space="preserve">[C1]              3 - 2  </t>
    </r>
    <r>
      <rPr>
        <sz val="10"/>
        <rFont val="細明體"/>
        <family val="3"/>
        <charset val="136"/>
      </rPr>
      <t>得分乘以总投注
分散奖赏</t>
    </r>
    <r>
      <rPr>
        <sz val="10"/>
        <rFont val="Arial"/>
        <family val="2"/>
      </rPr>
      <t xml:space="preserve">      </t>
    </r>
    <r>
      <rPr>
        <sz val="10"/>
        <rFont val="細明體"/>
        <family val="3"/>
        <charset val="136"/>
      </rPr>
      <t>只出现在第</t>
    </r>
    <r>
      <rPr>
        <sz val="10"/>
        <rFont val="Arial"/>
        <family val="2"/>
      </rPr>
      <t>2</t>
    </r>
    <r>
      <rPr>
        <sz val="10"/>
        <rFont val="細明體"/>
        <family val="3"/>
        <charset val="136"/>
      </rPr>
      <t>、</t>
    </r>
    <r>
      <rPr>
        <sz val="10"/>
        <rFont val="Arial"/>
        <family val="2"/>
      </rPr>
      <t>3</t>
    </r>
    <r>
      <rPr>
        <sz val="10"/>
        <rFont val="細明體"/>
        <family val="3"/>
        <charset val="136"/>
      </rPr>
      <t>、</t>
    </r>
    <r>
      <rPr>
        <sz val="10"/>
        <rFont val="Arial"/>
        <family val="2"/>
      </rPr>
      <t>4</t>
    </r>
    <r>
      <rPr>
        <sz val="10"/>
        <rFont val="細明體"/>
        <family val="3"/>
        <charset val="136"/>
      </rPr>
      <t>转轮</t>
    </r>
    <r>
      <rPr>
        <sz val="10"/>
        <rFont val="Arial"/>
        <family val="2"/>
      </rPr>
      <t xml:space="preserve">   </t>
    </r>
    <phoneticPr fontId="25" type="noConversion"/>
  </si>
  <si>
    <t>All wins leftmost to right only except scatter.</t>
    <phoneticPr fontId="25" type="noConversion"/>
  </si>
  <si>
    <t>除了分散標誌以外，所有標誌必須由最左至右連續出現，方可獲得派彩。</t>
    <phoneticPr fontId="38" type="noConversion"/>
  </si>
  <si>
    <t>(Pay Line Definition)</t>
    <phoneticPr fontId="25" type="noConversion"/>
  </si>
  <si>
    <t>(Top Screen - Base Game)</t>
    <phoneticPr fontId="25" type="noConversion"/>
  </si>
  <si>
    <r>
      <t>FREE SPIN BONUS</t>
    </r>
    <r>
      <rPr>
        <sz val="10"/>
        <rFont val="細明體"/>
        <family val="3"/>
        <charset val="136"/>
      </rPr>
      <t>：</t>
    </r>
    <r>
      <rPr>
        <sz val="10"/>
        <rFont val="Arial"/>
        <family val="2"/>
      </rPr>
      <t xml:space="preserve">   
                           Any     5 – &lt;100&gt; +25 FREE SPINS
[C1]                     Any     4 – &lt;10&gt; +15  FREE SPINS
Scatter Pay          Any     3 – &lt;2&gt; +10  FREE SPINS</t>
    </r>
    <phoneticPr fontId="25" type="noConversion"/>
  </si>
  <si>
    <t>免費遊戲獎賞：
               任何    5 - &lt;100&gt; + 25 次免費遊戲
[C1]           任何    4 - &lt;10&gt; + 15 次免費遊戲
分散獎賞       任何    3 - &lt;2&gt; + 10 次免費遊戲</t>
    <phoneticPr fontId="25" type="noConversion"/>
  </si>
  <si>
    <t>免费游戏奖赏：
               任何    5 - &lt;100&gt; + 25 次免费游戏
[C1]           任何    4 - &lt;10&gt; + 15 次免费游戏
分散奖赏       任何    3 - &lt;2&gt; + 10 次免费游戏</t>
    <phoneticPr fontId="25" type="noConversion"/>
  </si>
  <si>
    <t>(Top Screen - Free Game)</t>
    <phoneticPr fontId="25" type="noConversion"/>
  </si>
  <si>
    <r>
      <t>FREE SPIN BONUS</t>
    </r>
    <r>
      <rPr>
        <sz val="10"/>
        <rFont val="細明體"/>
        <family val="3"/>
        <charset val="136"/>
      </rPr>
      <t>：</t>
    </r>
    <r>
      <rPr>
        <sz val="10"/>
        <rFont val="Arial"/>
        <family val="2"/>
      </rPr>
      <t xml:space="preserve">   
[C1]                 Any     3 – &lt;2&gt; + 5 FREE SPINS
Scatter Pay      Only appears on reels 2,3 and 4.</t>
    </r>
    <phoneticPr fontId="24" type="noConversion"/>
  </si>
  <si>
    <t xml:space="preserve">免費遊戲獎賞：
[C1]           任何    3 - &lt;2&gt; + 5 次免費遊戲
分散獎賞       只出現在第2、3、4轉輪   </t>
    <phoneticPr fontId="24" type="noConversion"/>
  </si>
  <si>
    <t xml:space="preserve">免费游戏奖赏：
[C1]           任何    3 - &lt;2&gt; + 5 次免费游戏
分散奖赏       只出现在第2、3、4转轮   </t>
    <phoneticPr fontId="24" type="noConversion"/>
  </si>
  <si>
    <t>(Simple- Top Screen - Base Game)</t>
    <phoneticPr fontId="25" type="noConversion"/>
  </si>
  <si>
    <r>
      <t>3</t>
    </r>
    <r>
      <rPr>
        <sz val="10"/>
        <rFont val="細明體"/>
        <family val="3"/>
        <charset val="136"/>
      </rPr>
      <t>個以上</t>
    </r>
    <r>
      <rPr>
        <sz val="10"/>
        <rFont val="Arial"/>
        <family val="2"/>
      </rPr>
      <t>[C1]</t>
    </r>
    <r>
      <rPr>
        <sz val="10"/>
        <rFont val="細明體"/>
        <family val="3"/>
        <charset val="136"/>
      </rPr>
      <t>出現將觸發免費遊戲獎賞。</t>
    </r>
    <phoneticPr fontId="24" type="noConversion"/>
  </si>
  <si>
    <r>
      <t>3</t>
    </r>
    <r>
      <rPr>
        <sz val="10"/>
        <rFont val="細明體"/>
        <family val="3"/>
        <charset val="136"/>
      </rPr>
      <t>个以上</t>
    </r>
    <r>
      <rPr>
        <sz val="10"/>
        <rFont val="Arial"/>
        <family val="2"/>
      </rPr>
      <t>[C1]</t>
    </r>
    <r>
      <rPr>
        <sz val="10"/>
        <rFont val="細明體"/>
        <family val="3"/>
        <charset val="136"/>
      </rPr>
      <t>出现将触发免费游戏奖赏。</t>
    </r>
    <phoneticPr fontId="24" type="noConversion"/>
  </si>
  <si>
    <t>(Simple- Top Screen - Free Game)</t>
    <phoneticPr fontId="25" type="noConversion"/>
  </si>
  <si>
    <t>3 [C1] wins additional 5 free spins.</t>
    <phoneticPr fontId="25" type="noConversion"/>
  </si>
  <si>
    <r>
      <t>3</t>
    </r>
    <r>
      <rPr>
        <sz val="10"/>
        <rFont val="細明體"/>
        <family val="3"/>
        <charset val="136"/>
      </rPr>
      <t>個</t>
    </r>
    <r>
      <rPr>
        <sz val="10"/>
        <rFont val="Arial"/>
        <family val="2"/>
      </rPr>
      <t>[C1]</t>
    </r>
    <r>
      <rPr>
        <sz val="10"/>
        <rFont val="細明體"/>
        <family val="3"/>
        <charset val="136"/>
      </rPr>
      <t>出現將獲得額外5次免費遊戲。</t>
    </r>
    <phoneticPr fontId="24" type="noConversion"/>
  </si>
  <si>
    <r>
      <t>3</t>
    </r>
    <r>
      <rPr>
        <sz val="10"/>
        <rFont val="細明體"/>
        <family val="3"/>
        <charset val="136"/>
      </rPr>
      <t>个</t>
    </r>
    <r>
      <rPr>
        <sz val="10"/>
        <rFont val="Arial"/>
        <family val="2"/>
      </rPr>
      <t>[C1]</t>
    </r>
    <r>
      <rPr>
        <sz val="10"/>
        <rFont val="細明體"/>
        <family val="3"/>
        <charset val="136"/>
      </rPr>
      <t>出现将获得额外</t>
    </r>
    <r>
      <rPr>
        <sz val="10"/>
        <rFont val="Arial"/>
        <family val="2"/>
      </rPr>
      <t>5</t>
    </r>
    <r>
      <rPr>
        <sz val="10"/>
        <rFont val="細明體"/>
        <family val="3"/>
        <charset val="136"/>
      </rPr>
      <t>次免费游戏。</t>
    </r>
    <phoneticPr fontId="24" type="noConversion"/>
  </si>
  <si>
    <t>(Simple- Top Screen - Advertisement)</t>
    <phoneticPr fontId="25" type="noConversion"/>
  </si>
  <si>
    <t>All [WW] will shift to the right with each spin.</t>
    <phoneticPr fontId="25" type="noConversion"/>
  </si>
  <si>
    <t>每個[WW]皆會隨著每個場次向右移動</t>
    <phoneticPr fontId="25" type="noConversion"/>
  </si>
  <si>
    <t>每个[WW]皆会随着每个场次向右移动</t>
    <phoneticPr fontId="25" type="noConversion"/>
  </si>
  <si>
    <t>&lt;Case 1&gt;</t>
    <phoneticPr fontId="25" type="noConversion"/>
  </si>
  <si>
    <r>
      <t>&lt;</t>
    </r>
    <r>
      <rPr>
        <sz val="10"/>
        <rFont val="細明體"/>
        <family val="3"/>
        <charset val="136"/>
      </rPr>
      <t>上</t>
    </r>
    <r>
      <rPr>
        <sz val="10"/>
        <rFont val="Arial"/>
        <family val="2"/>
      </rPr>
      <t>&gt;[</t>
    </r>
    <r>
      <rPr>
        <sz val="10"/>
        <rFont val="細明體"/>
        <family val="3"/>
        <charset val="136"/>
      </rPr>
      <t>影片</t>
    </r>
    <r>
      <rPr>
        <sz val="10"/>
        <rFont val="Arial"/>
        <family val="2"/>
      </rPr>
      <t>] FULL STACKED [M1] GETS TOTAL WIN UP TO 500X</t>
    </r>
    <phoneticPr fontId="25" type="noConversion"/>
  </si>
  <si>
    <r>
      <t>&lt;</t>
    </r>
    <r>
      <rPr>
        <sz val="10"/>
        <rFont val="細明體"/>
        <family val="3"/>
        <charset val="136"/>
      </rPr>
      <t>上</t>
    </r>
    <r>
      <rPr>
        <sz val="10"/>
        <rFont val="Arial"/>
        <family val="2"/>
      </rPr>
      <t>&gt;[</t>
    </r>
    <r>
      <rPr>
        <sz val="10"/>
        <rFont val="細明體"/>
        <family val="3"/>
        <charset val="136"/>
      </rPr>
      <t>影片</t>
    </r>
    <r>
      <rPr>
        <sz val="10"/>
        <rFont val="Arial"/>
        <family val="2"/>
      </rPr>
      <t xml:space="preserve">] </t>
    </r>
    <r>
      <rPr>
        <sz val="10"/>
        <rFont val="細明體"/>
        <family val="3"/>
        <charset val="136"/>
      </rPr>
      <t>滿盤</t>
    </r>
    <r>
      <rPr>
        <sz val="10"/>
        <rFont val="Arial"/>
        <family val="2"/>
      </rPr>
      <t>[M1]</t>
    </r>
    <r>
      <rPr>
        <sz val="10"/>
        <rFont val="細明體"/>
        <family val="3"/>
        <charset val="136"/>
      </rPr>
      <t>總贏分達</t>
    </r>
    <r>
      <rPr>
        <sz val="10"/>
        <rFont val="Arial"/>
        <family val="2"/>
      </rPr>
      <t>500</t>
    </r>
    <r>
      <rPr>
        <sz val="10"/>
        <rFont val="細明體"/>
        <family val="3"/>
        <charset val="136"/>
      </rPr>
      <t>倍</t>
    </r>
    <phoneticPr fontId="25" type="noConversion"/>
  </si>
  <si>
    <r>
      <t>&lt;</t>
    </r>
    <r>
      <rPr>
        <sz val="10"/>
        <rFont val="細明體"/>
        <family val="3"/>
        <charset val="136"/>
      </rPr>
      <t>上</t>
    </r>
    <r>
      <rPr>
        <sz val="10"/>
        <rFont val="Arial"/>
        <family val="2"/>
      </rPr>
      <t>&gt;[</t>
    </r>
    <r>
      <rPr>
        <sz val="10"/>
        <rFont val="細明體"/>
        <family val="3"/>
        <charset val="136"/>
      </rPr>
      <t>影片</t>
    </r>
    <r>
      <rPr>
        <sz val="10"/>
        <rFont val="Arial"/>
        <family val="2"/>
      </rPr>
      <t xml:space="preserve">] </t>
    </r>
    <r>
      <rPr>
        <sz val="10"/>
        <rFont val="細明體"/>
        <family val="3"/>
        <charset val="136"/>
      </rPr>
      <t>满盘</t>
    </r>
    <r>
      <rPr>
        <sz val="10"/>
        <rFont val="Arial"/>
        <family val="2"/>
      </rPr>
      <t>[M1]</t>
    </r>
    <r>
      <rPr>
        <sz val="10"/>
        <rFont val="細明體"/>
        <family val="3"/>
        <charset val="136"/>
      </rPr>
      <t>总赢分达</t>
    </r>
    <r>
      <rPr>
        <sz val="10"/>
        <rFont val="Arial"/>
        <family val="2"/>
      </rPr>
      <t>500</t>
    </r>
    <r>
      <rPr>
        <sz val="10"/>
        <rFont val="細明體"/>
        <family val="3"/>
        <charset val="136"/>
      </rPr>
      <t>倍</t>
    </r>
    <phoneticPr fontId="25" type="noConversion"/>
  </si>
  <si>
    <r>
      <t>&lt;</t>
    </r>
    <r>
      <rPr>
        <sz val="10"/>
        <rFont val="細明體"/>
        <family val="3"/>
        <charset val="136"/>
      </rPr>
      <t>下</t>
    </r>
    <r>
      <rPr>
        <sz val="10"/>
        <rFont val="Arial"/>
        <family val="2"/>
      </rPr>
      <t>&gt;[</t>
    </r>
    <r>
      <rPr>
        <sz val="10"/>
        <rFont val="細明體"/>
        <family val="3"/>
        <charset val="136"/>
      </rPr>
      <t>遊戲畫面</t>
    </r>
    <r>
      <rPr>
        <sz val="10"/>
        <rFont val="Arial"/>
        <family val="2"/>
      </rPr>
      <t>] TOTAL WIN UP TO 500X</t>
    </r>
    <phoneticPr fontId="25" type="noConversion"/>
  </si>
  <si>
    <r>
      <t>&lt;</t>
    </r>
    <r>
      <rPr>
        <sz val="10"/>
        <rFont val="新細明體"/>
        <family val="1"/>
        <charset val="136"/>
      </rPr>
      <t>下</t>
    </r>
    <r>
      <rPr>
        <sz val="10"/>
        <rFont val="Arial"/>
        <family val="2"/>
      </rPr>
      <t>&gt;[</t>
    </r>
    <r>
      <rPr>
        <sz val="10"/>
        <rFont val="新細明體"/>
        <family val="1"/>
        <charset val="136"/>
      </rPr>
      <t>遊戲畫面</t>
    </r>
    <r>
      <rPr>
        <sz val="10"/>
        <rFont val="Arial"/>
        <family val="2"/>
      </rPr>
      <t xml:space="preserve">] </t>
    </r>
    <r>
      <rPr>
        <sz val="10"/>
        <rFont val="新細明體"/>
        <family val="1"/>
        <charset val="136"/>
      </rPr>
      <t>總贏分達</t>
    </r>
    <r>
      <rPr>
        <sz val="10"/>
        <rFont val="Arial"/>
        <family val="2"/>
      </rPr>
      <t>500</t>
    </r>
    <r>
      <rPr>
        <sz val="10"/>
        <rFont val="新細明體"/>
        <family val="1"/>
        <charset val="136"/>
      </rPr>
      <t>倍</t>
    </r>
    <phoneticPr fontId="25" type="noConversion"/>
  </si>
  <si>
    <r>
      <t>&lt;</t>
    </r>
    <r>
      <rPr>
        <sz val="10"/>
        <rFont val="細明體"/>
        <family val="3"/>
        <charset val="136"/>
      </rPr>
      <t>下</t>
    </r>
    <r>
      <rPr>
        <sz val="10"/>
        <rFont val="Arial"/>
        <family val="2"/>
      </rPr>
      <t>&gt;[</t>
    </r>
    <r>
      <rPr>
        <sz val="10"/>
        <rFont val="細明體"/>
        <family val="3"/>
        <charset val="136"/>
      </rPr>
      <t>游戏画面</t>
    </r>
    <r>
      <rPr>
        <sz val="10"/>
        <rFont val="Arial"/>
        <family val="2"/>
      </rPr>
      <t xml:space="preserve">] </t>
    </r>
    <r>
      <rPr>
        <sz val="10"/>
        <rFont val="細明體"/>
        <family val="3"/>
        <charset val="136"/>
      </rPr>
      <t>总赢分达</t>
    </r>
    <r>
      <rPr>
        <sz val="10"/>
        <rFont val="Arial"/>
        <family val="2"/>
      </rPr>
      <t>500</t>
    </r>
    <r>
      <rPr>
        <sz val="10"/>
        <rFont val="細明體"/>
        <family val="3"/>
        <charset val="136"/>
      </rPr>
      <t>倍</t>
    </r>
    <phoneticPr fontId="25" type="noConversion"/>
  </si>
  <si>
    <t>&lt;Case 2&gt;</t>
    <phoneticPr fontId="25" type="noConversion"/>
  </si>
  <si>
    <r>
      <t>&lt;</t>
    </r>
    <r>
      <rPr>
        <sz val="10"/>
        <rFont val="細明體"/>
        <family val="3"/>
        <charset val="136"/>
      </rPr>
      <t>上</t>
    </r>
    <r>
      <rPr>
        <sz val="10"/>
        <rFont val="Arial"/>
        <family val="2"/>
      </rPr>
      <t>&gt;[</t>
    </r>
    <r>
      <rPr>
        <sz val="10"/>
        <rFont val="細明體"/>
        <family val="3"/>
        <charset val="136"/>
      </rPr>
      <t>影片</t>
    </r>
    <r>
      <rPr>
        <sz val="10"/>
        <rFont val="Arial"/>
        <family val="2"/>
      </rPr>
      <t>] [WW] shifts by each spin until bonus ends.</t>
    </r>
    <phoneticPr fontId="24" type="noConversion"/>
  </si>
  <si>
    <r>
      <t>&lt;</t>
    </r>
    <r>
      <rPr>
        <sz val="10"/>
        <rFont val="細明體"/>
        <family val="3"/>
        <charset val="136"/>
      </rPr>
      <t>上</t>
    </r>
    <r>
      <rPr>
        <sz val="10"/>
        <rFont val="Arial"/>
        <family val="2"/>
      </rPr>
      <t>&gt;[</t>
    </r>
    <r>
      <rPr>
        <sz val="10"/>
        <rFont val="細明體"/>
        <family val="3"/>
        <charset val="136"/>
      </rPr>
      <t>影片</t>
    </r>
    <r>
      <rPr>
        <sz val="10"/>
        <rFont val="Arial"/>
        <family val="2"/>
      </rPr>
      <t xml:space="preserve">][WW] </t>
    </r>
    <r>
      <rPr>
        <sz val="10"/>
        <rFont val="細明體"/>
        <family val="3"/>
        <charset val="136"/>
      </rPr>
      <t>持續移動直到免費遊戲結束</t>
    </r>
    <phoneticPr fontId="24" type="noConversion"/>
  </si>
  <si>
    <r>
      <t>&lt;</t>
    </r>
    <r>
      <rPr>
        <sz val="10"/>
        <rFont val="細明體"/>
        <family val="3"/>
        <charset val="136"/>
      </rPr>
      <t>上</t>
    </r>
    <r>
      <rPr>
        <sz val="10"/>
        <rFont val="Arial"/>
        <family val="2"/>
      </rPr>
      <t>&gt;[</t>
    </r>
    <r>
      <rPr>
        <sz val="10"/>
        <rFont val="細明體"/>
        <family val="3"/>
        <charset val="136"/>
      </rPr>
      <t>影片</t>
    </r>
    <r>
      <rPr>
        <sz val="10"/>
        <rFont val="Arial"/>
        <family val="2"/>
      </rPr>
      <t xml:space="preserve">][WW] </t>
    </r>
    <r>
      <rPr>
        <sz val="10"/>
        <rFont val="細明體"/>
        <family val="3"/>
        <charset val="136"/>
      </rPr>
      <t>持续移动直到免费游戏结束</t>
    </r>
    <phoneticPr fontId="24" type="noConversion"/>
  </si>
  <si>
    <r>
      <t>&lt;</t>
    </r>
    <r>
      <rPr>
        <sz val="10"/>
        <rFont val="細明體"/>
        <family val="3"/>
        <charset val="136"/>
      </rPr>
      <t>下</t>
    </r>
    <r>
      <rPr>
        <sz val="10"/>
        <rFont val="Arial"/>
        <family val="2"/>
      </rPr>
      <t>&gt;[</t>
    </r>
    <r>
      <rPr>
        <sz val="10"/>
        <rFont val="細明體"/>
        <family val="3"/>
        <charset val="136"/>
      </rPr>
      <t>遊戲畫面</t>
    </r>
    <r>
      <rPr>
        <sz val="10"/>
        <rFont val="Arial"/>
        <family val="2"/>
      </rPr>
      <t>] [WW] shifts up to 50 spins.</t>
    </r>
    <phoneticPr fontId="24" type="noConversion"/>
  </si>
  <si>
    <r>
      <t>&lt;</t>
    </r>
    <r>
      <rPr>
        <sz val="10"/>
        <rFont val="細明體"/>
        <family val="3"/>
        <charset val="136"/>
      </rPr>
      <t>下</t>
    </r>
    <r>
      <rPr>
        <sz val="10"/>
        <rFont val="Arial"/>
        <family val="2"/>
      </rPr>
      <t>&gt;[</t>
    </r>
    <r>
      <rPr>
        <sz val="10"/>
        <rFont val="細明體"/>
        <family val="3"/>
        <charset val="136"/>
      </rPr>
      <t>遊戲畫面</t>
    </r>
    <r>
      <rPr>
        <sz val="10"/>
        <rFont val="Arial"/>
        <family val="2"/>
      </rPr>
      <t xml:space="preserve">] [WW] </t>
    </r>
    <r>
      <rPr>
        <sz val="10"/>
        <rFont val="細明體"/>
        <family val="3"/>
        <charset val="136"/>
      </rPr>
      <t>最多可持續移動</t>
    </r>
    <r>
      <rPr>
        <sz val="10"/>
        <rFont val="Arial"/>
        <family val="2"/>
      </rPr>
      <t>50</t>
    </r>
    <r>
      <rPr>
        <sz val="10"/>
        <rFont val="細明體"/>
        <family val="3"/>
        <charset val="136"/>
      </rPr>
      <t>轉</t>
    </r>
    <phoneticPr fontId="24" type="noConversion"/>
  </si>
  <si>
    <r>
      <t>&lt;</t>
    </r>
    <r>
      <rPr>
        <sz val="10"/>
        <rFont val="細明體"/>
        <family val="3"/>
        <charset val="136"/>
      </rPr>
      <t>下</t>
    </r>
    <r>
      <rPr>
        <sz val="10"/>
        <rFont val="Arial"/>
        <family val="2"/>
      </rPr>
      <t>&gt; [</t>
    </r>
    <r>
      <rPr>
        <sz val="10"/>
        <rFont val="細明體"/>
        <family val="3"/>
        <charset val="136"/>
      </rPr>
      <t>游戏画面</t>
    </r>
    <r>
      <rPr>
        <sz val="10"/>
        <rFont val="Arial"/>
        <family val="2"/>
      </rPr>
      <t xml:space="preserve">] [WW] </t>
    </r>
    <r>
      <rPr>
        <sz val="10"/>
        <rFont val="細明體"/>
        <family val="3"/>
        <charset val="136"/>
      </rPr>
      <t>最多可持续移动</t>
    </r>
    <r>
      <rPr>
        <sz val="10"/>
        <rFont val="Arial"/>
        <family val="2"/>
      </rPr>
      <t>50</t>
    </r>
    <r>
      <rPr>
        <sz val="10"/>
        <rFont val="細明體"/>
        <family val="3"/>
        <charset val="136"/>
      </rPr>
      <t>转</t>
    </r>
    <phoneticPr fontId="24" type="noConversion"/>
  </si>
  <si>
    <t>The reel background color of each symbol doesn't affect its wins.</t>
    <phoneticPr fontId="24" type="noConversion"/>
  </si>
  <si>
    <t>所有標誌派彩不受轉輪底圖色彩影響。</t>
    <phoneticPr fontId="24" type="noConversion"/>
  </si>
  <si>
    <t>所有标志派彩不受转轮底图色彩影响。</t>
    <phoneticPr fontId="24" type="noConversion"/>
  </si>
  <si>
    <t>Any 3 or more [C1] initiates the free spin bonus.
5 [C1] wins 100 credits times the total bet and 25 free spins.
4 [C1] wins 10 credits times the total bet and 15 free spins.
3 [C1] wins 2 credits times the total bet and 10 free spins.
[M1] Only appears on reel 1 during free spin bonus, Any [M1] appearing on reel 1 will turn into [WW], And all [WW] symbols appearing during free spin bonus will shift to the right with each spin. When any [WW] shifted out of reel 5 will be returned to reel 1.
Additional 5 free spins may be awarded with 3 [C1] during the free spin bonus to a maximum of 50 free spins.</t>
    <phoneticPr fontId="24" type="noConversion"/>
  </si>
  <si>
    <r>
      <t xml:space="preserve">Any 3 or more [C1] initiates the free spin bonus.
5 [C1] wins 100 credits times the total bet and 25 free spins.
4 [C1] wins 10 credits times the total bet and 15 free spins.
3 [C1] wins 2 credits times the total bet and 10 free spins.
</t>
    </r>
    <r>
      <rPr>
        <sz val="10"/>
        <color rgb="FFFF0000"/>
        <rFont val="Arial"/>
        <family val="2"/>
      </rPr>
      <t xml:space="preserve">[M1] Only appears on reel 1. </t>
    </r>
    <r>
      <rPr>
        <sz val="10"/>
        <rFont val="Arial"/>
        <family val="2"/>
      </rPr>
      <t>Any [M1] appearing on reel 1 will turn into [WW], And all [WW] symbols appearing during free spin bonus will shift to the right with each spin. When any [WW] shifted out of reel 5 will be returned to reel 1.
Additional 5 free spins may be awarded with 3 [C1] during the free spin bonus to a maximum of 50 free spins.</t>
    </r>
    <phoneticPr fontId="24" type="noConversion"/>
  </si>
  <si>
    <r>
      <t>3</t>
    </r>
    <r>
      <rPr>
        <sz val="10"/>
        <rFont val="細明體"/>
        <family val="3"/>
        <charset val="136"/>
      </rPr>
      <t>個以上</t>
    </r>
    <r>
      <rPr>
        <sz val="10"/>
        <rFont val="Arial"/>
        <family val="2"/>
      </rPr>
      <t>[C1]</t>
    </r>
    <r>
      <rPr>
        <sz val="10"/>
        <rFont val="細明體"/>
        <family val="3"/>
        <charset val="136"/>
      </rPr>
      <t xml:space="preserve">出現，即可觸發免費遊戲獎賞。
</t>
    </r>
    <r>
      <rPr>
        <sz val="10"/>
        <rFont val="Arial"/>
        <family val="2"/>
      </rPr>
      <t xml:space="preserve">5 [C1] </t>
    </r>
    <r>
      <rPr>
        <sz val="10"/>
        <rFont val="細明體"/>
        <family val="3"/>
        <charset val="136"/>
      </rPr>
      <t>獲得</t>
    </r>
    <r>
      <rPr>
        <sz val="10"/>
        <rFont val="Arial"/>
        <family val="2"/>
      </rPr>
      <t>100</t>
    </r>
    <r>
      <rPr>
        <sz val="10"/>
        <rFont val="細明體"/>
        <family val="3"/>
        <charset val="136"/>
      </rPr>
      <t>乘上總押分以及</t>
    </r>
    <r>
      <rPr>
        <sz val="10"/>
        <rFont val="Arial"/>
        <family val="2"/>
      </rPr>
      <t>25</t>
    </r>
    <r>
      <rPr>
        <sz val="10"/>
        <rFont val="細明體"/>
        <family val="3"/>
        <charset val="136"/>
      </rPr>
      <t>次免費遊戲</t>
    </r>
    <r>
      <rPr>
        <sz val="10"/>
        <rFont val="Arial"/>
        <family val="2"/>
      </rPr>
      <t xml:space="preserve">
4 [C1] </t>
    </r>
    <r>
      <rPr>
        <sz val="10"/>
        <rFont val="細明體"/>
        <family val="3"/>
        <charset val="136"/>
      </rPr>
      <t>獲得</t>
    </r>
    <r>
      <rPr>
        <sz val="10"/>
        <rFont val="Arial"/>
        <family val="2"/>
      </rPr>
      <t>10</t>
    </r>
    <r>
      <rPr>
        <sz val="10"/>
        <rFont val="細明體"/>
        <family val="3"/>
        <charset val="136"/>
      </rPr>
      <t>乘上總押分以及</t>
    </r>
    <r>
      <rPr>
        <sz val="10"/>
        <rFont val="Arial"/>
        <family val="2"/>
      </rPr>
      <t>15</t>
    </r>
    <r>
      <rPr>
        <sz val="10"/>
        <rFont val="細明體"/>
        <family val="3"/>
        <charset val="136"/>
      </rPr>
      <t>次免費遊戲</t>
    </r>
    <r>
      <rPr>
        <sz val="10"/>
        <rFont val="Arial"/>
        <family val="2"/>
      </rPr>
      <t xml:space="preserve">
3 [C1] </t>
    </r>
    <r>
      <rPr>
        <sz val="10"/>
        <rFont val="細明體"/>
        <family val="3"/>
        <charset val="136"/>
      </rPr>
      <t>獲得</t>
    </r>
    <r>
      <rPr>
        <sz val="10"/>
        <rFont val="Arial"/>
        <family val="2"/>
      </rPr>
      <t>2</t>
    </r>
    <r>
      <rPr>
        <sz val="10"/>
        <rFont val="細明體"/>
        <family val="3"/>
        <charset val="136"/>
      </rPr>
      <t>乘上總押分以及</t>
    </r>
    <r>
      <rPr>
        <sz val="10"/>
        <rFont val="Arial"/>
        <family val="2"/>
      </rPr>
      <t>10</t>
    </r>
    <r>
      <rPr>
        <sz val="10"/>
        <rFont val="細明體"/>
        <family val="3"/>
        <charset val="136"/>
      </rPr>
      <t xml:space="preserve">次免費遊戲
</t>
    </r>
    <r>
      <rPr>
        <sz val="10"/>
        <color rgb="FFFF0000"/>
        <rFont val="Arial"/>
        <family val="2"/>
      </rPr>
      <t>[M1]</t>
    </r>
    <r>
      <rPr>
        <sz val="10"/>
        <color rgb="FFFF0000"/>
        <rFont val="細明體"/>
        <family val="3"/>
        <charset val="136"/>
      </rPr>
      <t>只會出現在第</t>
    </r>
    <r>
      <rPr>
        <sz val="10"/>
        <color rgb="FFFF0000"/>
        <rFont val="Arial"/>
        <family val="2"/>
      </rPr>
      <t>1</t>
    </r>
    <r>
      <rPr>
        <sz val="10"/>
        <color rgb="FFFF0000"/>
        <rFont val="細明體"/>
        <family val="3"/>
        <charset val="136"/>
      </rPr>
      <t>轉輪</t>
    </r>
    <r>
      <rPr>
        <sz val="10"/>
        <rFont val="細明體"/>
        <family val="3"/>
        <charset val="136"/>
      </rPr>
      <t>。出現在第1轉輪的[M1]皆會轉換為[WW]，且每個[WW]皆會隨著每個場次向右移動，向右移出第5轉輪外的[WW]則會返回第1轉輪。
在免費遊戲獎賞中，</t>
    </r>
    <r>
      <rPr>
        <sz val="10"/>
        <rFont val="Arial"/>
        <family val="2"/>
      </rPr>
      <t>3</t>
    </r>
    <r>
      <rPr>
        <sz val="10"/>
        <rFont val="細明體"/>
        <family val="3"/>
        <charset val="136"/>
      </rPr>
      <t>個</t>
    </r>
    <r>
      <rPr>
        <sz val="10"/>
        <rFont val="Arial"/>
        <family val="2"/>
      </rPr>
      <t>[C1]</t>
    </r>
    <r>
      <rPr>
        <sz val="10"/>
        <rFont val="細明體"/>
        <family val="3"/>
        <charset val="136"/>
      </rPr>
      <t>出現時可再獲得額外</t>
    </r>
    <r>
      <rPr>
        <sz val="10"/>
        <rFont val="Arial"/>
        <family val="2"/>
      </rPr>
      <t>5</t>
    </r>
    <r>
      <rPr>
        <sz val="10"/>
        <rFont val="細明體"/>
        <family val="3"/>
        <charset val="136"/>
      </rPr>
      <t>次的免費遊戲，最多可達</t>
    </r>
    <r>
      <rPr>
        <sz val="10"/>
        <rFont val="Arial"/>
        <family val="2"/>
      </rPr>
      <t>50</t>
    </r>
    <r>
      <rPr>
        <sz val="10"/>
        <rFont val="細明體"/>
        <family val="3"/>
        <charset val="136"/>
      </rPr>
      <t>次。</t>
    </r>
    <phoneticPr fontId="24" type="noConversion"/>
  </si>
  <si>
    <r>
      <t>3</t>
    </r>
    <r>
      <rPr>
        <sz val="10"/>
        <rFont val="細明體"/>
        <family val="3"/>
        <charset val="136"/>
      </rPr>
      <t>个以上</t>
    </r>
    <r>
      <rPr>
        <sz val="10"/>
        <rFont val="Arial"/>
        <family val="2"/>
      </rPr>
      <t>[C1]</t>
    </r>
    <r>
      <rPr>
        <sz val="10"/>
        <rFont val="細明體"/>
        <family val="3"/>
        <charset val="136"/>
      </rPr>
      <t xml:space="preserve">出现，即可触发免费游戏奖赏。
</t>
    </r>
    <r>
      <rPr>
        <sz val="10"/>
        <rFont val="Arial"/>
        <family val="2"/>
      </rPr>
      <t xml:space="preserve">5 [C1] </t>
    </r>
    <r>
      <rPr>
        <sz val="10"/>
        <rFont val="細明體"/>
        <family val="3"/>
        <charset val="136"/>
      </rPr>
      <t>获得</t>
    </r>
    <r>
      <rPr>
        <sz val="10"/>
        <rFont val="Arial"/>
        <family val="2"/>
      </rPr>
      <t>100</t>
    </r>
    <r>
      <rPr>
        <sz val="10"/>
        <rFont val="細明體"/>
        <family val="3"/>
        <charset val="136"/>
      </rPr>
      <t>乘上总投注以及</t>
    </r>
    <r>
      <rPr>
        <sz val="10"/>
        <rFont val="Arial"/>
        <family val="2"/>
      </rPr>
      <t>25</t>
    </r>
    <r>
      <rPr>
        <sz val="10"/>
        <rFont val="細明體"/>
        <family val="3"/>
        <charset val="136"/>
      </rPr>
      <t xml:space="preserve">次免费游戏
</t>
    </r>
    <r>
      <rPr>
        <sz val="10"/>
        <rFont val="Arial"/>
        <family val="2"/>
      </rPr>
      <t xml:space="preserve">4 [C1] </t>
    </r>
    <r>
      <rPr>
        <sz val="10"/>
        <rFont val="細明體"/>
        <family val="3"/>
        <charset val="136"/>
      </rPr>
      <t>获得</t>
    </r>
    <r>
      <rPr>
        <sz val="10"/>
        <rFont val="Arial"/>
        <family val="2"/>
      </rPr>
      <t>10</t>
    </r>
    <r>
      <rPr>
        <sz val="10"/>
        <rFont val="細明體"/>
        <family val="3"/>
        <charset val="136"/>
      </rPr>
      <t>乘上总投注以及</t>
    </r>
    <r>
      <rPr>
        <sz val="10"/>
        <rFont val="Arial"/>
        <family val="2"/>
      </rPr>
      <t>15</t>
    </r>
    <r>
      <rPr>
        <sz val="10"/>
        <rFont val="細明體"/>
        <family val="3"/>
        <charset val="136"/>
      </rPr>
      <t xml:space="preserve">次免费游戏
</t>
    </r>
    <r>
      <rPr>
        <sz val="10"/>
        <rFont val="Arial"/>
        <family val="2"/>
      </rPr>
      <t xml:space="preserve">3 [C1] </t>
    </r>
    <r>
      <rPr>
        <sz val="10"/>
        <rFont val="細明體"/>
        <family val="3"/>
        <charset val="136"/>
      </rPr>
      <t>获得</t>
    </r>
    <r>
      <rPr>
        <sz val="10"/>
        <rFont val="Arial"/>
        <family val="2"/>
      </rPr>
      <t>2</t>
    </r>
    <r>
      <rPr>
        <sz val="10"/>
        <rFont val="細明體"/>
        <family val="3"/>
        <charset val="136"/>
      </rPr>
      <t>乘上总投注以及</t>
    </r>
    <r>
      <rPr>
        <sz val="10"/>
        <rFont val="Arial"/>
        <family val="2"/>
      </rPr>
      <t>10</t>
    </r>
    <r>
      <rPr>
        <sz val="10"/>
        <rFont val="細明體"/>
        <family val="3"/>
        <charset val="136"/>
      </rPr>
      <t xml:space="preserve">次免费游戏
</t>
    </r>
    <r>
      <rPr>
        <sz val="10"/>
        <color rgb="FFFF0000"/>
        <rFont val="Arial"/>
        <family val="2"/>
      </rPr>
      <t>[M1]</t>
    </r>
    <r>
      <rPr>
        <sz val="10"/>
        <color rgb="FFFF0000"/>
        <rFont val="細明體"/>
        <family val="3"/>
        <charset val="136"/>
      </rPr>
      <t>只会出现在第</t>
    </r>
    <r>
      <rPr>
        <sz val="10"/>
        <color rgb="FFFF0000"/>
        <rFont val="Arial"/>
        <family val="2"/>
      </rPr>
      <t>1</t>
    </r>
    <r>
      <rPr>
        <sz val="10"/>
        <color rgb="FFFF0000"/>
        <rFont val="細明體"/>
        <family val="3"/>
        <charset val="136"/>
      </rPr>
      <t>转轮</t>
    </r>
    <r>
      <rPr>
        <sz val="10"/>
        <rFont val="細明體"/>
        <family val="3"/>
        <charset val="136"/>
      </rPr>
      <t>。出现在第</t>
    </r>
    <r>
      <rPr>
        <sz val="10"/>
        <rFont val="Arial"/>
        <family val="2"/>
      </rPr>
      <t>1</t>
    </r>
    <r>
      <rPr>
        <sz val="10"/>
        <rFont val="細明體"/>
        <family val="3"/>
        <charset val="136"/>
      </rPr>
      <t>转轮的</t>
    </r>
    <r>
      <rPr>
        <sz val="10"/>
        <rFont val="Arial"/>
        <family val="2"/>
      </rPr>
      <t>[M1]</t>
    </r>
    <r>
      <rPr>
        <sz val="10"/>
        <rFont val="細明體"/>
        <family val="3"/>
        <charset val="136"/>
      </rPr>
      <t>皆会转换为</t>
    </r>
    <r>
      <rPr>
        <sz val="10"/>
        <rFont val="Arial"/>
        <family val="2"/>
      </rPr>
      <t>[WW]</t>
    </r>
    <r>
      <rPr>
        <sz val="10"/>
        <rFont val="細明體"/>
        <family val="3"/>
        <charset val="136"/>
      </rPr>
      <t>，且每个</t>
    </r>
    <r>
      <rPr>
        <sz val="10"/>
        <rFont val="Arial"/>
        <family val="2"/>
      </rPr>
      <t>[WW]</t>
    </r>
    <r>
      <rPr>
        <sz val="10"/>
        <rFont val="細明體"/>
        <family val="3"/>
        <charset val="136"/>
      </rPr>
      <t>皆会随着每个场次向右移动，向右移出第</t>
    </r>
    <r>
      <rPr>
        <sz val="10"/>
        <rFont val="Arial"/>
        <family val="2"/>
      </rPr>
      <t>5</t>
    </r>
    <r>
      <rPr>
        <sz val="10"/>
        <rFont val="細明體"/>
        <family val="3"/>
        <charset val="136"/>
      </rPr>
      <t>转轮外的</t>
    </r>
    <r>
      <rPr>
        <sz val="10"/>
        <rFont val="Arial"/>
        <family val="2"/>
      </rPr>
      <t>[WW]</t>
    </r>
    <r>
      <rPr>
        <sz val="10"/>
        <rFont val="細明體"/>
        <family val="3"/>
        <charset val="136"/>
      </rPr>
      <t>则会返回第</t>
    </r>
    <r>
      <rPr>
        <sz val="10"/>
        <rFont val="Arial"/>
        <family val="2"/>
      </rPr>
      <t>1</t>
    </r>
    <r>
      <rPr>
        <sz val="10"/>
        <rFont val="細明體"/>
        <family val="3"/>
        <charset val="136"/>
      </rPr>
      <t>转轮。
在免费游戏奖赏中，</t>
    </r>
    <r>
      <rPr>
        <sz val="10"/>
        <rFont val="Arial"/>
        <family val="2"/>
      </rPr>
      <t>3</t>
    </r>
    <r>
      <rPr>
        <sz val="10"/>
        <rFont val="細明體"/>
        <family val="3"/>
        <charset val="136"/>
      </rPr>
      <t>个</t>
    </r>
    <r>
      <rPr>
        <sz val="10"/>
        <rFont val="Arial"/>
        <family val="2"/>
      </rPr>
      <t>[C1]</t>
    </r>
    <r>
      <rPr>
        <sz val="10"/>
        <rFont val="細明體"/>
        <family val="3"/>
        <charset val="136"/>
      </rPr>
      <t>出现时可再获得额外</t>
    </r>
    <r>
      <rPr>
        <sz val="10"/>
        <rFont val="Arial"/>
        <family val="2"/>
      </rPr>
      <t>5</t>
    </r>
    <r>
      <rPr>
        <sz val="10"/>
        <rFont val="細明體"/>
        <family val="3"/>
        <charset val="136"/>
      </rPr>
      <t>次的免费游戏，最多可达</t>
    </r>
    <r>
      <rPr>
        <sz val="10"/>
        <rFont val="Arial"/>
        <family val="2"/>
      </rPr>
      <t>50</t>
    </r>
    <r>
      <rPr>
        <sz val="10"/>
        <rFont val="細明體"/>
        <family val="3"/>
        <charset val="136"/>
      </rPr>
      <t xml:space="preserve">次。
</t>
    </r>
    <phoneticPr fontId="24" type="noConversion"/>
  </si>
  <si>
    <t>M4</t>
    <phoneticPr fontId="24" type="noConversion"/>
  </si>
  <si>
    <t>Q</t>
    <phoneticPr fontId="24" type="noConversion"/>
  </si>
  <si>
    <t>M1</t>
    <phoneticPr fontId="24" type="noConversion"/>
  </si>
  <si>
    <t>TE</t>
    <phoneticPr fontId="24" type="noConversion"/>
  </si>
  <si>
    <t>A</t>
    <phoneticPr fontId="24" type="noConversion"/>
  </si>
  <si>
    <t>K</t>
    <phoneticPr fontId="24" type="noConversion"/>
  </si>
  <si>
    <t>M3</t>
    <phoneticPr fontId="24" type="noConversion"/>
  </si>
  <si>
    <t>J</t>
    <phoneticPr fontId="24" type="noConversion"/>
  </si>
  <si>
    <t>M1</t>
    <phoneticPr fontId="24" type="noConversion"/>
  </si>
  <si>
    <t>K</t>
    <phoneticPr fontId="24" type="noConversion"/>
  </si>
  <si>
    <t>Q</t>
    <phoneticPr fontId="24" type="noConversion"/>
  </si>
  <si>
    <t>M4</t>
    <phoneticPr fontId="24" type="noConversion"/>
  </si>
  <si>
    <t>M4</t>
    <phoneticPr fontId="24" type="noConversion"/>
  </si>
  <si>
    <t>M1</t>
    <phoneticPr fontId="24" type="noConversion"/>
  </si>
  <si>
    <t>A</t>
    <phoneticPr fontId="24" type="noConversion"/>
  </si>
  <si>
    <t>M3</t>
    <phoneticPr fontId="24" type="noConversion"/>
  </si>
  <si>
    <t>M5</t>
    <phoneticPr fontId="24" type="noConversion"/>
  </si>
  <si>
    <t>M2</t>
    <phoneticPr fontId="24" type="noConversion"/>
  </si>
  <si>
    <t>J</t>
    <phoneticPr fontId="24" type="noConversion"/>
  </si>
  <si>
    <t>K</t>
    <phoneticPr fontId="24" type="noConversion"/>
  </si>
  <si>
    <t>A</t>
    <phoneticPr fontId="24" type="noConversion"/>
  </si>
  <si>
    <t>M1</t>
    <phoneticPr fontId="24" type="noConversion"/>
  </si>
  <si>
    <t>M5</t>
    <phoneticPr fontId="24" type="noConversion"/>
  </si>
  <si>
    <t>TE</t>
    <phoneticPr fontId="24" type="noConversion"/>
  </si>
  <si>
    <t>TE</t>
    <phoneticPr fontId="24" type="noConversion"/>
  </si>
  <si>
    <t>M3</t>
    <phoneticPr fontId="24" type="noConversion"/>
  </si>
  <si>
    <t>C1</t>
    <phoneticPr fontId="24" type="noConversion"/>
  </si>
  <si>
    <t>M3</t>
    <phoneticPr fontId="24" type="noConversion"/>
  </si>
  <si>
    <t>Q</t>
    <phoneticPr fontId="24" type="noConversion"/>
  </si>
  <si>
    <t>J</t>
    <phoneticPr fontId="24" type="noConversion"/>
  </si>
  <si>
    <t>A</t>
    <phoneticPr fontId="24" type="noConversion"/>
  </si>
  <si>
    <t>Bonus</t>
  </si>
  <si>
    <t/>
  </si>
  <si>
    <t>Symbol</t>
    <phoneticPr fontId="25" type="noConversion"/>
  </si>
  <si>
    <t>Symbol Name</t>
    <phoneticPr fontId="25" type="noConversion"/>
  </si>
  <si>
    <t>R1</t>
    <phoneticPr fontId="25" type="noConversion"/>
  </si>
  <si>
    <t>R2</t>
    <phoneticPr fontId="25" type="noConversion"/>
  </si>
  <si>
    <t>R3</t>
    <phoneticPr fontId="25" type="noConversion"/>
  </si>
  <si>
    <t>R4</t>
    <phoneticPr fontId="25" type="noConversion"/>
  </si>
  <si>
    <t>R5</t>
    <phoneticPr fontId="25" type="noConversion"/>
  </si>
  <si>
    <t>ID</t>
    <phoneticPr fontId="25" type="noConversion"/>
  </si>
  <si>
    <t>C1</t>
    <phoneticPr fontId="25" type="noConversion"/>
  </si>
  <si>
    <t>Scatter</t>
    <phoneticPr fontId="25" type="noConversion"/>
  </si>
  <si>
    <t>M1</t>
    <phoneticPr fontId="25" type="noConversion"/>
  </si>
  <si>
    <t>M2</t>
    <phoneticPr fontId="25" type="noConversion"/>
  </si>
  <si>
    <t>M3</t>
    <phoneticPr fontId="25" type="noConversion"/>
  </si>
  <si>
    <t>M4</t>
    <phoneticPr fontId="25" type="noConversion"/>
  </si>
  <si>
    <t>M5</t>
    <phoneticPr fontId="24" type="noConversion"/>
  </si>
  <si>
    <t>A</t>
    <phoneticPr fontId="25" type="noConversion"/>
  </si>
  <si>
    <t>K</t>
    <phoneticPr fontId="25" type="noConversion"/>
  </si>
  <si>
    <t>Q</t>
    <phoneticPr fontId="25" type="noConversion"/>
  </si>
  <si>
    <t>J</t>
    <phoneticPr fontId="25" type="noConversion"/>
  </si>
  <si>
    <t>TE</t>
    <phoneticPr fontId="25" type="noConversion"/>
  </si>
  <si>
    <t>Total</t>
    <phoneticPr fontId="25" type="noConversion"/>
  </si>
  <si>
    <t>Special Include Symbols</t>
  </si>
  <si>
    <t>Is Any Of These</t>
  </si>
  <si>
    <t>C1,M1,M2,M3,M4,M5,A,K,Q,J,TE</t>
    <phoneticPr fontId="25" type="noConversion"/>
  </si>
  <si>
    <t>S1</t>
    <phoneticPr fontId="25" type="noConversion"/>
  </si>
  <si>
    <t>C1 scatter</t>
    <phoneticPr fontId="25" type="noConversion"/>
  </si>
  <si>
    <t>W5</t>
    <phoneticPr fontId="24" type="noConversion"/>
  </si>
  <si>
    <t>WA</t>
    <phoneticPr fontId="25" type="noConversion"/>
  </si>
  <si>
    <t>WK</t>
    <phoneticPr fontId="25" type="noConversion"/>
  </si>
  <si>
    <t>WQ</t>
    <phoneticPr fontId="25" type="noConversion"/>
  </si>
  <si>
    <t>WJ</t>
    <phoneticPr fontId="25" type="noConversion"/>
  </si>
  <si>
    <t>WT</t>
    <phoneticPr fontId="25" type="noConversion"/>
  </si>
  <si>
    <t xml:space="preserve"> Pay Combo </t>
  </si>
  <si>
    <t>R1</t>
    <phoneticPr fontId="25" type="noConversion"/>
  </si>
  <si>
    <t>R2</t>
    <phoneticPr fontId="25" type="noConversion"/>
  </si>
  <si>
    <t>R3</t>
    <phoneticPr fontId="25" type="noConversion"/>
  </si>
  <si>
    <t>R4</t>
    <phoneticPr fontId="25" type="noConversion"/>
  </si>
  <si>
    <t>R5</t>
    <phoneticPr fontId="25" type="noConversion"/>
  </si>
  <si>
    <t>Hits</t>
    <phoneticPr fontId="25" type="noConversion"/>
  </si>
  <si>
    <t xml:space="preserve">Pulls/Hit </t>
    <phoneticPr fontId="25" type="noConversion"/>
  </si>
  <si>
    <t xml:space="preserve">Pays </t>
    <phoneticPr fontId="25" type="noConversion"/>
  </si>
  <si>
    <t>Contribution %</t>
    <phoneticPr fontId="25" type="noConversion"/>
  </si>
  <si>
    <t>Hit%</t>
    <phoneticPr fontId="25" type="noConversion"/>
  </si>
  <si>
    <t>W1 W1 W1 W1 W1</t>
  </si>
  <si>
    <t>W2 W2 W2 W2 W2</t>
  </si>
  <si>
    <t>W3 W3 W3 W3 W3</t>
  </si>
  <si>
    <t>W4 W4 W4 W4 W4</t>
  </si>
  <si>
    <t>W5 W5 W5 W5 W5</t>
    <phoneticPr fontId="24" type="noConversion"/>
  </si>
  <si>
    <t>WA WA WA WA WA</t>
  </si>
  <si>
    <t>WK WK WK WK WK</t>
  </si>
  <si>
    <t>WQ WQ WQ WQ WQ</t>
  </si>
  <si>
    <t>WJ WJ WJ WJ WJ</t>
  </si>
  <si>
    <t>WT WT WT WT WT</t>
  </si>
  <si>
    <t>W1 W1 W1 W1 --</t>
  </si>
  <si>
    <t>W2 W2 W2 W2 --</t>
  </si>
  <si>
    <t>W3 W3 W3 W3 --</t>
  </si>
  <si>
    <t>W4 W4 W4 W4 --</t>
  </si>
  <si>
    <t>W5 W5 W5 W5 --</t>
    <phoneticPr fontId="24" type="noConversion"/>
  </si>
  <si>
    <t>WA WA WA WA --</t>
  </si>
  <si>
    <t>WK WK WK WK --</t>
  </si>
  <si>
    <t>WQ WQ WQ WQ --</t>
    <phoneticPr fontId="24" type="noConversion"/>
  </si>
  <si>
    <t>WJ WJ WJ WJ --</t>
  </si>
  <si>
    <t>WT WT WT WT --</t>
  </si>
  <si>
    <t>W1 W1 W1 -- --</t>
  </si>
  <si>
    <t>W2 W2 W2 -- --</t>
  </si>
  <si>
    <t>W3 W3 W3 -- --</t>
  </si>
  <si>
    <t>W4 W4 W4 -- --</t>
  </si>
  <si>
    <t>W5 W5 W5 -- --</t>
    <phoneticPr fontId="24" type="noConversion"/>
  </si>
  <si>
    <t>WA WA WA -- --</t>
  </si>
  <si>
    <t>WK WK WK -- --</t>
  </si>
  <si>
    <t>WQ WQ WQ -- --</t>
  </si>
  <si>
    <t>WJ WJ WJ -- --</t>
  </si>
  <si>
    <t>WT WT WT -- --</t>
  </si>
  <si>
    <t>W1 W1 -- -- --</t>
    <phoneticPr fontId="24" type="noConversion"/>
  </si>
  <si>
    <t>W2 W2 -- -- --</t>
    <phoneticPr fontId="24" type="noConversion"/>
  </si>
  <si>
    <t>W3 W3 -- -- --</t>
    <phoneticPr fontId="24" type="noConversion"/>
  </si>
  <si>
    <t>W4 W4 -- -- --</t>
    <phoneticPr fontId="24" type="noConversion"/>
  </si>
  <si>
    <t>W5 W5 -- -- --</t>
    <phoneticPr fontId="24" type="noConversion"/>
  </si>
  <si>
    <t>-- S1 S1 S1 --</t>
    <phoneticPr fontId="25" type="noConversion"/>
  </si>
  <si>
    <t xml:space="preserve"> Total Combos</t>
    <phoneticPr fontId="25" type="noConversion"/>
  </si>
  <si>
    <t xml:space="preserve"> Total </t>
    <phoneticPr fontId="24" type="noConversion"/>
  </si>
  <si>
    <t>-- -- -- -- --</t>
    <phoneticPr fontId="25" type="noConversion"/>
  </si>
  <si>
    <t>WW -- -- -- --</t>
    <phoneticPr fontId="25" type="noConversion"/>
  </si>
  <si>
    <t>M1,M2</t>
    <phoneticPr fontId="24" type="noConversion"/>
  </si>
  <si>
    <t>M1</t>
    <phoneticPr fontId="24" type="noConversion"/>
  </si>
  <si>
    <t>M1,M3</t>
    <phoneticPr fontId="24" type="noConversion"/>
  </si>
  <si>
    <t>M1,M4</t>
    <phoneticPr fontId="24" type="noConversion"/>
  </si>
  <si>
    <t>M1,M5</t>
    <phoneticPr fontId="24" type="noConversion"/>
  </si>
  <si>
    <t>M1,A</t>
    <phoneticPr fontId="24" type="noConversion"/>
  </si>
  <si>
    <t>M1,K</t>
    <phoneticPr fontId="24" type="noConversion"/>
  </si>
  <si>
    <t>M1,Q</t>
    <phoneticPr fontId="24" type="noConversion"/>
  </si>
  <si>
    <t>M1,J</t>
    <phoneticPr fontId="24" type="noConversion"/>
  </si>
  <si>
    <t>M1,TE</t>
    <phoneticPr fontId="24" type="noConversion"/>
  </si>
  <si>
    <t>-- WW -- -- --</t>
    <phoneticPr fontId="25" type="noConversion"/>
  </si>
  <si>
    <t>-- -- WW -- --</t>
    <phoneticPr fontId="25" type="noConversion"/>
  </si>
  <si>
    <t>-- -- -- WW --</t>
    <phoneticPr fontId="25" type="noConversion"/>
  </si>
  <si>
    <t>-- -- -- -- WW</t>
    <phoneticPr fontId="25" type="noConversion"/>
  </si>
  <si>
    <t>WW WW -- -- --</t>
    <phoneticPr fontId="25" type="noConversion"/>
  </si>
  <si>
    <t>WW -- WW -- --</t>
    <phoneticPr fontId="25" type="noConversion"/>
  </si>
  <si>
    <t>WW -- -- WW --</t>
    <phoneticPr fontId="25" type="noConversion"/>
  </si>
  <si>
    <t>WW -- -- -- WW</t>
    <phoneticPr fontId="25" type="noConversion"/>
  </si>
  <si>
    <t>-- WW WW -- --</t>
    <phoneticPr fontId="25" type="noConversion"/>
  </si>
  <si>
    <t>-- WW -- WW --</t>
    <phoneticPr fontId="25" type="noConversion"/>
  </si>
  <si>
    <t>-- WW -- -- WW</t>
    <phoneticPr fontId="25" type="noConversion"/>
  </si>
  <si>
    <t>-- -- WW WW --</t>
    <phoneticPr fontId="25" type="noConversion"/>
  </si>
  <si>
    <t>-- -- WW -- WW</t>
    <phoneticPr fontId="25" type="noConversion"/>
  </si>
  <si>
    <t>-- -- -- WW WW</t>
    <phoneticPr fontId="25" type="noConversion"/>
  </si>
  <si>
    <t>WW WW WW -- --</t>
    <phoneticPr fontId="25" type="noConversion"/>
  </si>
  <si>
    <t>WW WW -- WW --</t>
    <phoneticPr fontId="25" type="noConversion"/>
  </si>
  <si>
    <t>WW -- WW WW --</t>
    <phoneticPr fontId="25" type="noConversion"/>
  </si>
  <si>
    <t>-- WW WW WW --</t>
    <phoneticPr fontId="25" type="noConversion"/>
  </si>
  <si>
    <t>WW WW -- -- WW</t>
    <phoneticPr fontId="25" type="noConversion"/>
  </si>
  <si>
    <t>WW -- WW -- WW</t>
    <phoneticPr fontId="25" type="noConversion"/>
  </si>
  <si>
    <t>-- WW WW -- WW</t>
    <phoneticPr fontId="25" type="noConversion"/>
  </si>
  <si>
    <t>WW -- -- WW WW</t>
    <phoneticPr fontId="25" type="noConversion"/>
  </si>
  <si>
    <t>-- WW -- WW WW</t>
    <phoneticPr fontId="25" type="noConversion"/>
  </si>
  <si>
    <t>-- -- WW WW WW</t>
    <phoneticPr fontId="25" type="noConversion"/>
  </si>
  <si>
    <t>WW WW WW WW --</t>
    <phoneticPr fontId="25" type="noConversion"/>
  </si>
  <si>
    <t>WW WW WW -- WW</t>
    <phoneticPr fontId="25" type="noConversion"/>
  </si>
  <si>
    <t>WW WW WW WW WW</t>
    <phoneticPr fontId="25" type="noConversion"/>
  </si>
  <si>
    <t>-- WW WW WW WW</t>
    <phoneticPr fontId="25" type="noConversion"/>
  </si>
  <si>
    <t>WW WW -- WW WW</t>
    <phoneticPr fontId="25" type="noConversion"/>
  </si>
  <si>
    <t>WW -- WW WW WW</t>
    <phoneticPr fontId="25" type="noConversion"/>
  </si>
  <si>
    <t>WJ WJ WJ -- --</t>
    <phoneticPr fontId="24" type="noConversion"/>
  </si>
  <si>
    <t>After\Before</t>
    <phoneticPr fontId="25" type="noConversion"/>
  </si>
  <si>
    <t>-- -- -- -- --</t>
  </si>
  <si>
    <t>WW -- -- -- --</t>
  </si>
  <si>
    <t>-- WW -- -- --</t>
  </si>
  <si>
    <t>-- -- WW -- --</t>
  </si>
  <si>
    <t>-- -- -- WW --</t>
  </si>
  <si>
    <t>-- -- -- -- WW</t>
  </si>
  <si>
    <t>WW WW -- -- --</t>
  </si>
  <si>
    <t>WW -- WW -- --</t>
  </si>
  <si>
    <t>WW -- -- WW --</t>
  </si>
  <si>
    <t>WW -- -- -- WW</t>
  </si>
  <si>
    <t>-- WW WW -- --</t>
  </si>
  <si>
    <t>-- WW -- WW --</t>
  </si>
  <si>
    <t>-- WW -- -- WW</t>
  </si>
  <si>
    <t>-- -- WW WW --</t>
  </si>
  <si>
    <t>-- -- WW -- WW</t>
  </si>
  <si>
    <t>-- -- -- WW WW</t>
  </si>
  <si>
    <t>WW WW WW -- --</t>
  </si>
  <si>
    <t>WW WW -- WW --</t>
  </si>
  <si>
    <t>WW -- WW WW --</t>
  </si>
  <si>
    <t>-- WW WW WW --</t>
  </si>
  <si>
    <t>WW WW -- -- WW</t>
  </si>
  <si>
    <t>WW -- WW -- WW</t>
  </si>
  <si>
    <t>-- WW WW -- WW</t>
  </si>
  <si>
    <t>WW -- -- WW WW</t>
  </si>
  <si>
    <t>-- WW -- WW WW</t>
  </si>
  <si>
    <t>-- -- WW WW WW</t>
  </si>
  <si>
    <t>WW WW WW WW --</t>
  </si>
  <si>
    <t>WW WW WW -- WW</t>
  </si>
  <si>
    <t>WW WW -- WW WW</t>
  </si>
  <si>
    <t>WW -- WW WW WW</t>
  </si>
  <si>
    <t>-- WW WW WW WW</t>
  </si>
  <si>
    <t>WW WW WW WW WW</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</si>
</sst>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3" formatCode="_-* #,##0.00_-;\-* #,##0.00_-;_-* &quot;-&quot;??_-;_-@_-"/>
    <numFmt numFmtId="176" formatCode="0.00_ "/>
    <numFmt numFmtId="177" formatCode="0.000%"/>
    <numFmt numFmtId="178" formatCode="0_ "/>
    <numFmt numFmtId="179" formatCode="0.0000%"/>
    <numFmt numFmtId="180" formatCode="0_);[Red]\(0\)"/>
    <numFmt numFmtId="181" formatCode="0.00000%"/>
    <numFmt numFmtId="183" formatCode="0.000000%"/>
    <numFmt numFmtId="186" formatCode="0.00000000%"/>
    <numFmt numFmtId="187" formatCode="0.000000000%"/>
    <numFmt numFmtId="188" formatCode="0.0000000000%"/>
    <numFmt numFmtId="191" formatCode="0.0000000000000%"/>
    <numFmt numFmtId="192" formatCode="0.0000_ "/>
    <numFmt numFmtId="193" formatCode="0.0000000_ "/>
    <numFmt numFmtId="194" formatCode="0.00000000_ "/>
    <numFmt numFmtId="195" formatCode="0.00000000000000_ "/>
    <numFmt numFmtId="196" formatCode="0.000000000000000_ "/>
  </numFmts>
  <fonts count="49" x14ac:knownFonts="1">
    <font>
      <sz val="12"/>
      <color theme="1"/>
      <name val="新細明體"/>
      <family val="2"/>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scheme val="minor"/>
    </font>
    <font>
      <b/>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12"/>
      <name val="新細明體"/>
      <family val="1"/>
      <charset val="136"/>
    </font>
    <font>
      <sz val="12"/>
      <name val="Courier New"/>
      <family val="3"/>
    </font>
    <font>
      <sz val="9"/>
      <name val="新細明體"/>
      <family val="3"/>
      <charset val="136"/>
      <scheme val="minor"/>
    </font>
    <font>
      <sz val="9"/>
      <name val="新細明體"/>
      <family val="1"/>
      <charset val="136"/>
    </font>
    <font>
      <b/>
      <sz val="12"/>
      <name val="Courier New"/>
      <family val="3"/>
    </font>
    <font>
      <b/>
      <sz val="12"/>
      <name val="細明體"/>
      <family val="3"/>
      <charset val="136"/>
    </font>
    <font>
      <sz val="10"/>
      <name val="Courier New"/>
      <family val="3"/>
    </font>
    <font>
      <sz val="12"/>
      <name val="細明體"/>
      <family val="3"/>
      <charset val="136"/>
    </font>
    <font>
      <b/>
      <sz val="10"/>
      <name val="Courier New"/>
      <family val="3"/>
    </font>
    <font>
      <b/>
      <sz val="10"/>
      <name val="Arial"/>
      <family val="2"/>
    </font>
    <font>
      <b/>
      <sz val="10"/>
      <name val="新細明體"/>
      <family val="1"/>
      <charset val="136"/>
    </font>
    <font>
      <sz val="10"/>
      <name val="Arial"/>
      <family val="2"/>
    </font>
    <font>
      <sz val="10"/>
      <name val="細明體"/>
      <family val="3"/>
      <charset val="136"/>
    </font>
    <font>
      <sz val="10"/>
      <color rgb="FFFF0000"/>
      <name val="Arial"/>
      <family val="2"/>
    </font>
    <font>
      <sz val="10"/>
      <color rgb="FFFF0000"/>
      <name val="細明體"/>
      <family val="3"/>
      <charset val="136"/>
    </font>
    <font>
      <sz val="10"/>
      <name val="新細明體"/>
      <family val="1"/>
      <charset val="136"/>
    </font>
    <font>
      <sz val="9"/>
      <name val="細明體"/>
      <family val="3"/>
      <charset val="136"/>
    </font>
    <font>
      <sz val="12"/>
      <name val="Arial"/>
      <family val="2"/>
    </font>
    <font>
      <b/>
      <sz val="10"/>
      <name val="細明體"/>
      <family val="3"/>
      <charset val="136"/>
    </font>
    <font>
      <sz val="10"/>
      <name val="Microsoft YaHei"/>
      <family val="2"/>
      <charset val="134"/>
    </font>
    <font>
      <sz val="12"/>
      <color theme="1"/>
      <name val="Courier New"/>
      <family val="3"/>
    </font>
    <font>
      <b/>
      <sz val="12"/>
      <color theme="1"/>
      <name val="Courier New"/>
      <family val="3"/>
    </font>
    <font>
      <sz val="12"/>
      <name val="新細明體"/>
      <family val="2"/>
      <scheme val="minor"/>
    </font>
    <font>
      <sz val="10"/>
      <name val="新細明體"/>
      <family val="1"/>
      <charset val="136"/>
      <scheme val="minor"/>
    </font>
    <font>
      <sz val="10"/>
      <name val="新細明體"/>
      <family val="2"/>
      <scheme val="minor"/>
    </font>
    <font>
      <sz val="12"/>
      <color rgb="FFFF0000"/>
      <name val="新細明體"/>
      <family val="2"/>
      <scheme val="minor"/>
    </font>
    <font>
      <sz val="12"/>
      <color rgb="FFFF0000"/>
      <name val="Courier New"/>
      <family val="3"/>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4"/>
        <bgColor indexed="64"/>
      </patternFill>
    </fill>
    <fill>
      <patternFill patternType="solid">
        <fgColor theme="0" tint="-0.34998626667073579"/>
        <bgColor indexed="64"/>
      </patternFill>
    </fill>
    <fill>
      <patternFill patternType="solid">
        <fgColor indexed="47"/>
        <bgColor indexed="64"/>
      </patternFill>
    </fill>
  </fills>
  <borders count="5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bottom style="medium">
        <color indexed="64"/>
      </bottom>
      <diagonal/>
    </border>
    <border>
      <left style="medium">
        <color indexed="64"/>
      </left>
      <right style="medium">
        <color indexed="8"/>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8"/>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s>
  <cellStyleXfs count="306">
    <xf numFmtId="0" fontId="0" fillId="0" borderId="0"/>
    <xf numFmtId="0" fontId="6" fillId="0" borderId="0" applyNumberFormat="0" applyFill="0" applyBorder="0" applyAlignment="0" applyProtection="0">
      <alignment vertical="center"/>
    </xf>
    <xf numFmtId="0" fontId="7" fillId="0" borderId="1"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2" borderId="0" applyNumberFormat="0" applyBorder="0" applyAlignment="0" applyProtection="0">
      <alignment vertical="center"/>
    </xf>
    <xf numFmtId="0" fontId="11" fillId="3" borderId="0" applyNumberFormat="0" applyBorder="0" applyAlignment="0" applyProtection="0">
      <alignment vertical="center"/>
    </xf>
    <xf numFmtId="0" fontId="12" fillId="4" borderId="0" applyNumberFormat="0" applyBorder="0" applyAlignment="0" applyProtection="0">
      <alignment vertical="center"/>
    </xf>
    <xf numFmtId="0" fontId="13" fillId="5" borderId="4" applyNumberFormat="0" applyAlignment="0" applyProtection="0">
      <alignment vertical="center"/>
    </xf>
    <xf numFmtId="0" fontId="14" fillId="6" borderId="5" applyNumberFormat="0" applyAlignment="0" applyProtection="0">
      <alignment vertical="center"/>
    </xf>
    <xf numFmtId="0" fontId="15" fillId="6" borderId="4" applyNumberFormat="0" applyAlignment="0" applyProtection="0">
      <alignment vertical="center"/>
    </xf>
    <xf numFmtId="0" fontId="16" fillId="0" borderId="6" applyNumberFormat="0" applyFill="0" applyAlignment="0" applyProtection="0">
      <alignment vertical="center"/>
    </xf>
    <xf numFmtId="0" fontId="17" fillId="7" borderId="7" applyNumberForma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9" applyNumberFormat="0" applyFill="0" applyAlignment="0" applyProtection="0">
      <alignment vertical="center"/>
    </xf>
    <xf numFmtId="0" fontId="21"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21" fillId="32" borderId="0" applyNumberFormat="0" applyBorder="0" applyAlignment="0" applyProtection="0">
      <alignment vertical="center"/>
    </xf>
    <xf numFmtId="0" fontId="22" fillId="0" borderId="0">
      <alignment vertical="center"/>
    </xf>
    <xf numFmtId="9" fontId="22" fillId="0" borderId="0" applyFont="0" applyFill="0" applyBorder="0" applyAlignment="0" applyProtection="0">
      <alignment vertical="center"/>
    </xf>
    <xf numFmtId="0" fontId="4" fillId="0" borderId="0">
      <alignment vertical="center"/>
    </xf>
    <xf numFmtId="43" fontId="22" fillId="0" borderId="0" applyFont="0" applyFill="0" applyBorder="0" applyAlignment="0" applyProtection="0">
      <alignment vertical="center"/>
    </xf>
    <xf numFmtId="0" fontId="5" fillId="0" borderId="0"/>
    <xf numFmtId="9" fontId="5" fillId="0" borderId="0" applyFont="0" applyFill="0" applyBorder="0" applyAlignment="0" applyProtection="0">
      <alignment vertical="center"/>
    </xf>
    <xf numFmtId="0" fontId="4" fillId="0" borderId="0">
      <alignment vertical="center"/>
    </xf>
    <xf numFmtId="0" fontId="4" fillId="8" borderId="8" applyNumberFormat="0" applyFont="0" applyAlignment="0" applyProtection="0">
      <alignment vertical="center"/>
    </xf>
    <xf numFmtId="0" fontId="3" fillId="0" borderId="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8" applyNumberFormat="0" applyFont="0" applyAlignment="0" applyProtection="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8" applyNumberFormat="0" applyFont="0" applyAlignment="0" applyProtection="0">
      <alignment vertical="center"/>
    </xf>
    <xf numFmtId="0" fontId="22"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8" applyNumberFormat="0" applyFont="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8" applyNumberFormat="0" applyFont="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8" applyNumberFormat="0" applyFont="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8" applyNumberFormat="0" applyFont="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8" applyNumberFormat="0" applyFont="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8" applyNumberFormat="0" applyFont="0" applyAlignment="0" applyProtection="0">
      <alignment vertical="center"/>
    </xf>
    <xf numFmtId="9" fontId="5" fillId="0" borderId="0" applyFont="0" applyFill="0" applyBorder="0" applyAlignment="0" applyProtection="0">
      <alignment vertical="center"/>
    </xf>
  </cellStyleXfs>
  <cellXfs count="198">
    <xf numFmtId="0" fontId="0" fillId="0" borderId="0" xfId="0"/>
    <xf numFmtId="0" fontId="28" fillId="0" borderId="0" xfId="41" applyFont="1">
      <alignment vertical="center"/>
    </xf>
    <xf numFmtId="177" fontId="28" fillId="0" borderId="0" xfId="41" applyNumberFormat="1" applyFont="1">
      <alignment vertical="center"/>
    </xf>
    <xf numFmtId="0" fontId="30" fillId="0" borderId="0" xfId="41" applyFont="1">
      <alignment vertical="center"/>
    </xf>
    <xf numFmtId="14" fontId="28" fillId="0" borderId="0" xfId="41" applyNumberFormat="1" applyFont="1">
      <alignment vertical="center"/>
    </xf>
    <xf numFmtId="0" fontId="28" fillId="0" borderId="0" xfId="41" applyFont="1" applyAlignment="1">
      <alignment vertical="top" wrapText="1"/>
    </xf>
    <xf numFmtId="0" fontId="26" fillId="0" borderId="0" xfId="0" applyFont="1" applyAlignment="1">
      <alignment vertical="center"/>
    </xf>
    <xf numFmtId="0" fontId="23" fillId="0" borderId="0" xfId="0" applyFont="1" applyAlignment="1">
      <alignment vertical="center"/>
    </xf>
    <xf numFmtId="14" fontId="23" fillId="0" borderId="0" xfId="0" applyNumberFormat="1" applyFont="1" applyAlignment="1">
      <alignment vertical="center"/>
    </xf>
    <xf numFmtId="0" fontId="26" fillId="0" borderId="14" xfId="0" applyFont="1" applyBorder="1" applyAlignment="1">
      <alignment horizontal="center" vertical="top" wrapText="1"/>
    </xf>
    <xf numFmtId="0" fontId="26" fillId="0" borderId="13" xfId="0" applyFont="1" applyBorder="1" applyAlignment="1">
      <alignment horizontal="center" vertical="center"/>
    </xf>
    <xf numFmtId="0" fontId="26" fillId="0" borderId="13" xfId="0" applyFont="1" applyBorder="1" applyAlignment="1">
      <alignment horizontal="center" vertical="top" wrapText="1"/>
    </xf>
    <xf numFmtId="0" fontId="26" fillId="0" borderId="17" xfId="0" applyFont="1" applyBorder="1" applyAlignment="1">
      <alignment horizontal="center" vertical="top" wrapText="1"/>
    </xf>
    <xf numFmtId="176" fontId="23" fillId="0" borderId="25" xfId="0" applyNumberFormat="1" applyFont="1" applyBorder="1" applyAlignment="1">
      <alignment horizontal="center" vertical="top" wrapText="1"/>
    </xf>
    <xf numFmtId="0" fontId="23" fillId="0" borderId="24" xfId="0" applyFont="1" applyBorder="1" applyAlignment="1">
      <alignment horizontal="center" vertical="top" wrapText="1"/>
    </xf>
    <xf numFmtId="176" fontId="23" fillId="0" borderId="21" xfId="0" applyNumberFormat="1" applyFont="1" applyBorder="1" applyAlignment="1">
      <alignment horizontal="center" vertical="top" wrapText="1"/>
    </xf>
    <xf numFmtId="0" fontId="23" fillId="0" borderId="20" xfId="0" applyFont="1" applyBorder="1" applyAlignment="1">
      <alignment horizontal="center" vertical="top" wrapText="1"/>
    </xf>
    <xf numFmtId="176" fontId="23" fillId="0" borderId="19" xfId="0" applyNumberFormat="1" applyFont="1" applyBorder="1" applyAlignment="1">
      <alignment horizontal="center" vertical="center" wrapText="1"/>
    </xf>
    <xf numFmtId="176" fontId="23" fillId="0" borderId="18" xfId="0" applyNumberFormat="1" applyFont="1" applyBorder="1" applyAlignment="1">
      <alignment horizontal="center" vertical="center" wrapText="1"/>
    </xf>
    <xf numFmtId="0" fontId="23" fillId="0" borderId="15" xfId="0" applyFont="1" applyBorder="1" applyAlignment="1">
      <alignment vertical="top"/>
    </xf>
    <xf numFmtId="3" fontId="23" fillId="0" borderId="0" xfId="0" applyNumberFormat="1" applyFont="1" applyBorder="1" applyAlignment="1">
      <alignment horizontal="center" vertical="center" wrapText="1"/>
    </xf>
    <xf numFmtId="0" fontId="23" fillId="0" borderId="0" xfId="0" applyFont="1" applyBorder="1" applyAlignment="1">
      <alignment horizontal="left" vertical="center"/>
    </xf>
    <xf numFmtId="0" fontId="26" fillId="0" borderId="14" xfId="0" applyFont="1" applyBorder="1" applyAlignment="1">
      <alignment horizontal="center" vertical="center"/>
    </xf>
    <xf numFmtId="0" fontId="26" fillId="0" borderId="17" xfId="0" applyFont="1" applyBorder="1" applyAlignment="1">
      <alignment horizontal="center" vertical="center"/>
    </xf>
    <xf numFmtId="0" fontId="26" fillId="0" borderId="11" xfId="0" applyFont="1" applyBorder="1" applyAlignment="1">
      <alignment vertical="center" wrapText="1"/>
    </xf>
    <xf numFmtId="0" fontId="23" fillId="0" borderId="10" xfId="0" applyFont="1" applyBorder="1" applyAlignment="1">
      <alignment horizontal="center" vertical="center"/>
    </xf>
    <xf numFmtId="0" fontId="23" fillId="0" borderId="16" xfId="0" applyFont="1" applyBorder="1" applyAlignment="1">
      <alignment horizontal="center" vertical="center"/>
    </xf>
    <xf numFmtId="0" fontId="26" fillId="0" borderId="0" xfId="0" applyFont="1" applyAlignment="1">
      <alignment horizontal="center" vertical="center"/>
    </xf>
    <xf numFmtId="0" fontId="22" fillId="0" borderId="0" xfId="41">
      <alignment vertical="center"/>
    </xf>
    <xf numFmtId="0" fontId="23" fillId="0" borderId="0" xfId="41" applyFont="1">
      <alignment vertical="center"/>
    </xf>
    <xf numFmtId="0" fontId="26" fillId="33" borderId="21" xfId="41" applyFont="1" applyFill="1" applyBorder="1" applyAlignment="1">
      <alignment horizontal="center" vertical="center"/>
    </xf>
    <xf numFmtId="0" fontId="26" fillId="0" borderId="21" xfId="41" applyFont="1" applyBorder="1">
      <alignment vertical="center"/>
    </xf>
    <xf numFmtId="0" fontId="23" fillId="0" borderId="12" xfId="41" applyFont="1" applyBorder="1" applyAlignment="1">
      <alignment horizontal="center" vertical="center" wrapText="1"/>
    </xf>
    <xf numFmtId="0" fontId="26" fillId="33" borderId="31" xfId="41" applyFont="1" applyFill="1" applyBorder="1" applyAlignment="1">
      <alignment horizontal="center" vertical="center"/>
    </xf>
    <xf numFmtId="0" fontId="23" fillId="0" borderId="31" xfId="41" applyFont="1" applyBorder="1" applyAlignment="1">
      <alignment horizontal="center" vertical="center"/>
    </xf>
    <xf numFmtId="0" fontId="26" fillId="33" borderId="21" xfId="41" applyFont="1" applyFill="1" applyBorder="1">
      <alignment vertical="center"/>
    </xf>
    <xf numFmtId="0" fontId="26" fillId="0" borderId="0" xfId="41" applyFont="1" applyFill="1">
      <alignment vertical="center"/>
    </xf>
    <xf numFmtId="0" fontId="23" fillId="0" borderId="32" xfId="41" quotePrefix="1" applyFont="1" applyBorder="1" applyAlignment="1">
      <alignment horizontal="center" vertical="center" wrapText="1"/>
    </xf>
    <xf numFmtId="0" fontId="23" fillId="0" borderId="0" xfId="0" applyFont="1" applyAlignment="1">
      <alignment horizontal="center" vertical="center"/>
    </xf>
    <xf numFmtId="0" fontId="23" fillId="0" borderId="0" xfId="0" applyFont="1" applyFill="1" applyAlignment="1">
      <alignment vertical="center"/>
    </xf>
    <xf numFmtId="0" fontId="23" fillId="0" borderId="12" xfId="0" applyFont="1" applyFill="1" applyBorder="1" applyAlignment="1">
      <alignment horizontal="center" vertical="top" wrapText="1"/>
    </xf>
    <xf numFmtId="0" fontId="26" fillId="0" borderId="0" xfId="41" applyFont="1" applyAlignment="1">
      <alignment vertical="center"/>
    </xf>
    <xf numFmtId="0" fontId="26" fillId="0" borderId="21" xfId="41" applyFont="1" applyBorder="1" applyAlignment="1">
      <alignment vertical="top" wrapText="1"/>
    </xf>
    <xf numFmtId="0" fontId="26" fillId="0" borderId="21" xfId="41" applyFont="1" applyBorder="1" applyAlignment="1">
      <alignment horizontal="center" vertical="top" wrapText="1"/>
    </xf>
    <xf numFmtId="0" fontId="26" fillId="0" borderId="21" xfId="41" applyFont="1" applyBorder="1" applyAlignment="1">
      <alignment horizontal="center" vertical="top"/>
    </xf>
    <xf numFmtId="0" fontId="0" fillId="0" borderId="0" xfId="0" applyFont="1"/>
    <xf numFmtId="0" fontId="23" fillId="0" borderId="32" xfId="41" quotePrefix="1" applyFont="1" applyBorder="1" applyAlignment="1">
      <alignment horizontal="center" vertical="center" wrapText="1"/>
    </xf>
    <xf numFmtId="0" fontId="31" fillId="0" borderId="0" xfId="0" applyFont="1" applyAlignment="1">
      <alignment vertical="center"/>
    </xf>
    <xf numFmtId="0" fontId="32" fillId="0" borderId="0" xfId="0" applyFont="1" applyAlignment="1">
      <alignment vertical="center"/>
    </xf>
    <xf numFmtId="0" fontId="31" fillId="0" borderId="0" xfId="79" applyFont="1">
      <alignment vertical="center"/>
    </xf>
    <xf numFmtId="0" fontId="33" fillId="0" borderId="0" xfId="0" applyFont="1" applyAlignment="1">
      <alignment vertical="center" wrapText="1"/>
    </xf>
    <xf numFmtId="0" fontId="33" fillId="0" borderId="0" xfId="79" applyFont="1" applyAlignment="1">
      <alignment vertical="center" wrapText="1"/>
    </xf>
    <xf numFmtId="0" fontId="33" fillId="0" borderId="0" xfId="0" applyFont="1" applyAlignment="1">
      <alignment vertical="center"/>
    </xf>
    <xf numFmtId="0" fontId="37" fillId="0" borderId="0" xfId="0" applyFont="1" applyAlignment="1">
      <alignment vertical="center"/>
    </xf>
    <xf numFmtId="0" fontId="33" fillId="0" borderId="0" xfId="79" applyFont="1">
      <alignment vertical="center"/>
    </xf>
    <xf numFmtId="0" fontId="33" fillId="0" borderId="0" xfId="0" applyFont="1" applyAlignment="1">
      <alignment vertical="top" wrapText="1"/>
    </xf>
    <xf numFmtId="0" fontId="34" fillId="0" borderId="0" xfId="0" applyFont="1" applyAlignment="1">
      <alignment vertical="top" wrapText="1"/>
    </xf>
    <xf numFmtId="0" fontId="34" fillId="0" borderId="0" xfId="79" applyFont="1" applyAlignment="1">
      <alignment vertical="center" wrapText="1"/>
    </xf>
    <xf numFmtId="0" fontId="39" fillId="0" borderId="0" xfId="79" applyFont="1">
      <alignment vertical="center"/>
    </xf>
    <xf numFmtId="0" fontId="31" fillId="0" borderId="0" xfId="0" applyFont="1" applyAlignment="1">
      <alignment vertical="center" wrapText="1"/>
    </xf>
    <xf numFmtId="0" fontId="40" fillId="0" borderId="0" xfId="0" applyFont="1" applyAlignment="1">
      <alignment vertical="center" wrapText="1"/>
    </xf>
    <xf numFmtId="0" fontId="41" fillId="0" borderId="0" xfId="0" applyFont="1" applyAlignment="1">
      <alignment vertical="center" wrapText="1"/>
    </xf>
    <xf numFmtId="0" fontId="34" fillId="0" borderId="0" xfId="0" applyFont="1" applyAlignment="1">
      <alignment vertical="center"/>
    </xf>
    <xf numFmtId="0" fontId="26" fillId="0" borderId="21" xfId="0" applyFont="1" applyBorder="1" applyAlignment="1">
      <alignment horizontal="center" vertical="center"/>
    </xf>
    <xf numFmtId="0" fontId="42" fillId="0" borderId="0" xfId="0" applyFont="1"/>
    <xf numFmtId="0" fontId="26" fillId="0" borderId="0" xfId="41" applyFont="1" applyAlignment="1">
      <alignment horizontal="center" vertical="top"/>
    </xf>
    <xf numFmtId="0" fontId="26" fillId="0" borderId="21" xfId="41" applyFont="1" applyFill="1" applyBorder="1" applyAlignment="1">
      <alignment horizontal="center" vertical="top" wrapText="1"/>
    </xf>
    <xf numFmtId="0" fontId="43" fillId="0" borderId="0" xfId="0" applyFont="1"/>
    <xf numFmtId="0" fontId="33" fillId="0" borderId="0" xfId="0" applyFont="1" applyFill="1" applyBorder="1" applyAlignment="1">
      <alignment vertical="center"/>
    </xf>
    <xf numFmtId="0" fontId="33" fillId="0" borderId="0" xfId="0" applyFont="1" applyBorder="1" applyAlignment="1">
      <alignment vertical="center"/>
    </xf>
    <xf numFmtId="0" fontId="40" fillId="0" borderId="0" xfId="79" applyFont="1">
      <alignment vertical="center"/>
    </xf>
    <xf numFmtId="0" fontId="32" fillId="0" borderId="0" xfId="0" applyFont="1" applyAlignment="1">
      <alignment vertical="center" wrapText="1"/>
    </xf>
    <xf numFmtId="0" fontId="32" fillId="0" borderId="0" xfId="79" applyFont="1" applyAlignment="1">
      <alignment vertical="center" wrapText="1"/>
    </xf>
    <xf numFmtId="0" fontId="34" fillId="0" borderId="0" xfId="0" applyFont="1" applyAlignment="1">
      <alignment vertical="center" wrapText="1"/>
    </xf>
    <xf numFmtId="0" fontId="33" fillId="0" borderId="0" xfId="0" applyFont="1" applyBorder="1" applyAlignment="1">
      <alignment vertical="center" wrapText="1"/>
    </xf>
    <xf numFmtId="0" fontId="44" fillId="0" borderId="0" xfId="0" applyFont="1"/>
    <xf numFmtId="0" fontId="45" fillId="0" borderId="0" xfId="0" applyFont="1" applyAlignment="1">
      <alignment vertical="center" wrapText="1"/>
    </xf>
    <xf numFmtId="0" fontId="35" fillId="0" borderId="0" xfId="0" applyFont="1" applyAlignment="1">
      <alignment vertical="center"/>
    </xf>
    <xf numFmtId="0" fontId="36" fillId="0" borderId="0" xfId="0" applyFont="1" applyAlignment="1">
      <alignment vertical="center"/>
    </xf>
    <xf numFmtId="0" fontId="36" fillId="0" borderId="0" xfId="79" applyFont="1">
      <alignment vertical="center"/>
    </xf>
    <xf numFmtId="0" fontId="47" fillId="0" borderId="0" xfId="0" applyFont="1"/>
    <xf numFmtId="0" fontId="26" fillId="0" borderId="34" xfId="0" applyFont="1" applyBorder="1" applyAlignment="1">
      <alignment horizontal="center" vertical="center"/>
    </xf>
    <xf numFmtId="0" fontId="26" fillId="0" borderId="15" xfId="0" applyFont="1" applyBorder="1" applyAlignment="1">
      <alignment horizontal="center" vertical="center"/>
    </xf>
    <xf numFmtId="0" fontId="26" fillId="0" borderId="35" xfId="0" applyFont="1" applyBorder="1" applyAlignment="1">
      <alignment horizontal="center" vertical="center"/>
    </xf>
    <xf numFmtId="0" fontId="26" fillId="0" borderId="36" xfId="0" applyFont="1" applyBorder="1" applyAlignment="1">
      <alignment horizontal="center" vertical="center"/>
    </xf>
    <xf numFmtId="0" fontId="26" fillId="0" borderId="37" xfId="0" applyFont="1" applyBorder="1" applyAlignment="1">
      <alignment horizontal="center" vertical="top" wrapText="1"/>
    </xf>
    <xf numFmtId="0" fontId="23" fillId="0" borderId="37" xfId="0" applyFont="1" applyBorder="1" applyAlignment="1">
      <alignment horizontal="center" vertical="center"/>
    </xf>
    <xf numFmtId="0" fontId="23" fillId="0" borderId="38" xfId="0" applyFont="1" applyBorder="1" applyAlignment="1">
      <alignment horizontal="center" vertical="top" wrapText="1"/>
    </xf>
    <xf numFmtId="0" fontId="23" fillId="0" borderId="15" xfId="0" applyFont="1" applyBorder="1" applyAlignment="1">
      <alignment horizontal="center" vertical="top" wrapText="1"/>
    </xf>
    <xf numFmtId="0" fontId="23" fillId="0" borderId="0" xfId="0" applyFont="1" applyBorder="1" applyAlignment="1">
      <alignment horizontal="center" vertical="center"/>
    </xf>
    <xf numFmtId="0" fontId="26" fillId="0" borderId="0" xfId="0" applyFont="1" applyBorder="1" applyAlignment="1">
      <alignment horizontal="center" vertical="center"/>
    </xf>
    <xf numFmtId="0" fontId="23" fillId="0" borderId="0" xfId="0" applyFont="1" applyBorder="1" applyAlignment="1">
      <alignment vertical="center"/>
    </xf>
    <xf numFmtId="0" fontId="23" fillId="0" borderId="0" xfId="0" applyFont="1" applyBorder="1" applyAlignment="1">
      <alignment horizontal="center" vertical="top" wrapText="1"/>
    </xf>
    <xf numFmtId="0" fontId="26" fillId="0" borderId="39" xfId="0" applyFont="1" applyBorder="1" applyAlignment="1">
      <alignment vertical="center"/>
    </xf>
    <xf numFmtId="0" fontId="23" fillId="0" borderId="39" xfId="0" applyFont="1" applyBorder="1" applyAlignment="1">
      <alignment vertical="center"/>
    </xf>
    <xf numFmtId="0" fontId="26" fillId="0" borderId="40" xfId="0" applyFont="1" applyBorder="1" applyAlignment="1">
      <alignment horizontal="center" vertical="top" wrapText="1"/>
    </xf>
    <xf numFmtId="0" fontId="26" fillId="0" borderId="0" xfId="0" applyFont="1" applyBorder="1" applyAlignment="1">
      <alignment vertical="top" wrapText="1"/>
    </xf>
    <xf numFmtId="0" fontId="26" fillId="0" borderId="34" xfId="0" applyFont="1" applyBorder="1" applyAlignment="1">
      <alignment horizontal="center" vertical="center" wrapText="1"/>
    </xf>
    <xf numFmtId="0" fontId="23" fillId="0" borderId="0" xfId="0" applyFont="1" applyBorder="1" applyAlignment="1">
      <alignment vertical="top" wrapText="1"/>
    </xf>
    <xf numFmtId="0" fontId="23" fillId="0" borderId="41" xfId="0" applyFont="1" applyBorder="1" applyAlignment="1">
      <alignment vertical="top" wrapText="1"/>
    </xf>
    <xf numFmtId="0" fontId="23" fillId="0" borderId="37" xfId="0" applyFont="1" applyBorder="1" applyAlignment="1">
      <alignment vertical="top" wrapText="1"/>
    </xf>
    <xf numFmtId="0" fontId="23" fillId="0" borderId="41" xfId="0" applyFont="1" applyBorder="1" applyAlignment="1">
      <alignment horizontal="center" vertical="center"/>
    </xf>
    <xf numFmtId="0" fontId="26" fillId="0" borderId="34" xfId="0" applyFont="1" applyBorder="1" applyAlignment="1">
      <alignment vertical="top" wrapText="1"/>
    </xf>
    <xf numFmtId="0" fontId="26" fillId="0" borderId="41" xfId="0" applyFont="1" applyBorder="1" applyAlignment="1">
      <alignment horizontal="center" vertical="top" wrapText="1"/>
    </xf>
    <xf numFmtId="0" fontId="23" fillId="0" borderId="33" xfId="0" applyFont="1" applyBorder="1" applyAlignment="1">
      <alignment horizontal="center" vertical="top" wrapText="1"/>
    </xf>
    <xf numFmtId="0" fontId="23" fillId="0" borderId="29" xfId="0" applyFont="1" applyBorder="1" applyAlignment="1">
      <alignment horizontal="center" vertical="top" wrapText="1"/>
    </xf>
    <xf numFmtId="178" fontId="23" fillId="0" borderId="0" xfId="0" applyNumberFormat="1" applyFont="1" applyAlignment="1">
      <alignment vertical="center"/>
    </xf>
    <xf numFmtId="176" fontId="23" fillId="0" borderId="0" xfId="0" applyNumberFormat="1" applyFont="1" applyAlignment="1">
      <alignment vertical="center"/>
    </xf>
    <xf numFmtId="10" fontId="23" fillId="0" borderId="0" xfId="0" applyNumberFormat="1" applyFont="1" applyAlignment="1">
      <alignment vertical="center"/>
    </xf>
    <xf numFmtId="0" fontId="26" fillId="0" borderId="40" xfId="0" applyFont="1" applyBorder="1" applyAlignment="1">
      <alignment horizontal="center" vertical="center" wrapText="1"/>
    </xf>
    <xf numFmtId="0" fontId="26" fillId="0" borderId="42" xfId="0" applyFont="1" applyBorder="1" applyAlignment="1">
      <alignment horizontal="center" vertical="center" wrapText="1"/>
    </xf>
    <xf numFmtId="0" fontId="26" fillId="0" borderId="29" xfId="0" applyFont="1" applyBorder="1" applyAlignment="1">
      <alignment horizontal="center" vertical="center" wrapText="1"/>
    </xf>
    <xf numFmtId="178" fontId="26" fillId="0" borderId="36" xfId="0" applyNumberFormat="1" applyFont="1" applyBorder="1" applyAlignment="1">
      <alignment horizontal="center" vertical="center" wrapText="1"/>
    </xf>
    <xf numFmtId="176" fontId="26" fillId="0" borderId="36" xfId="0" applyNumberFormat="1" applyFont="1" applyBorder="1" applyAlignment="1">
      <alignment horizontal="center" vertical="center" wrapText="1"/>
    </xf>
    <xf numFmtId="10" fontId="26" fillId="0" borderId="36" xfId="0" applyNumberFormat="1" applyFont="1" applyBorder="1" applyAlignment="1">
      <alignment horizontal="center" vertical="center" wrapText="1"/>
    </xf>
    <xf numFmtId="179" fontId="26" fillId="0" borderId="36" xfId="0" applyNumberFormat="1" applyFont="1" applyBorder="1" applyAlignment="1">
      <alignment horizontal="center" vertical="center" wrapText="1"/>
    </xf>
    <xf numFmtId="0" fontId="26" fillId="0" borderId="37" xfId="0" applyFont="1" applyBorder="1" applyAlignment="1">
      <alignment horizontal="center" vertical="center" wrapText="1"/>
    </xf>
    <xf numFmtId="0" fontId="23" fillId="0" borderId="37" xfId="0" applyFont="1" applyBorder="1" applyAlignment="1">
      <alignment horizontal="center" vertical="top" wrapText="1"/>
    </xf>
    <xf numFmtId="180" fontId="23" fillId="0" borderId="37" xfId="0" applyNumberFormat="1" applyFont="1" applyBorder="1" applyAlignment="1">
      <alignment horizontal="right" vertical="top" wrapText="1"/>
    </xf>
    <xf numFmtId="177" fontId="23" fillId="0" borderId="37" xfId="0" applyNumberFormat="1" applyFont="1" applyBorder="1" applyAlignment="1">
      <alignment vertical="center"/>
    </xf>
    <xf numFmtId="179" fontId="23" fillId="0" borderId="37" xfId="0" applyNumberFormat="1" applyFont="1" applyBorder="1" applyAlignment="1">
      <alignment vertical="center"/>
    </xf>
    <xf numFmtId="178" fontId="23" fillId="0" borderId="37" xfId="0" applyNumberFormat="1" applyFont="1" applyBorder="1" applyAlignment="1">
      <alignment horizontal="right" vertical="top" wrapText="1"/>
    </xf>
    <xf numFmtId="0" fontId="26" fillId="0" borderId="37" xfId="0" quotePrefix="1" applyFont="1" applyBorder="1" applyAlignment="1">
      <alignment horizontal="center" vertical="center" wrapText="1"/>
    </xf>
    <xf numFmtId="178" fontId="23" fillId="0" borderId="37" xfId="0" applyNumberFormat="1" applyFont="1" applyBorder="1" applyAlignment="1">
      <alignment vertical="top" wrapText="1"/>
    </xf>
    <xf numFmtId="177" fontId="48" fillId="0" borderId="37" xfId="0" applyNumberFormat="1" applyFont="1" applyBorder="1" applyAlignment="1">
      <alignment vertical="center"/>
    </xf>
    <xf numFmtId="0" fontId="26" fillId="34" borderId="40" xfId="0" quotePrefix="1" applyFont="1" applyFill="1" applyBorder="1" applyAlignment="1">
      <alignment horizontal="center" vertical="top" wrapText="1"/>
    </xf>
    <xf numFmtId="181" fontId="23" fillId="0" borderId="0" xfId="0" applyNumberFormat="1" applyFont="1" applyAlignment="1">
      <alignment vertical="center"/>
    </xf>
    <xf numFmtId="179" fontId="23" fillId="0" borderId="0" xfId="0" applyNumberFormat="1" applyFont="1" applyAlignment="1">
      <alignment vertical="center"/>
    </xf>
    <xf numFmtId="177" fontId="23" fillId="0" borderId="0" xfId="0" applyNumberFormat="1" applyFont="1" applyAlignment="1">
      <alignment vertical="center"/>
    </xf>
    <xf numFmtId="0" fontId="23" fillId="35" borderId="37" xfId="0" applyFont="1" applyFill="1" applyBorder="1" applyAlignment="1">
      <alignment horizontal="center" vertical="top" wrapText="1"/>
    </xf>
    <xf numFmtId="0" fontId="29" fillId="0" borderId="0" xfId="0" applyFont="1" applyBorder="1" applyAlignment="1">
      <alignment horizontal="left" vertical="center"/>
    </xf>
    <xf numFmtId="0" fontId="23" fillId="0" borderId="0" xfId="0" applyFont="1" applyBorder="1" applyAlignment="1">
      <alignment horizontal="left" vertical="center"/>
    </xf>
    <xf numFmtId="0" fontId="23" fillId="0" borderId="27" xfId="0" applyFont="1" applyBorder="1" applyAlignment="1">
      <alignment horizontal="center" vertical="center" wrapText="1"/>
    </xf>
    <xf numFmtId="0" fontId="23" fillId="0" borderId="23" xfId="0" applyFont="1" applyBorder="1" applyAlignment="1">
      <alignment horizontal="center" vertical="center" wrapText="1"/>
    </xf>
    <xf numFmtId="0" fontId="23" fillId="0" borderId="11" xfId="0" applyFont="1" applyBorder="1" applyAlignment="1">
      <alignment horizontal="center" vertical="center" wrapText="1"/>
    </xf>
    <xf numFmtId="49" fontId="23" fillId="0" borderId="26" xfId="0" applyNumberFormat="1" applyFont="1" applyBorder="1" applyAlignment="1">
      <alignment horizontal="center" vertical="center" wrapText="1"/>
    </xf>
    <xf numFmtId="49" fontId="23" fillId="0" borderId="22" xfId="0" applyNumberFormat="1" applyFont="1" applyBorder="1" applyAlignment="1">
      <alignment horizontal="center" vertical="center" wrapText="1"/>
    </xf>
    <xf numFmtId="49" fontId="23" fillId="0" borderId="10" xfId="0" applyNumberFormat="1" applyFont="1" applyBorder="1" applyAlignment="1">
      <alignment horizontal="center" vertical="center" wrapText="1"/>
    </xf>
    <xf numFmtId="0" fontId="23" fillId="0" borderId="33" xfId="41" applyFont="1" applyBorder="1" applyAlignment="1">
      <alignment horizontal="left" vertical="center" wrapText="1"/>
    </xf>
    <xf numFmtId="0" fontId="23" fillId="0" borderId="29" xfId="41" applyFont="1" applyBorder="1" applyAlignment="1">
      <alignment horizontal="left" vertical="center" wrapText="1"/>
    </xf>
    <xf numFmtId="0" fontId="23" fillId="0" borderId="28" xfId="41" applyFont="1" applyBorder="1" applyAlignment="1">
      <alignment horizontal="left" vertical="center" wrapText="1"/>
    </xf>
    <xf numFmtId="0" fontId="26" fillId="0" borderId="30" xfId="0" applyFont="1" applyBorder="1" applyAlignment="1">
      <alignment horizontal="center" vertical="center"/>
    </xf>
    <xf numFmtId="0" fontId="23" fillId="0" borderId="39" xfId="0" applyFont="1" applyBorder="1" applyAlignment="1">
      <alignment horizontal="center" vertical="center"/>
    </xf>
    <xf numFmtId="179" fontId="0" fillId="0" borderId="0" xfId="0" applyNumberFormat="1"/>
    <xf numFmtId="181" fontId="0" fillId="0" borderId="0" xfId="0" applyNumberFormat="1"/>
    <xf numFmtId="183" fontId="0" fillId="0" borderId="0" xfId="0" applyNumberFormat="1"/>
    <xf numFmtId="179" fontId="0" fillId="0" borderId="0" xfId="305" applyNumberFormat="1" applyFont="1" applyAlignment="1"/>
    <xf numFmtId="181" fontId="0" fillId="0" borderId="0" xfId="305" applyNumberFormat="1" applyFont="1" applyAlignment="1"/>
    <xf numFmtId="183" fontId="0" fillId="0" borderId="0" xfId="305" applyNumberFormat="1" applyFont="1" applyAlignment="1"/>
    <xf numFmtId="187" fontId="0" fillId="0" borderId="0" xfId="305" applyNumberFormat="1" applyFont="1" applyAlignment="1"/>
    <xf numFmtId="191" fontId="0" fillId="0" borderId="0" xfId="305" applyNumberFormat="1" applyFont="1" applyAlignment="1"/>
    <xf numFmtId="186" fontId="23" fillId="0" borderId="37" xfId="0" applyNumberFormat="1" applyFont="1" applyBorder="1" applyAlignment="1">
      <alignment vertical="center"/>
    </xf>
    <xf numFmtId="188" fontId="23" fillId="0" borderId="37" xfId="0" applyNumberFormat="1" applyFont="1" applyBorder="1" applyAlignment="1">
      <alignment vertical="center"/>
    </xf>
    <xf numFmtId="0" fontId="23" fillId="0" borderId="0" xfId="0" applyFont="1" applyFill="1" applyAlignment="1">
      <alignment vertical="center" wrapText="1"/>
    </xf>
    <xf numFmtId="0" fontId="23" fillId="0" borderId="38" xfId="0" applyFont="1" applyFill="1" applyBorder="1" applyAlignment="1">
      <alignment horizontal="center" vertical="center"/>
    </xf>
    <xf numFmtId="0" fontId="23" fillId="36" borderId="38" xfId="0" applyFont="1" applyFill="1" applyBorder="1" applyAlignment="1">
      <alignment horizontal="center" vertical="center"/>
    </xf>
    <xf numFmtId="0" fontId="23" fillId="36" borderId="34" xfId="0" applyFont="1" applyFill="1" applyBorder="1" applyAlignment="1">
      <alignment horizontal="center" vertical="center"/>
    </xf>
    <xf numFmtId="0" fontId="23" fillId="33" borderId="27" xfId="0" applyFont="1" applyFill="1" applyBorder="1" applyAlignment="1">
      <alignment horizontal="center" vertical="center"/>
    </xf>
    <xf numFmtId="0" fontId="23" fillId="33" borderId="26" xfId="0" applyFont="1" applyFill="1" applyBorder="1" applyAlignment="1">
      <alignment horizontal="center" vertical="center"/>
    </xf>
    <xf numFmtId="0" fontId="23" fillId="33" borderId="43" xfId="0" applyFont="1" applyFill="1" applyBorder="1" applyAlignment="1">
      <alignment horizontal="center" vertical="center"/>
    </xf>
    <xf numFmtId="0" fontId="23" fillId="0" borderId="0" xfId="0" applyFont="1" applyFill="1" applyAlignment="1">
      <alignment horizontal="center" vertical="center"/>
    </xf>
    <xf numFmtId="0" fontId="23" fillId="36" borderId="44" xfId="0" applyFont="1" applyFill="1" applyBorder="1" applyAlignment="1">
      <alignment horizontal="center" vertical="center"/>
    </xf>
    <xf numFmtId="192" fontId="23" fillId="0" borderId="45" xfId="0" applyNumberFormat="1" applyFont="1" applyFill="1" applyBorder="1" applyAlignment="1">
      <alignment horizontal="right" vertical="center"/>
    </xf>
    <xf numFmtId="178" fontId="23" fillId="0" borderId="25" xfId="0" applyNumberFormat="1" applyFont="1" applyFill="1" applyBorder="1" applyAlignment="1">
      <alignment vertical="center"/>
    </xf>
    <xf numFmtId="178" fontId="23" fillId="0" borderId="24" xfId="0" applyNumberFormat="1" applyFont="1" applyFill="1" applyBorder="1" applyAlignment="1">
      <alignment vertical="center"/>
    </xf>
    <xf numFmtId="192" fontId="23" fillId="0" borderId="45" xfId="0" applyNumberFormat="1" applyFont="1" applyFill="1" applyBorder="1" applyAlignment="1">
      <alignment vertical="center"/>
    </xf>
    <xf numFmtId="0" fontId="23" fillId="36" borderId="46" xfId="0" applyFont="1" applyFill="1" applyBorder="1" applyAlignment="1">
      <alignment horizontal="center" vertical="center"/>
    </xf>
    <xf numFmtId="192" fontId="23" fillId="0" borderId="31" xfId="0" applyNumberFormat="1" applyFont="1" applyFill="1" applyBorder="1" applyAlignment="1">
      <alignment horizontal="right" vertical="center"/>
    </xf>
    <xf numFmtId="192" fontId="23" fillId="0" borderId="21" xfId="0" applyNumberFormat="1" applyFont="1" applyFill="1" applyBorder="1" applyAlignment="1">
      <alignment vertical="center"/>
    </xf>
    <xf numFmtId="178" fontId="23" fillId="0" borderId="21" xfId="0" applyNumberFormat="1" applyFont="1" applyFill="1" applyBorder="1" applyAlignment="1">
      <alignment vertical="center"/>
    </xf>
    <xf numFmtId="178" fontId="23" fillId="0" borderId="20" xfId="0" applyNumberFormat="1" applyFont="1" applyFill="1" applyBorder="1" applyAlignment="1">
      <alignment vertical="center"/>
    </xf>
    <xf numFmtId="192" fontId="23" fillId="0" borderId="32" xfId="0" applyNumberFormat="1" applyFont="1" applyFill="1" applyBorder="1" applyAlignment="1">
      <alignment vertical="center"/>
    </xf>
    <xf numFmtId="193" fontId="23" fillId="0" borderId="21" xfId="0" applyNumberFormat="1" applyFont="1" applyFill="1" applyBorder="1" applyAlignment="1">
      <alignment vertical="center"/>
    </xf>
    <xf numFmtId="194" fontId="23" fillId="0" borderId="21" xfId="0" applyNumberFormat="1" applyFont="1" applyFill="1" applyBorder="1" applyAlignment="1">
      <alignment vertical="center"/>
    </xf>
    <xf numFmtId="195" fontId="23" fillId="0" borderId="21" xfId="0" applyNumberFormat="1" applyFont="1" applyFill="1" applyBorder="1" applyAlignment="1">
      <alignment vertical="center"/>
    </xf>
    <xf numFmtId="196" fontId="23" fillId="0" borderId="21" xfId="0" applyNumberFormat="1" applyFont="1" applyFill="1" applyBorder="1" applyAlignment="1">
      <alignment vertical="center"/>
    </xf>
    <xf numFmtId="0" fontId="23" fillId="36" borderId="47" xfId="0" applyFont="1" applyFill="1" applyBorder="1" applyAlignment="1">
      <alignment horizontal="center" vertical="center"/>
    </xf>
    <xf numFmtId="192" fontId="23" fillId="0" borderId="48" xfId="0" applyNumberFormat="1" applyFont="1" applyFill="1" applyBorder="1" applyAlignment="1">
      <alignment horizontal="right" vertical="center"/>
    </xf>
    <xf numFmtId="192" fontId="23" fillId="0" borderId="19" xfId="0" applyNumberFormat="1" applyFont="1" applyFill="1" applyBorder="1" applyAlignment="1">
      <alignment vertical="center"/>
    </xf>
    <xf numFmtId="0" fontId="23" fillId="0" borderId="18" xfId="0" applyFont="1" applyFill="1" applyBorder="1" applyAlignment="1">
      <alignment vertical="center"/>
    </xf>
    <xf numFmtId="178" fontId="23" fillId="0" borderId="49" xfId="0" applyNumberFormat="1" applyFont="1" applyFill="1" applyBorder="1" applyAlignment="1">
      <alignment vertical="center"/>
    </xf>
    <xf numFmtId="178" fontId="23" fillId="0" borderId="19" xfId="0" applyNumberFormat="1" applyFont="1" applyFill="1" applyBorder="1" applyAlignment="1">
      <alignment vertical="center"/>
    </xf>
    <xf numFmtId="192" fontId="23" fillId="0" borderId="18" xfId="0" applyNumberFormat="1" applyFont="1" applyFill="1" applyBorder="1" applyAlignment="1">
      <alignment vertical="center"/>
    </xf>
    <xf numFmtId="0" fontId="23" fillId="33" borderId="50" xfId="0" applyFont="1" applyFill="1" applyBorder="1" applyAlignment="1">
      <alignment horizontal="center" vertical="center"/>
    </xf>
    <xf numFmtId="0" fontId="23" fillId="0" borderId="51" xfId="0" applyFont="1" applyFill="1" applyBorder="1" applyAlignment="1">
      <alignment horizontal="right" vertical="center"/>
    </xf>
    <xf numFmtId="0" fontId="23" fillId="0" borderId="12" xfId="0" applyFont="1" applyFill="1" applyBorder="1" applyAlignment="1">
      <alignment horizontal="right" vertical="center"/>
    </xf>
    <xf numFmtId="0" fontId="23" fillId="0" borderId="52" xfId="0" applyFont="1" applyFill="1" applyBorder="1" applyAlignment="1">
      <alignment horizontal="right" vertical="center"/>
    </xf>
    <xf numFmtId="178" fontId="23" fillId="0" borderId="12" xfId="0" applyNumberFormat="1" applyFont="1" applyFill="1" applyBorder="1" applyAlignment="1">
      <alignment vertical="center"/>
    </xf>
    <xf numFmtId="178" fontId="23" fillId="0" borderId="52" xfId="0" applyNumberFormat="1" applyFont="1" applyFill="1" applyBorder="1" applyAlignment="1">
      <alignment vertical="center"/>
    </xf>
    <xf numFmtId="0" fontId="23" fillId="0" borderId="53" xfId="0" applyFont="1" applyFill="1" applyBorder="1" applyAlignment="1">
      <alignment horizontal="right" vertical="center"/>
    </xf>
    <xf numFmtId="0" fontId="23" fillId="0" borderId="21" xfId="0" applyFont="1" applyFill="1" applyBorder="1" applyAlignment="1">
      <alignment horizontal="right" vertical="center"/>
    </xf>
    <xf numFmtId="0" fontId="23" fillId="0" borderId="20" xfId="0" applyFont="1" applyFill="1" applyBorder="1" applyAlignment="1">
      <alignment horizontal="right" vertical="center"/>
    </xf>
    <xf numFmtId="0" fontId="23" fillId="33" borderId="54" xfId="0" applyFont="1" applyFill="1" applyBorder="1" applyAlignment="1">
      <alignment horizontal="center" vertical="center"/>
    </xf>
    <xf numFmtId="0" fontId="23" fillId="33" borderId="55" xfId="0" applyFont="1" applyFill="1" applyBorder="1" applyAlignment="1">
      <alignment horizontal="center" vertical="center"/>
    </xf>
    <xf numFmtId="0" fontId="23" fillId="0" borderId="49" xfId="0" applyFont="1" applyFill="1" applyBorder="1" applyAlignment="1">
      <alignment horizontal="right" vertical="center"/>
    </xf>
    <xf numFmtId="0" fontId="23" fillId="0" borderId="19" xfId="0" applyFont="1" applyFill="1" applyBorder="1" applyAlignment="1">
      <alignment horizontal="right" vertical="center"/>
    </xf>
    <xf numFmtId="0" fontId="23" fillId="0" borderId="18" xfId="0" applyFont="1" applyFill="1" applyBorder="1" applyAlignment="1">
      <alignment horizontal="right" vertical="center"/>
    </xf>
    <xf numFmtId="192" fontId="23" fillId="0" borderId="56" xfId="0" applyNumberFormat="1" applyFont="1" applyFill="1" applyBorder="1" applyAlignment="1">
      <alignment vertical="center"/>
    </xf>
  </cellXfs>
  <cellStyles count="306">
    <cellStyle name="20% - 輔色1" xfId="18" builtinId="30" customBuiltin="1"/>
    <cellStyle name="20% - 輔色1 2" xfId="50"/>
    <cellStyle name="20% - 輔色1 2 2" xfId="141"/>
    <cellStyle name="20% - 輔色1 2 3" xfId="186"/>
    <cellStyle name="20% - 輔色1 2 4" xfId="231"/>
    <cellStyle name="20% - 輔色1 2 5" xfId="276"/>
    <cellStyle name="20% - 輔色1 2 6" xfId="96"/>
    <cellStyle name="20% - 輔色1 3" xfId="65"/>
    <cellStyle name="20% - 輔色1 3 2" xfId="156"/>
    <cellStyle name="20% - 輔色1 3 3" xfId="201"/>
    <cellStyle name="20% - 輔色1 3 4" xfId="246"/>
    <cellStyle name="20% - 輔色1 3 5" xfId="291"/>
    <cellStyle name="20% - 輔色1 3 6" xfId="111"/>
    <cellStyle name="20% - 輔色1 4" xfId="125"/>
    <cellStyle name="20% - 輔色1 5" xfId="170"/>
    <cellStyle name="20% - 輔色1 6" xfId="215"/>
    <cellStyle name="20% - 輔色1 7" xfId="260"/>
    <cellStyle name="20% - 輔色1 8" xfId="80"/>
    <cellStyle name="20% - 輔色2" xfId="22" builtinId="34" customBuiltin="1"/>
    <cellStyle name="20% - 輔色2 2" xfId="52"/>
    <cellStyle name="20% - 輔色2 2 2" xfId="143"/>
    <cellStyle name="20% - 輔色2 2 3" xfId="188"/>
    <cellStyle name="20% - 輔色2 2 4" xfId="233"/>
    <cellStyle name="20% - 輔色2 2 5" xfId="278"/>
    <cellStyle name="20% - 輔色2 2 6" xfId="98"/>
    <cellStyle name="20% - 輔色2 3" xfId="67"/>
    <cellStyle name="20% - 輔色2 3 2" xfId="158"/>
    <cellStyle name="20% - 輔色2 3 3" xfId="203"/>
    <cellStyle name="20% - 輔色2 3 4" xfId="248"/>
    <cellStyle name="20% - 輔色2 3 5" xfId="293"/>
    <cellStyle name="20% - 輔色2 3 6" xfId="113"/>
    <cellStyle name="20% - 輔色2 4" xfId="127"/>
    <cellStyle name="20% - 輔色2 5" xfId="172"/>
    <cellStyle name="20% - 輔色2 6" xfId="217"/>
    <cellStyle name="20% - 輔色2 7" xfId="262"/>
    <cellStyle name="20% - 輔色2 8" xfId="82"/>
    <cellStyle name="20% - 輔色3" xfId="26" builtinId="38" customBuiltin="1"/>
    <cellStyle name="20% - 輔色3 2" xfId="54"/>
    <cellStyle name="20% - 輔色3 2 2" xfId="145"/>
    <cellStyle name="20% - 輔色3 2 3" xfId="190"/>
    <cellStyle name="20% - 輔色3 2 4" xfId="235"/>
    <cellStyle name="20% - 輔色3 2 5" xfId="280"/>
    <cellStyle name="20% - 輔色3 2 6" xfId="100"/>
    <cellStyle name="20% - 輔色3 3" xfId="69"/>
    <cellStyle name="20% - 輔色3 3 2" xfId="160"/>
    <cellStyle name="20% - 輔色3 3 3" xfId="205"/>
    <cellStyle name="20% - 輔色3 3 4" xfId="250"/>
    <cellStyle name="20% - 輔色3 3 5" xfId="295"/>
    <cellStyle name="20% - 輔色3 3 6" xfId="115"/>
    <cellStyle name="20% - 輔色3 4" xfId="129"/>
    <cellStyle name="20% - 輔色3 5" xfId="174"/>
    <cellStyle name="20% - 輔色3 6" xfId="219"/>
    <cellStyle name="20% - 輔色3 7" xfId="264"/>
    <cellStyle name="20% - 輔色3 8" xfId="84"/>
    <cellStyle name="20% - 輔色4" xfId="30" builtinId="42" customBuiltin="1"/>
    <cellStyle name="20% - 輔色4 2" xfId="56"/>
    <cellStyle name="20% - 輔色4 2 2" xfId="147"/>
    <cellStyle name="20% - 輔色4 2 3" xfId="192"/>
    <cellStyle name="20% - 輔色4 2 4" xfId="237"/>
    <cellStyle name="20% - 輔色4 2 5" xfId="282"/>
    <cellStyle name="20% - 輔色4 2 6" xfId="102"/>
    <cellStyle name="20% - 輔色4 3" xfId="71"/>
    <cellStyle name="20% - 輔色4 3 2" xfId="162"/>
    <cellStyle name="20% - 輔色4 3 3" xfId="207"/>
    <cellStyle name="20% - 輔色4 3 4" xfId="252"/>
    <cellStyle name="20% - 輔色4 3 5" xfId="297"/>
    <cellStyle name="20% - 輔色4 3 6" xfId="117"/>
    <cellStyle name="20% - 輔色4 4" xfId="131"/>
    <cellStyle name="20% - 輔色4 5" xfId="176"/>
    <cellStyle name="20% - 輔色4 6" xfId="221"/>
    <cellStyle name="20% - 輔色4 7" xfId="266"/>
    <cellStyle name="20% - 輔色4 8" xfId="86"/>
    <cellStyle name="20% - 輔色5" xfId="34" builtinId="46" customBuiltin="1"/>
    <cellStyle name="20% - 輔色5 2" xfId="58"/>
    <cellStyle name="20% - 輔色5 2 2" xfId="149"/>
    <cellStyle name="20% - 輔色5 2 3" xfId="194"/>
    <cellStyle name="20% - 輔色5 2 4" xfId="239"/>
    <cellStyle name="20% - 輔色5 2 5" xfId="284"/>
    <cellStyle name="20% - 輔色5 2 6" xfId="104"/>
    <cellStyle name="20% - 輔色5 3" xfId="73"/>
    <cellStyle name="20% - 輔色5 3 2" xfId="164"/>
    <cellStyle name="20% - 輔色5 3 3" xfId="209"/>
    <cellStyle name="20% - 輔色5 3 4" xfId="254"/>
    <cellStyle name="20% - 輔色5 3 5" xfId="299"/>
    <cellStyle name="20% - 輔色5 3 6" xfId="119"/>
    <cellStyle name="20% - 輔色5 4" xfId="133"/>
    <cellStyle name="20% - 輔色5 5" xfId="178"/>
    <cellStyle name="20% - 輔色5 6" xfId="223"/>
    <cellStyle name="20% - 輔色5 7" xfId="268"/>
    <cellStyle name="20% - 輔色5 8" xfId="88"/>
    <cellStyle name="20% - 輔色6" xfId="38" builtinId="50" customBuiltin="1"/>
    <cellStyle name="20% - 輔色6 2" xfId="60"/>
    <cellStyle name="20% - 輔色6 2 2" xfId="151"/>
    <cellStyle name="20% - 輔色6 2 3" xfId="196"/>
    <cellStyle name="20% - 輔色6 2 4" xfId="241"/>
    <cellStyle name="20% - 輔色6 2 5" xfId="286"/>
    <cellStyle name="20% - 輔色6 2 6" xfId="106"/>
    <cellStyle name="20% - 輔色6 3" xfId="75"/>
    <cellStyle name="20% - 輔色6 3 2" xfId="166"/>
    <cellStyle name="20% - 輔色6 3 3" xfId="211"/>
    <cellStyle name="20% - 輔色6 3 4" xfId="256"/>
    <cellStyle name="20% - 輔色6 3 5" xfId="301"/>
    <cellStyle name="20% - 輔色6 3 6" xfId="121"/>
    <cellStyle name="20% - 輔色6 4" xfId="135"/>
    <cellStyle name="20% - 輔色6 5" xfId="180"/>
    <cellStyle name="20% - 輔色6 6" xfId="225"/>
    <cellStyle name="20% - 輔色6 7" xfId="270"/>
    <cellStyle name="20% - 輔色6 8" xfId="90"/>
    <cellStyle name="40% - 輔色1" xfId="19" builtinId="31" customBuiltin="1"/>
    <cellStyle name="40% - 輔色1 2" xfId="51"/>
    <cellStyle name="40% - 輔色1 2 2" xfId="142"/>
    <cellStyle name="40% - 輔色1 2 3" xfId="187"/>
    <cellStyle name="40% - 輔色1 2 4" xfId="232"/>
    <cellStyle name="40% - 輔色1 2 5" xfId="277"/>
    <cellStyle name="40% - 輔色1 2 6" xfId="97"/>
    <cellStyle name="40% - 輔色1 3" xfId="66"/>
    <cellStyle name="40% - 輔色1 3 2" xfId="157"/>
    <cellStyle name="40% - 輔色1 3 3" xfId="202"/>
    <cellStyle name="40% - 輔色1 3 4" xfId="247"/>
    <cellStyle name="40% - 輔色1 3 5" xfId="292"/>
    <cellStyle name="40% - 輔色1 3 6" xfId="112"/>
    <cellStyle name="40% - 輔色1 4" xfId="126"/>
    <cellStyle name="40% - 輔色1 5" xfId="171"/>
    <cellStyle name="40% - 輔色1 6" xfId="216"/>
    <cellStyle name="40% - 輔色1 7" xfId="261"/>
    <cellStyle name="40% - 輔色1 8" xfId="81"/>
    <cellStyle name="40% - 輔色2" xfId="23" builtinId="35" customBuiltin="1"/>
    <cellStyle name="40% - 輔色2 2" xfId="53"/>
    <cellStyle name="40% - 輔色2 2 2" xfId="144"/>
    <cellStyle name="40% - 輔色2 2 3" xfId="189"/>
    <cellStyle name="40% - 輔色2 2 4" xfId="234"/>
    <cellStyle name="40% - 輔色2 2 5" xfId="279"/>
    <cellStyle name="40% - 輔色2 2 6" xfId="99"/>
    <cellStyle name="40% - 輔色2 3" xfId="68"/>
    <cellStyle name="40% - 輔色2 3 2" xfId="159"/>
    <cellStyle name="40% - 輔色2 3 3" xfId="204"/>
    <cellStyle name="40% - 輔色2 3 4" xfId="249"/>
    <cellStyle name="40% - 輔色2 3 5" xfId="294"/>
    <cellStyle name="40% - 輔色2 3 6" xfId="114"/>
    <cellStyle name="40% - 輔色2 4" xfId="128"/>
    <cellStyle name="40% - 輔色2 5" xfId="173"/>
    <cellStyle name="40% - 輔色2 6" xfId="218"/>
    <cellStyle name="40% - 輔色2 7" xfId="263"/>
    <cellStyle name="40% - 輔色2 8" xfId="83"/>
    <cellStyle name="40% - 輔色3" xfId="27" builtinId="39" customBuiltin="1"/>
    <cellStyle name="40% - 輔色3 2" xfId="55"/>
    <cellStyle name="40% - 輔色3 2 2" xfId="146"/>
    <cellStyle name="40% - 輔色3 2 3" xfId="191"/>
    <cellStyle name="40% - 輔色3 2 4" xfId="236"/>
    <cellStyle name="40% - 輔色3 2 5" xfId="281"/>
    <cellStyle name="40% - 輔色3 2 6" xfId="101"/>
    <cellStyle name="40% - 輔色3 3" xfId="70"/>
    <cellStyle name="40% - 輔色3 3 2" xfId="161"/>
    <cellStyle name="40% - 輔色3 3 3" xfId="206"/>
    <cellStyle name="40% - 輔色3 3 4" xfId="251"/>
    <cellStyle name="40% - 輔色3 3 5" xfId="296"/>
    <cellStyle name="40% - 輔色3 3 6" xfId="116"/>
    <cellStyle name="40% - 輔色3 4" xfId="130"/>
    <cellStyle name="40% - 輔色3 5" xfId="175"/>
    <cellStyle name="40% - 輔色3 6" xfId="220"/>
    <cellStyle name="40% - 輔色3 7" xfId="265"/>
    <cellStyle name="40% - 輔色3 8" xfId="85"/>
    <cellStyle name="40% - 輔色4" xfId="31" builtinId="43" customBuiltin="1"/>
    <cellStyle name="40% - 輔色4 2" xfId="57"/>
    <cellStyle name="40% - 輔色4 2 2" xfId="148"/>
    <cellStyle name="40% - 輔色4 2 3" xfId="193"/>
    <cellStyle name="40% - 輔色4 2 4" xfId="238"/>
    <cellStyle name="40% - 輔色4 2 5" xfId="283"/>
    <cellStyle name="40% - 輔色4 2 6" xfId="103"/>
    <cellStyle name="40% - 輔色4 3" xfId="72"/>
    <cellStyle name="40% - 輔色4 3 2" xfId="163"/>
    <cellStyle name="40% - 輔色4 3 3" xfId="208"/>
    <cellStyle name="40% - 輔色4 3 4" xfId="253"/>
    <cellStyle name="40% - 輔色4 3 5" xfId="298"/>
    <cellStyle name="40% - 輔色4 3 6" xfId="118"/>
    <cellStyle name="40% - 輔色4 4" xfId="132"/>
    <cellStyle name="40% - 輔色4 5" xfId="177"/>
    <cellStyle name="40% - 輔色4 6" xfId="222"/>
    <cellStyle name="40% - 輔色4 7" xfId="267"/>
    <cellStyle name="40% - 輔色4 8" xfId="87"/>
    <cellStyle name="40% - 輔色5" xfId="35" builtinId="47" customBuiltin="1"/>
    <cellStyle name="40% - 輔色5 2" xfId="59"/>
    <cellStyle name="40% - 輔色5 2 2" xfId="150"/>
    <cellStyle name="40% - 輔色5 2 3" xfId="195"/>
    <cellStyle name="40% - 輔色5 2 4" xfId="240"/>
    <cellStyle name="40% - 輔色5 2 5" xfId="285"/>
    <cellStyle name="40% - 輔色5 2 6" xfId="105"/>
    <cellStyle name="40% - 輔色5 3" xfId="74"/>
    <cellStyle name="40% - 輔色5 3 2" xfId="165"/>
    <cellStyle name="40% - 輔色5 3 3" xfId="210"/>
    <cellStyle name="40% - 輔色5 3 4" xfId="255"/>
    <cellStyle name="40% - 輔色5 3 5" xfId="300"/>
    <cellStyle name="40% - 輔色5 3 6" xfId="120"/>
    <cellStyle name="40% - 輔色5 4" xfId="134"/>
    <cellStyle name="40% - 輔色5 5" xfId="179"/>
    <cellStyle name="40% - 輔色5 6" xfId="224"/>
    <cellStyle name="40% - 輔色5 7" xfId="269"/>
    <cellStyle name="40% - 輔色5 8" xfId="89"/>
    <cellStyle name="40% - 輔色6" xfId="39" builtinId="51" customBuiltin="1"/>
    <cellStyle name="40% - 輔色6 2" xfId="61"/>
    <cellStyle name="40% - 輔色6 2 2" xfId="152"/>
    <cellStyle name="40% - 輔色6 2 3" xfId="197"/>
    <cellStyle name="40% - 輔色6 2 4" xfId="242"/>
    <cellStyle name="40% - 輔色6 2 5" xfId="287"/>
    <cellStyle name="40% - 輔色6 2 6" xfId="107"/>
    <cellStyle name="40% - 輔色6 3" xfId="76"/>
    <cellStyle name="40% - 輔色6 3 2" xfId="167"/>
    <cellStyle name="40% - 輔色6 3 3" xfId="212"/>
    <cellStyle name="40% - 輔色6 3 4" xfId="257"/>
    <cellStyle name="40% - 輔色6 3 5" xfId="302"/>
    <cellStyle name="40% - 輔色6 3 6" xfId="122"/>
    <cellStyle name="40% - 輔色6 4" xfId="136"/>
    <cellStyle name="40% - 輔色6 5" xfId="181"/>
    <cellStyle name="40% - 輔色6 6" xfId="226"/>
    <cellStyle name="40% - 輔色6 7" xfId="271"/>
    <cellStyle name="40% - 輔色6 8" xfId="91"/>
    <cellStyle name="60% - 輔色1" xfId="20" builtinId="32" customBuiltin="1"/>
    <cellStyle name="60% - 輔色2" xfId="24" builtinId="36" customBuiltin="1"/>
    <cellStyle name="60% - 輔色3" xfId="28" builtinId="40" customBuiltin="1"/>
    <cellStyle name="60% - 輔色4" xfId="32" builtinId="44" customBuiltin="1"/>
    <cellStyle name="60% - 輔色5" xfId="36" builtinId="48" customBuiltin="1"/>
    <cellStyle name="60% - 輔色6" xfId="40" builtinId="52" customBuiltin="1"/>
    <cellStyle name="一般" xfId="0" builtinId="0"/>
    <cellStyle name="一般 2" xfId="41"/>
    <cellStyle name="一般 2 2" xfId="45"/>
    <cellStyle name="一般 3" xfId="47"/>
    <cellStyle name="一般 3 2" xfId="62"/>
    <cellStyle name="一般 3 2 2" xfId="153"/>
    <cellStyle name="一般 3 2 3" xfId="198"/>
    <cellStyle name="一般 3 2 4" xfId="243"/>
    <cellStyle name="一般 3 2 5" xfId="288"/>
    <cellStyle name="一般 3 2 6" xfId="108"/>
    <cellStyle name="一般 3 3" xfId="77"/>
    <cellStyle name="一般 3 3 2" xfId="168"/>
    <cellStyle name="一般 3 3 3" xfId="213"/>
    <cellStyle name="一般 3 3 4" xfId="258"/>
    <cellStyle name="一般 3 3 5" xfId="303"/>
    <cellStyle name="一般 3 3 6" xfId="123"/>
    <cellStyle name="一般 3 4" xfId="138"/>
    <cellStyle name="一般 3 5" xfId="183"/>
    <cellStyle name="一般 3 6" xfId="228"/>
    <cellStyle name="一般 3 7" xfId="273"/>
    <cellStyle name="一般 3 8" xfId="93"/>
    <cellStyle name="一般 32" xfId="79"/>
    <cellStyle name="一般 4" xfId="43"/>
    <cellStyle name="一般 4 2" xfId="137"/>
    <cellStyle name="一般 4 3" xfId="182"/>
    <cellStyle name="一般 4 4" xfId="227"/>
    <cellStyle name="一般 4 5" xfId="272"/>
    <cellStyle name="一般 4 6" xfId="92"/>
    <cellStyle name="一般 5" xfId="49"/>
    <cellStyle name="一般 5 2" xfId="140"/>
    <cellStyle name="一般 5 3" xfId="185"/>
    <cellStyle name="一般 5 4" xfId="230"/>
    <cellStyle name="一般 5 5" xfId="275"/>
    <cellStyle name="一般 5 6" xfId="95"/>
    <cellStyle name="一般 6" xfId="64"/>
    <cellStyle name="一般 6 2" xfId="155"/>
    <cellStyle name="一般 6 3" xfId="200"/>
    <cellStyle name="一般 6 4" xfId="245"/>
    <cellStyle name="一般 6 5" xfId="290"/>
    <cellStyle name="一般 6 6" xfId="110"/>
    <cellStyle name="千分位 2" xfId="44"/>
    <cellStyle name="中等" xfId="8" builtinId="28" customBuiltin="1"/>
    <cellStyle name="合計" xfId="16" builtinId="25" customBuiltin="1"/>
    <cellStyle name="好" xfId="6" builtinId="26" customBuiltin="1"/>
    <cellStyle name="百分比" xfId="305" builtinId="5"/>
    <cellStyle name="百分比 2" xfId="42"/>
    <cellStyle name="百分比 2 2" xfId="46"/>
    <cellStyle name="計算方式" xfId="11" builtinId="22" customBuiltin="1"/>
    <cellStyle name="連結的儲存格" xfId="12" builtinId="24" customBuiltin="1"/>
    <cellStyle name="備註 2" xfId="48"/>
    <cellStyle name="備註 2 2" xfId="63"/>
    <cellStyle name="備註 2 2 2" xfId="154"/>
    <cellStyle name="備註 2 2 3" xfId="199"/>
    <cellStyle name="備註 2 2 4" xfId="244"/>
    <cellStyle name="備註 2 2 5" xfId="289"/>
    <cellStyle name="備註 2 2 6" xfId="109"/>
    <cellStyle name="備註 2 3" xfId="78"/>
    <cellStyle name="備註 2 3 2" xfId="169"/>
    <cellStyle name="備註 2 3 3" xfId="214"/>
    <cellStyle name="備註 2 3 4" xfId="259"/>
    <cellStyle name="備註 2 3 5" xfId="304"/>
    <cellStyle name="備註 2 3 6" xfId="124"/>
    <cellStyle name="備註 2 4" xfId="139"/>
    <cellStyle name="備註 2 5" xfId="184"/>
    <cellStyle name="備註 2 6" xfId="229"/>
    <cellStyle name="備註 2 7" xfId="274"/>
    <cellStyle name="備註 2 8" xfId="94"/>
    <cellStyle name="說明文字" xfId="15" builtinId="53" customBuiltin="1"/>
    <cellStyle name="輔色1" xfId="17" builtinId="29" customBuiltin="1"/>
    <cellStyle name="輔色2" xfId="21" builtinId="33" customBuiltin="1"/>
    <cellStyle name="輔色3" xfId="25" builtinId="37" customBuiltin="1"/>
    <cellStyle name="輔色4" xfId="29" builtinId="41" customBuiltin="1"/>
    <cellStyle name="輔色5" xfId="33" builtinId="45" customBuiltin="1"/>
    <cellStyle name="輔色6" xfId="37"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14">
    <dxf>
      <fill>
        <patternFill>
          <bgColor rgb="FFFFFF00"/>
        </patternFill>
      </fill>
    </dxf>
    <dxf>
      <fill>
        <patternFill>
          <bgColor indexed="26"/>
        </patternFill>
      </fill>
    </dxf>
    <dxf>
      <fill>
        <patternFill>
          <bgColor rgb="FFFF5B5B"/>
        </patternFill>
      </fill>
    </dxf>
    <dxf>
      <fill>
        <gradientFill>
          <stop position="0">
            <color rgb="FFFF0000"/>
          </stop>
          <stop position="0.5">
            <color rgb="FFFFC000"/>
          </stop>
          <stop position="1">
            <color rgb="FFFF0000"/>
          </stop>
        </gradientFill>
      </fill>
    </dxf>
    <dxf>
      <fill>
        <patternFill>
          <bgColor rgb="FF957FB3"/>
        </patternFill>
      </fill>
    </dxf>
    <dxf>
      <fill>
        <patternFill>
          <bgColor theme="3" tint="0.59996337778862885"/>
        </patternFill>
      </fill>
    </dxf>
    <dxf>
      <fill>
        <patternFill>
          <bgColor theme="6"/>
        </patternFill>
      </fill>
    </dxf>
    <dxf>
      <font>
        <color rgb="FFFF0000"/>
      </font>
    </dxf>
    <dxf>
      <font>
        <color rgb="FF0070C0"/>
      </font>
    </dxf>
    <dxf>
      <font>
        <color rgb="FF7030A0"/>
      </font>
    </dxf>
    <dxf>
      <font>
        <color rgb="FF00B050"/>
      </font>
    </dxf>
    <dxf>
      <font>
        <color theme="2" tint="-0.499984740745262"/>
      </font>
    </dxf>
    <dxf>
      <fill>
        <patternFill>
          <bgColor indexed="31"/>
        </patternFill>
      </fill>
    </dxf>
    <dxf>
      <fill>
        <patternFill>
          <bgColor indexed="26"/>
        </patternFill>
      </fill>
    </dxf>
  </dxfs>
  <tableStyles count="0" defaultTableStyle="TableStyleMedium2" defaultPivotStyle="PivotStyleMedium9"/>
  <colors>
    <mruColors>
      <color rgb="FFFFC0C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5</xdr:col>
      <xdr:colOff>1285875</xdr:colOff>
      <xdr:row>0</xdr:row>
      <xdr:rowOff>819150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
          <a:ext cx="718185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saperyanh/Downloads/FireBulls-J50302-9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saperyanh/Desktop/&#23433;&#23433;/W1/&#21488;&#28771;&#40657;&#29066;(9612)/961200-B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gular Symbol"/>
      <sheetName val="Pay Combo"/>
    </sheetNames>
    <sheetDataSet>
      <sheetData sheetId="0">
        <row r="13">
          <cell r="B13">
            <v>4</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Free Spins Description"/>
      <sheetName val="Free Spins Symbol"/>
      <sheetName val="Held Stacked Wild"/>
      <sheetName val="Transition Prob."/>
      <sheetName val="Help Menu"/>
    </sheetNames>
    <sheetDataSet>
      <sheetData sheetId="0"/>
      <sheetData sheetId="1"/>
      <sheetData sheetId="2">
        <row r="7">
          <cell r="AD7" t="str">
            <v>WW</v>
          </cell>
          <cell r="AE7">
            <v>1.2048192771084338E-2</v>
          </cell>
          <cell r="AF7">
            <v>6.25E-2</v>
          </cell>
          <cell r="AG7">
            <v>1.3157894736842105E-2</v>
          </cell>
          <cell r="AH7">
            <v>6.5217391304347824E-2</v>
          </cell>
          <cell r="AI7">
            <v>6.5789473684210523E-3</v>
          </cell>
        </row>
        <row r="8">
          <cell r="AD8" t="str">
            <v>--</v>
          </cell>
          <cell r="AE8">
            <v>0.98795180722891562</v>
          </cell>
          <cell r="AF8">
            <v>0.9375</v>
          </cell>
          <cell r="AG8">
            <v>0.98684210526315785</v>
          </cell>
          <cell r="AH8">
            <v>0.93478260869565222</v>
          </cell>
          <cell r="AI8">
            <v>0.99342105263157898</v>
          </cell>
        </row>
      </sheetData>
      <sheetData sheetId="3">
        <row r="36">
          <cell r="L36">
            <v>6.1022120518688027E-3</v>
          </cell>
        </row>
        <row r="75">
          <cell r="L75">
            <v>6.1022120518688027E-3</v>
          </cell>
        </row>
        <row r="114">
          <cell r="L114">
            <v>6.1022120518688027E-3</v>
          </cell>
        </row>
        <row r="153">
          <cell r="L153">
            <v>6.1022120518688027E-3</v>
          </cell>
        </row>
        <row r="192">
          <cell r="L192">
            <v>6.1022120518688027E-3</v>
          </cell>
        </row>
        <row r="231">
          <cell r="L231">
            <v>6.1022120518688027E-3</v>
          </cell>
        </row>
        <row r="270">
          <cell r="L270">
            <v>6.1022120518688027E-3</v>
          </cell>
        </row>
        <row r="309">
          <cell r="L309">
            <v>6.1022120518688027E-3</v>
          </cell>
        </row>
        <row r="348">
          <cell r="L348">
            <v>6.1022120518688027E-3</v>
          </cell>
        </row>
        <row r="387">
          <cell r="L387">
            <v>6.1022120518688027E-3</v>
          </cell>
        </row>
        <row r="426">
          <cell r="L426">
            <v>6.1022120518688027E-3</v>
          </cell>
        </row>
        <row r="465">
          <cell r="L465">
            <v>6.1022120518688027E-3</v>
          </cell>
        </row>
        <row r="504">
          <cell r="L504">
            <v>6.1022120518688027E-3</v>
          </cell>
        </row>
        <row r="543">
          <cell r="L543">
            <v>6.1022120518688027E-3</v>
          </cell>
        </row>
        <row r="582">
          <cell r="L582">
            <v>6.1022120518688027E-3</v>
          </cell>
        </row>
        <row r="621">
          <cell r="L621">
            <v>6.1022120518688027E-3</v>
          </cell>
        </row>
        <row r="660">
          <cell r="L660">
            <v>6.1022120518688027E-3</v>
          </cell>
        </row>
        <row r="699">
          <cell r="L699">
            <v>6.1022120518688027E-3</v>
          </cell>
        </row>
        <row r="738">
          <cell r="L738">
            <v>6.1022120518688027E-3</v>
          </cell>
        </row>
        <row r="777">
          <cell r="L777">
            <v>6.1022120518688027E-3</v>
          </cell>
        </row>
        <row r="816">
          <cell r="L816">
            <v>6.1022120518688027E-3</v>
          </cell>
        </row>
        <row r="855">
          <cell r="L855">
            <v>6.1022120518688027E-3</v>
          </cell>
        </row>
        <row r="894">
          <cell r="L894">
            <v>6.1022120518688027E-3</v>
          </cell>
        </row>
        <row r="933">
          <cell r="L933">
            <v>6.1022120518688027E-3</v>
          </cell>
        </row>
        <row r="972">
          <cell r="L972">
            <v>6.1022120518688027E-3</v>
          </cell>
        </row>
        <row r="1011">
          <cell r="L1011">
            <v>6.1022120518688027E-3</v>
          </cell>
        </row>
        <row r="1050">
          <cell r="L1050">
            <v>6.1022120518688027E-3</v>
          </cell>
        </row>
        <row r="1089">
          <cell r="L1089">
            <v>6.1022120518688027E-3</v>
          </cell>
        </row>
        <row r="1128">
          <cell r="L1128">
            <v>6.1022120518688027E-3</v>
          </cell>
        </row>
        <row r="1167">
          <cell r="L1167">
            <v>6.1022120518688027E-3</v>
          </cell>
        </row>
        <row r="1206">
          <cell r="L1206">
            <v>6.1022120518688027E-3</v>
          </cell>
        </row>
        <row r="1244">
          <cell r="L1244">
            <v>0</v>
          </cell>
        </row>
      </sheetData>
      <sheetData sheetId="4"/>
      <sheetData sheetId="5"/>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10" zoomScale="80" zoomScaleNormal="80" workbookViewId="0">
      <selection activeCell="H14" sqref="H14"/>
    </sheetView>
  </sheetViews>
  <sheetFormatPr defaultColWidth="8.88671875" defaultRowHeight="13.8" x14ac:dyDescent="0.3"/>
  <cols>
    <col min="1" max="1" width="25.77734375" style="1" customWidth="1"/>
    <col min="2" max="6" width="13.77734375" style="1" customWidth="1"/>
    <col min="7" max="7" width="9.109375" style="1" customWidth="1"/>
    <col min="8" max="256" width="8.88671875" style="1"/>
    <col min="257" max="257" width="10.33203125" style="1" customWidth="1"/>
    <col min="258" max="258" width="13.44140625" style="1" customWidth="1"/>
    <col min="259" max="259" width="17.33203125" style="1" customWidth="1"/>
    <col min="260" max="260" width="18.44140625" style="1" customWidth="1"/>
    <col min="261" max="261" width="17.6640625" style="1" customWidth="1"/>
    <col min="262" max="262" width="21.6640625" style="1" bestFit="1" customWidth="1"/>
    <col min="263" max="263" width="9.109375" style="1" customWidth="1"/>
    <col min="264" max="512" width="8.88671875" style="1"/>
    <col min="513" max="513" width="10.33203125" style="1" customWidth="1"/>
    <col min="514" max="514" width="13.44140625" style="1" customWidth="1"/>
    <col min="515" max="515" width="17.33203125" style="1" customWidth="1"/>
    <col min="516" max="516" width="18.44140625" style="1" customWidth="1"/>
    <col min="517" max="517" width="17.6640625" style="1" customWidth="1"/>
    <col min="518" max="518" width="21.6640625" style="1" bestFit="1" customWidth="1"/>
    <col min="519" max="519" width="9.109375" style="1" customWidth="1"/>
    <col min="520" max="768" width="8.88671875" style="1"/>
    <col min="769" max="769" width="10.33203125" style="1" customWidth="1"/>
    <col min="770" max="770" width="13.44140625" style="1" customWidth="1"/>
    <col min="771" max="771" width="17.33203125" style="1" customWidth="1"/>
    <col min="772" max="772" width="18.44140625" style="1" customWidth="1"/>
    <col min="773" max="773" width="17.6640625" style="1" customWidth="1"/>
    <col min="774" max="774" width="21.6640625" style="1" bestFit="1" customWidth="1"/>
    <col min="775" max="775" width="9.109375" style="1" customWidth="1"/>
    <col min="776" max="1024" width="8.88671875" style="1"/>
    <col min="1025" max="1025" width="10.33203125" style="1" customWidth="1"/>
    <col min="1026" max="1026" width="13.44140625" style="1" customWidth="1"/>
    <col min="1027" max="1027" width="17.33203125" style="1" customWidth="1"/>
    <col min="1028" max="1028" width="18.44140625" style="1" customWidth="1"/>
    <col min="1029" max="1029" width="17.6640625" style="1" customWidth="1"/>
    <col min="1030" max="1030" width="21.6640625" style="1" bestFit="1" customWidth="1"/>
    <col min="1031" max="1031" width="9.109375" style="1" customWidth="1"/>
    <col min="1032" max="1280" width="8.88671875" style="1"/>
    <col min="1281" max="1281" width="10.33203125" style="1" customWidth="1"/>
    <col min="1282" max="1282" width="13.44140625" style="1" customWidth="1"/>
    <col min="1283" max="1283" width="17.33203125" style="1" customWidth="1"/>
    <col min="1284" max="1284" width="18.44140625" style="1" customWidth="1"/>
    <col min="1285" max="1285" width="17.6640625" style="1" customWidth="1"/>
    <col min="1286" max="1286" width="21.6640625" style="1" bestFit="1" customWidth="1"/>
    <col min="1287" max="1287" width="9.109375" style="1" customWidth="1"/>
    <col min="1288" max="1536" width="8.88671875" style="1"/>
    <col min="1537" max="1537" width="10.33203125" style="1" customWidth="1"/>
    <col min="1538" max="1538" width="13.44140625" style="1" customWidth="1"/>
    <col min="1539" max="1539" width="17.33203125" style="1" customWidth="1"/>
    <col min="1540" max="1540" width="18.44140625" style="1" customWidth="1"/>
    <col min="1541" max="1541" width="17.6640625" style="1" customWidth="1"/>
    <col min="1542" max="1542" width="21.6640625" style="1" bestFit="1" customWidth="1"/>
    <col min="1543" max="1543" width="9.109375" style="1" customWidth="1"/>
    <col min="1544" max="1792" width="8.88671875" style="1"/>
    <col min="1793" max="1793" width="10.33203125" style="1" customWidth="1"/>
    <col min="1794" max="1794" width="13.44140625" style="1" customWidth="1"/>
    <col min="1795" max="1795" width="17.33203125" style="1" customWidth="1"/>
    <col min="1796" max="1796" width="18.44140625" style="1" customWidth="1"/>
    <col min="1797" max="1797" width="17.6640625" style="1" customWidth="1"/>
    <col min="1798" max="1798" width="21.6640625" style="1" bestFit="1" customWidth="1"/>
    <col min="1799" max="1799" width="9.109375" style="1" customWidth="1"/>
    <col min="1800" max="2048" width="8.88671875" style="1"/>
    <col min="2049" max="2049" width="10.33203125" style="1" customWidth="1"/>
    <col min="2050" max="2050" width="13.44140625" style="1" customWidth="1"/>
    <col min="2051" max="2051" width="17.33203125" style="1" customWidth="1"/>
    <col min="2052" max="2052" width="18.44140625" style="1" customWidth="1"/>
    <col min="2053" max="2053" width="17.6640625" style="1" customWidth="1"/>
    <col min="2054" max="2054" width="21.6640625" style="1" bestFit="1" customWidth="1"/>
    <col min="2055" max="2055" width="9.109375" style="1" customWidth="1"/>
    <col min="2056" max="2304" width="8.88671875" style="1"/>
    <col min="2305" max="2305" width="10.33203125" style="1" customWidth="1"/>
    <col min="2306" max="2306" width="13.44140625" style="1" customWidth="1"/>
    <col min="2307" max="2307" width="17.33203125" style="1" customWidth="1"/>
    <col min="2308" max="2308" width="18.44140625" style="1" customWidth="1"/>
    <col min="2309" max="2309" width="17.6640625" style="1" customWidth="1"/>
    <col min="2310" max="2310" width="21.6640625" style="1" bestFit="1" customWidth="1"/>
    <col min="2311" max="2311" width="9.109375" style="1" customWidth="1"/>
    <col min="2312" max="2560" width="8.88671875" style="1"/>
    <col min="2561" max="2561" width="10.33203125" style="1" customWidth="1"/>
    <col min="2562" max="2562" width="13.44140625" style="1" customWidth="1"/>
    <col min="2563" max="2563" width="17.33203125" style="1" customWidth="1"/>
    <col min="2564" max="2564" width="18.44140625" style="1" customWidth="1"/>
    <col min="2565" max="2565" width="17.6640625" style="1" customWidth="1"/>
    <col min="2566" max="2566" width="21.6640625" style="1" bestFit="1" customWidth="1"/>
    <col min="2567" max="2567" width="9.109375" style="1" customWidth="1"/>
    <col min="2568" max="2816" width="8.88671875" style="1"/>
    <col min="2817" max="2817" width="10.33203125" style="1" customWidth="1"/>
    <col min="2818" max="2818" width="13.44140625" style="1" customWidth="1"/>
    <col min="2819" max="2819" width="17.33203125" style="1" customWidth="1"/>
    <col min="2820" max="2820" width="18.44140625" style="1" customWidth="1"/>
    <col min="2821" max="2821" width="17.6640625" style="1" customWidth="1"/>
    <col min="2822" max="2822" width="21.6640625" style="1" bestFit="1" customWidth="1"/>
    <col min="2823" max="2823" width="9.109375" style="1" customWidth="1"/>
    <col min="2824" max="3072" width="8.88671875" style="1"/>
    <col min="3073" max="3073" width="10.33203125" style="1" customWidth="1"/>
    <col min="3074" max="3074" width="13.44140625" style="1" customWidth="1"/>
    <col min="3075" max="3075" width="17.33203125" style="1" customWidth="1"/>
    <col min="3076" max="3076" width="18.44140625" style="1" customWidth="1"/>
    <col min="3077" max="3077" width="17.6640625" style="1" customWidth="1"/>
    <col min="3078" max="3078" width="21.6640625" style="1" bestFit="1" customWidth="1"/>
    <col min="3079" max="3079" width="9.109375" style="1" customWidth="1"/>
    <col min="3080" max="3328" width="8.88671875" style="1"/>
    <col min="3329" max="3329" width="10.33203125" style="1" customWidth="1"/>
    <col min="3330" max="3330" width="13.44140625" style="1" customWidth="1"/>
    <col min="3331" max="3331" width="17.33203125" style="1" customWidth="1"/>
    <col min="3332" max="3332" width="18.44140625" style="1" customWidth="1"/>
    <col min="3333" max="3333" width="17.6640625" style="1" customWidth="1"/>
    <col min="3334" max="3334" width="21.6640625" style="1" bestFit="1" customWidth="1"/>
    <col min="3335" max="3335" width="9.109375" style="1" customWidth="1"/>
    <col min="3336" max="3584" width="8.88671875" style="1"/>
    <col min="3585" max="3585" width="10.33203125" style="1" customWidth="1"/>
    <col min="3586" max="3586" width="13.44140625" style="1" customWidth="1"/>
    <col min="3587" max="3587" width="17.33203125" style="1" customWidth="1"/>
    <col min="3588" max="3588" width="18.44140625" style="1" customWidth="1"/>
    <col min="3589" max="3589" width="17.6640625" style="1" customWidth="1"/>
    <col min="3590" max="3590" width="21.6640625" style="1" bestFit="1" customWidth="1"/>
    <col min="3591" max="3591" width="9.109375" style="1" customWidth="1"/>
    <col min="3592" max="3840" width="8.88671875" style="1"/>
    <col min="3841" max="3841" width="10.33203125" style="1" customWidth="1"/>
    <col min="3842" max="3842" width="13.44140625" style="1" customWidth="1"/>
    <col min="3843" max="3843" width="17.33203125" style="1" customWidth="1"/>
    <col min="3844" max="3844" width="18.44140625" style="1" customWidth="1"/>
    <col min="3845" max="3845" width="17.6640625" style="1" customWidth="1"/>
    <col min="3846" max="3846" width="21.6640625" style="1" bestFit="1" customWidth="1"/>
    <col min="3847" max="3847" width="9.109375" style="1" customWidth="1"/>
    <col min="3848" max="4096" width="8.88671875" style="1"/>
    <col min="4097" max="4097" width="10.33203125" style="1" customWidth="1"/>
    <col min="4098" max="4098" width="13.44140625" style="1" customWidth="1"/>
    <col min="4099" max="4099" width="17.33203125" style="1" customWidth="1"/>
    <col min="4100" max="4100" width="18.44140625" style="1" customWidth="1"/>
    <col min="4101" max="4101" width="17.6640625" style="1" customWidth="1"/>
    <col min="4102" max="4102" width="21.6640625" style="1" bestFit="1" customWidth="1"/>
    <col min="4103" max="4103" width="9.109375" style="1" customWidth="1"/>
    <col min="4104" max="4352" width="8.88671875" style="1"/>
    <col min="4353" max="4353" width="10.33203125" style="1" customWidth="1"/>
    <col min="4354" max="4354" width="13.44140625" style="1" customWidth="1"/>
    <col min="4355" max="4355" width="17.33203125" style="1" customWidth="1"/>
    <col min="4356" max="4356" width="18.44140625" style="1" customWidth="1"/>
    <col min="4357" max="4357" width="17.6640625" style="1" customWidth="1"/>
    <col min="4358" max="4358" width="21.6640625" style="1" bestFit="1" customWidth="1"/>
    <col min="4359" max="4359" width="9.109375" style="1" customWidth="1"/>
    <col min="4360" max="4608" width="8.88671875" style="1"/>
    <col min="4609" max="4609" width="10.33203125" style="1" customWidth="1"/>
    <col min="4610" max="4610" width="13.44140625" style="1" customWidth="1"/>
    <col min="4611" max="4611" width="17.33203125" style="1" customWidth="1"/>
    <col min="4612" max="4612" width="18.44140625" style="1" customWidth="1"/>
    <col min="4613" max="4613" width="17.6640625" style="1" customWidth="1"/>
    <col min="4614" max="4614" width="21.6640625" style="1" bestFit="1" customWidth="1"/>
    <col min="4615" max="4615" width="9.109375" style="1" customWidth="1"/>
    <col min="4616" max="4864" width="8.88671875" style="1"/>
    <col min="4865" max="4865" width="10.33203125" style="1" customWidth="1"/>
    <col min="4866" max="4866" width="13.44140625" style="1" customWidth="1"/>
    <col min="4867" max="4867" width="17.33203125" style="1" customWidth="1"/>
    <col min="4868" max="4868" width="18.44140625" style="1" customWidth="1"/>
    <col min="4869" max="4869" width="17.6640625" style="1" customWidth="1"/>
    <col min="4870" max="4870" width="21.6640625" style="1" bestFit="1" customWidth="1"/>
    <col min="4871" max="4871" width="9.109375" style="1" customWidth="1"/>
    <col min="4872" max="5120" width="8.88671875" style="1"/>
    <col min="5121" max="5121" width="10.33203125" style="1" customWidth="1"/>
    <col min="5122" max="5122" width="13.44140625" style="1" customWidth="1"/>
    <col min="5123" max="5123" width="17.33203125" style="1" customWidth="1"/>
    <col min="5124" max="5124" width="18.44140625" style="1" customWidth="1"/>
    <col min="5125" max="5125" width="17.6640625" style="1" customWidth="1"/>
    <col min="5126" max="5126" width="21.6640625" style="1" bestFit="1" customWidth="1"/>
    <col min="5127" max="5127" width="9.109375" style="1" customWidth="1"/>
    <col min="5128" max="5376" width="8.88671875" style="1"/>
    <col min="5377" max="5377" width="10.33203125" style="1" customWidth="1"/>
    <col min="5378" max="5378" width="13.44140625" style="1" customWidth="1"/>
    <col min="5379" max="5379" width="17.33203125" style="1" customWidth="1"/>
    <col min="5380" max="5380" width="18.44140625" style="1" customWidth="1"/>
    <col min="5381" max="5381" width="17.6640625" style="1" customWidth="1"/>
    <col min="5382" max="5382" width="21.6640625" style="1" bestFit="1" customWidth="1"/>
    <col min="5383" max="5383" width="9.109375" style="1" customWidth="1"/>
    <col min="5384" max="5632" width="8.88671875" style="1"/>
    <col min="5633" max="5633" width="10.33203125" style="1" customWidth="1"/>
    <col min="5634" max="5634" width="13.44140625" style="1" customWidth="1"/>
    <col min="5635" max="5635" width="17.33203125" style="1" customWidth="1"/>
    <col min="5636" max="5636" width="18.44140625" style="1" customWidth="1"/>
    <col min="5637" max="5637" width="17.6640625" style="1" customWidth="1"/>
    <col min="5638" max="5638" width="21.6640625" style="1" bestFit="1" customWidth="1"/>
    <col min="5639" max="5639" width="9.109375" style="1" customWidth="1"/>
    <col min="5640" max="5888" width="8.88671875" style="1"/>
    <col min="5889" max="5889" width="10.33203125" style="1" customWidth="1"/>
    <col min="5890" max="5890" width="13.44140625" style="1" customWidth="1"/>
    <col min="5891" max="5891" width="17.33203125" style="1" customWidth="1"/>
    <col min="5892" max="5892" width="18.44140625" style="1" customWidth="1"/>
    <col min="5893" max="5893" width="17.6640625" style="1" customWidth="1"/>
    <col min="5894" max="5894" width="21.6640625" style="1" bestFit="1" customWidth="1"/>
    <col min="5895" max="5895" width="9.109375" style="1" customWidth="1"/>
    <col min="5896" max="6144" width="8.88671875" style="1"/>
    <col min="6145" max="6145" width="10.33203125" style="1" customWidth="1"/>
    <col min="6146" max="6146" width="13.44140625" style="1" customWidth="1"/>
    <col min="6147" max="6147" width="17.33203125" style="1" customWidth="1"/>
    <col min="6148" max="6148" width="18.44140625" style="1" customWidth="1"/>
    <col min="6149" max="6149" width="17.6640625" style="1" customWidth="1"/>
    <col min="6150" max="6150" width="21.6640625" style="1" bestFit="1" customWidth="1"/>
    <col min="6151" max="6151" width="9.109375" style="1" customWidth="1"/>
    <col min="6152" max="6400" width="8.88671875" style="1"/>
    <col min="6401" max="6401" width="10.33203125" style="1" customWidth="1"/>
    <col min="6402" max="6402" width="13.44140625" style="1" customWidth="1"/>
    <col min="6403" max="6403" width="17.33203125" style="1" customWidth="1"/>
    <col min="6404" max="6404" width="18.44140625" style="1" customWidth="1"/>
    <col min="6405" max="6405" width="17.6640625" style="1" customWidth="1"/>
    <col min="6406" max="6406" width="21.6640625" style="1" bestFit="1" customWidth="1"/>
    <col min="6407" max="6407" width="9.109375" style="1" customWidth="1"/>
    <col min="6408" max="6656" width="8.88671875" style="1"/>
    <col min="6657" max="6657" width="10.33203125" style="1" customWidth="1"/>
    <col min="6658" max="6658" width="13.44140625" style="1" customWidth="1"/>
    <col min="6659" max="6659" width="17.33203125" style="1" customWidth="1"/>
    <col min="6660" max="6660" width="18.44140625" style="1" customWidth="1"/>
    <col min="6661" max="6661" width="17.6640625" style="1" customWidth="1"/>
    <col min="6662" max="6662" width="21.6640625" style="1" bestFit="1" customWidth="1"/>
    <col min="6663" max="6663" width="9.109375" style="1" customWidth="1"/>
    <col min="6664" max="6912" width="8.88671875" style="1"/>
    <col min="6913" max="6913" width="10.33203125" style="1" customWidth="1"/>
    <col min="6914" max="6914" width="13.44140625" style="1" customWidth="1"/>
    <col min="6915" max="6915" width="17.33203125" style="1" customWidth="1"/>
    <col min="6916" max="6916" width="18.44140625" style="1" customWidth="1"/>
    <col min="6917" max="6917" width="17.6640625" style="1" customWidth="1"/>
    <col min="6918" max="6918" width="21.6640625" style="1" bestFit="1" customWidth="1"/>
    <col min="6919" max="6919" width="9.109375" style="1" customWidth="1"/>
    <col min="6920" max="7168" width="8.88671875" style="1"/>
    <col min="7169" max="7169" width="10.33203125" style="1" customWidth="1"/>
    <col min="7170" max="7170" width="13.44140625" style="1" customWidth="1"/>
    <col min="7171" max="7171" width="17.33203125" style="1" customWidth="1"/>
    <col min="7172" max="7172" width="18.44140625" style="1" customWidth="1"/>
    <col min="7173" max="7173" width="17.6640625" style="1" customWidth="1"/>
    <col min="7174" max="7174" width="21.6640625" style="1" bestFit="1" customWidth="1"/>
    <col min="7175" max="7175" width="9.109375" style="1" customWidth="1"/>
    <col min="7176" max="7424" width="8.88671875" style="1"/>
    <col min="7425" max="7425" width="10.33203125" style="1" customWidth="1"/>
    <col min="7426" max="7426" width="13.44140625" style="1" customWidth="1"/>
    <col min="7427" max="7427" width="17.33203125" style="1" customWidth="1"/>
    <col min="7428" max="7428" width="18.44140625" style="1" customWidth="1"/>
    <col min="7429" max="7429" width="17.6640625" style="1" customWidth="1"/>
    <col min="7430" max="7430" width="21.6640625" style="1" bestFit="1" customWidth="1"/>
    <col min="7431" max="7431" width="9.109375" style="1" customWidth="1"/>
    <col min="7432" max="7680" width="8.88671875" style="1"/>
    <col min="7681" max="7681" width="10.33203125" style="1" customWidth="1"/>
    <col min="7682" max="7682" width="13.44140625" style="1" customWidth="1"/>
    <col min="7683" max="7683" width="17.33203125" style="1" customWidth="1"/>
    <col min="7684" max="7684" width="18.44140625" style="1" customWidth="1"/>
    <col min="7685" max="7685" width="17.6640625" style="1" customWidth="1"/>
    <col min="7686" max="7686" width="21.6640625" style="1" bestFit="1" customWidth="1"/>
    <col min="7687" max="7687" width="9.109375" style="1" customWidth="1"/>
    <col min="7688" max="7936" width="8.88671875" style="1"/>
    <col min="7937" max="7937" width="10.33203125" style="1" customWidth="1"/>
    <col min="7938" max="7938" width="13.44140625" style="1" customWidth="1"/>
    <col min="7939" max="7939" width="17.33203125" style="1" customWidth="1"/>
    <col min="7940" max="7940" width="18.44140625" style="1" customWidth="1"/>
    <col min="7941" max="7941" width="17.6640625" style="1" customWidth="1"/>
    <col min="7942" max="7942" width="21.6640625" style="1" bestFit="1" customWidth="1"/>
    <col min="7943" max="7943" width="9.109375" style="1" customWidth="1"/>
    <col min="7944" max="8192" width="8.88671875" style="1"/>
    <col min="8193" max="8193" width="10.33203125" style="1" customWidth="1"/>
    <col min="8194" max="8194" width="13.44140625" style="1" customWidth="1"/>
    <col min="8195" max="8195" width="17.33203125" style="1" customWidth="1"/>
    <col min="8196" max="8196" width="18.44140625" style="1" customWidth="1"/>
    <col min="8197" max="8197" width="17.6640625" style="1" customWidth="1"/>
    <col min="8198" max="8198" width="21.6640625" style="1" bestFit="1" customWidth="1"/>
    <col min="8199" max="8199" width="9.109375" style="1" customWidth="1"/>
    <col min="8200" max="8448" width="8.88671875" style="1"/>
    <col min="8449" max="8449" width="10.33203125" style="1" customWidth="1"/>
    <col min="8450" max="8450" width="13.44140625" style="1" customWidth="1"/>
    <col min="8451" max="8451" width="17.33203125" style="1" customWidth="1"/>
    <col min="8452" max="8452" width="18.44140625" style="1" customWidth="1"/>
    <col min="8453" max="8453" width="17.6640625" style="1" customWidth="1"/>
    <col min="8454" max="8454" width="21.6640625" style="1" bestFit="1" customWidth="1"/>
    <col min="8455" max="8455" width="9.109375" style="1" customWidth="1"/>
    <col min="8456" max="8704" width="8.88671875" style="1"/>
    <col min="8705" max="8705" width="10.33203125" style="1" customWidth="1"/>
    <col min="8706" max="8706" width="13.44140625" style="1" customWidth="1"/>
    <col min="8707" max="8707" width="17.33203125" style="1" customWidth="1"/>
    <col min="8708" max="8708" width="18.44140625" style="1" customWidth="1"/>
    <col min="8709" max="8709" width="17.6640625" style="1" customWidth="1"/>
    <col min="8710" max="8710" width="21.6640625" style="1" bestFit="1" customWidth="1"/>
    <col min="8711" max="8711" width="9.109375" style="1" customWidth="1"/>
    <col min="8712" max="8960" width="8.88671875" style="1"/>
    <col min="8961" max="8961" width="10.33203125" style="1" customWidth="1"/>
    <col min="8962" max="8962" width="13.44140625" style="1" customWidth="1"/>
    <col min="8963" max="8963" width="17.33203125" style="1" customWidth="1"/>
    <col min="8964" max="8964" width="18.44140625" style="1" customWidth="1"/>
    <col min="8965" max="8965" width="17.6640625" style="1" customWidth="1"/>
    <col min="8966" max="8966" width="21.6640625" style="1" bestFit="1" customWidth="1"/>
    <col min="8967" max="8967" width="9.109375" style="1" customWidth="1"/>
    <col min="8968" max="9216" width="8.88671875" style="1"/>
    <col min="9217" max="9217" width="10.33203125" style="1" customWidth="1"/>
    <col min="9218" max="9218" width="13.44140625" style="1" customWidth="1"/>
    <col min="9219" max="9219" width="17.33203125" style="1" customWidth="1"/>
    <col min="9220" max="9220" width="18.44140625" style="1" customWidth="1"/>
    <col min="9221" max="9221" width="17.6640625" style="1" customWidth="1"/>
    <col min="9222" max="9222" width="21.6640625" style="1" bestFit="1" customWidth="1"/>
    <col min="9223" max="9223" width="9.109375" style="1" customWidth="1"/>
    <col min="9224" max="9472" width="8.88671875" style="1"/>
    <col min="9473" max="9473" width="10.33203125" style="1" customWidth="1"/>
    <col min="9474" max="9474" width="13.44140625" style="1" customWidth="1"/>
    <col min="9475" max="9475" width="17.33203125" style="1" customWidth="1"/>
    <col min="9476" max="9476" width="18.44140625" style="1" customWidth="1"/>
    <col min="9477" max="9477" width="17.6640625" style="1" customWidth="1"/>
    <col min="9478" max="9478" width="21.6640625" style="1" bestFit="1" customWidth="1"/>
    <col min="9479" max="9479" width="9.109375" style="1" customWidth="1"/>
    <col min="9480" max="9728" width="8.88671875" style="1"/>
    <col min="9729" max="9729" width="10.33203125" style="1" customWidth="1"/>
    <col min="9730" max="9730" width="13.44140625" style="1" customWidth="1"/>
    <col min="9731" max="9731" width="17.33203125" style="1" customWidth="1"/>
    <col min="9732" max="9732" width="18.44140625" style="1" customWidth="1"/>
    <col min="9733" max="9733" width="17.6640625" style="1" customWidth="1"/>
    <col min="9734" max="9734" width="21.6640625" style="1" bestFit="1" customWidth="1"/>
    <col min="9735" max="9735" width="9.109375" style="1" customWidth="1"/>
    <col min="9736" max="9984" width="8.88671875" style="1"/>
    <col min="9985" max="9985" width="10.33203125" style="1" customWidth="1"/>
    <col min="9986" max="9986" width="13.44140625" style="1" customWidth="1"/>
    <col min="9987" max="9987" width="17.33203125" style="1" customWidth="1"/>
    <col min="9988" max="9988" width="18.44140625" style="1" customWidth="1"/>
    <col min="9989" max="9989" width="17.6640625" style="1" customWidth="1"/>
    <col min="9990" max="9990" width="21.6640625" style="1" bestFit="1" customWidth="1"/>
    <col min="9991" max="9991" width="9.109375" style="1" customWidth="1"/>
    <col min="9992" max="10240" width="8.88671875" style="1"/>
    <col min="10241" max="10241" width="10.33203125" style="1" customWidth="1"/>
    <col min="10242" max="10242" width="13.44140625" style="1" customWidth="1"/>
    <col min="10243" max="10243" width="17.33203125" style="1" customWidth="1"/>
    <col min="10244" max="10244" width="18.44140625" style="1" customWidth="1"/>
    <col min="10245" max="10245" width="17.6640625" style="1" customWidth="1"/>
    <col min="10246" max="10246" width="21.6640625" style="1" bestFit="1" customWidth="1"/>
    <col min="10247" max="10247" width="9.109375" style="1" customWidth="1"/>
    <col min="10248" max="10496" width="8.88671875" style="1"/>
    <col min="10497" max="10497" width="10.33203125" style="1" customWidth="1"/>
    <col min="10498" max="10498" width="13.44140625" style="1" customWidth="1"/>
    <col min="10499" max="10499" width="17.33203125" style="1" customWidth="1"/>
    <col min="10500" max="10500" width="18.44140625" style="1" customWidth="1"/>
    <col min="10501" max="10501" width="17.6640625" style="1" customWidth="1"/>
    <col min="10502" max="10502" width="21.6640625" style="1" bestFit="1" customWidth="1"/>
    <col min="10503" max="10503" width="9.109375" style="1" customWidth="1"/>
    <col min="10504" max="10752" width="8.88671875" style="1"/>
    <col min="10753" max="10753" width="10.33203125" style="1" customWidth="1"/>
    <col min="10754" max="10754" width="13.44140625" style="1" customWidth="1"/>
    <col min="10755" max="10755" width="17.33203125" style="1" customWidth="1"/>
    <col min="10756" max="10756" width="18.44140625" style="1" customWidth="1"/>
    <col min="10757" max="10757" width="17.6640625" style="1" customWidth="1"/>
    <col min="10758" max="10758" width="21.6640625" style="1" bestFit="1" customWidth="1"/>
    <col min="10759" max="10759" width="9.109375" style="1" customWidth="1"/>
    <col min="10760" max="11008" width="8.88671875" style="1"/>
    <col min="11009" max="11009" width="10.33203125" style="1" customWidth="1"/>
    <col min="11010" max="11010" width="13.44140625" style="1" customWidth="1"/>
    <col min="11011" max="11011" width="17.33203125" style="1" customWidth="1"/>
    <col min="11012" max="11012" width="18.44140625" style="1" customWidth="1"/>
    <col min="11013" max="11013" width="17.6640625" style="1" customWidth="1"/>
    <col min="11014" max="11014" width="21.6640625" style="1" bestFit="1" customWidth="1"/>
    <col min="11015" max="11015" width="9.109375" style="1" customWidth="1"/>
    <col min="11016" max="11264" width="8.88671875" style="1"/>
    <col min="11265" max="11265" width="10.33203125" style="1" customWidth="1"/>
    <col min="11266" max="11266" width="13.44140625" style="1" customWidth="1"/>
    <col min="11267" max="11267" width="17.33203125" style="1" customWidth="1"/>
    <col min="11268" max="11268" width="18.44140625" style="1" customWidth="1"/>
    <col min="11269" max="11269" width="17.6640625" style="1" customWidth="1"/>
    <col min="11270" max="11270" width="21.6640625" style="1" bestFit="1" customWidth="1"/>
    <col min="11271" max="11271" width="9.109375" style="1" customWidth="1"/>
    <col min="11272" max="11520" width="8.88671875" style="1"/>
    <col min="11521" max="11521" width="10.33203125" style="1" customWidth="1"/>
    <col min="11522" max="11522" width="13.44140625" style="1" customWidth="1"/>
    <col min="11523" max="11523" width="17.33203125" style="1" customWidth="1"/>
    <col min="11524" max="11524" width="18.44140625" style="1" customWidth="1"/>
    <col min="11525" max="11525" width="17.6640625" style="1" customWidth="1"/>
    <col min="11526" max="11526" width="21.6640625" style="1" bestFit="1" customWidth="1"/>
    <col min="11527" max="11527" width="9.109375" style="1" customWidth="1"/>
    <col min="11528" max="11776" width="8.88671875" style="1"/>
    <col min="11777" max="11777" width="10.33203125" style="1" customWidth="1"/>
    <col min="11778" max="11778" width="13.44140625" style="1" customWidth="1"/>
    <col min="11779" max="11779" width="17.33203125" style="1" customWidth="1"/>
    <col min="11780" max="11780" width="18.44140625" style="1" customWidth="1"/>
    <col min="11781" max="11781" width="17.6640625" style="1" customWidth="1"/>
    <col min="11782" max="11782" width="21.6640625" style="1" bestFit="1" customWidth="1"/>
    <col min="11783" max="11783" width="9.109375" style="1" customWidth="1"/>
    <col min="11784" max="12032" width="8.88671875" style="1"/>
    <col min="12033" max="12033" width="10.33203125" style="1" customWidth="1"/>
    <col min="12034" max="12034" width="13.44140625" style="1" customWidth="1"/>
    <col min="12035" max="12035" width="17.33203125" style="1" customWidth="1"/>
    <col min="12036" max="12036" width="18.44140625" style="1" customWidth="1"/>
    <col min="12037" max="12037" width="17.6640625" style="1" customWidth="1"/>
    <col min="12038" max="12038" width="21.6640625" style="1" bestFit="1" customWidth="1"/>
    <col min="12039" max="12039" width="9.109375" style="1" customWidth="1"/>
    <col min="12040" max="12288" width="8.88671875" style="1"/>
    <col min="12289" max="12289" width="10.33203125" style="1" customWidth="1"/>
    <col min="12290" max="12290" width="13.44140625" style="1" customWidth="1"/>
    <col min="12291" max="12291" width="17.33203125" style="1" customWidth="1"/>
    <col min="12292" max="12292" width="18.44140625" style="1" customWidth="1"/>
    <col min="12293" max="12293" width="17.6640625" style="1" customWidth="1"/>
    <col min="12294" max="12294" width="21.6640625" style="1" bestFit="1" customWidth="1"/>
    <col min="12295" max="12295" width="9.109375" style="1" customWidth="1"/>
    <col min="12296" max="12544" width="8.88671875" style="1"/>
    <col min="12545" max="12545" width="10.33203125" style="1" customWidth="1"/>
    <col min="12546" max="12546" width="13.44140625" style="1" customWidth="1"/>
    <col min="12547" max="12547" width="17.33203125" style="1" customWidth="1"/>
    <col min="12548" max="12548" width="18.44140625" style="1" customWidth="1"/>
    <col min="12549" max="12549" width="17.6640625" style="1" customWidth="1"/>
    <col min="12550" max="12550" width="21.6640625" style="1" bestFit="1" customWidth="1"/>
    <col min="12551" max="12551" width="9.109375" style="1" customWidth="1"/>
    <col min="12552" max="12800" width="8.88671875" style="1"/>
    <col min="12801" max="12801" width="10.33203125" style="1" customWidth="1"/>
    <col min="12802" max="12802" width="13.44140625" style="1" customWidth="1"/>
    <col min="12803" max="12803" width="17.33203125" style="1" customWidth="1"/>
    <col min="12804" max="12804" width="18.44140625" style="1" customWidth="1"/>
    <col min="12805" max="12805" width="17.6640625" style="1" customWidth="1"/>
    <col min="12806" max="12806" width="21.6640625" style="1" bestFit="1" customWidth="1"/>
    <col min="12807" max="12807" width="9.109375" style="1" customWidth="1"/>
    <col min="12808" max="13056" width="8.88671875" style="1"/>
    <col min="13057" max="13057" width="10.33203125" style="1" customWidth="1"/>
    <col min="13058" max="13058" width="13.44140625" style="1" customWidth="1"/>
    <col min="13059" max="13059" width="17.33203125" style="1" customWidth="1"/>
    <col min="13060" max="13060" width="18.44140625" style="1" customWidth="1"/>
    <col min="13061" max="13061" width="17.6640625" style="1" customWidth="1"/>
    <col min="13062" max="13062" width="21.6640625" style="1" bestFit="1" customWidth="1"/>
    <col min="13063" max="13063" width="9.109375" style="1" customWidth="1"/>
    <col min="13064" max="13312" width="8.88671875" style="1"/>
    <col min="13313" max="13313" width="10.33203125" style="1" customWidth="1"/>
    <col min="13314" max="13314" width="13.44140625" style="1" customWidth="1"/>
    <col min="13315" max="13315" width="17.33203125" style="1" customWidth="1"/>
    <col min="13316" max="13316" width="18.44140625" style="1" customWidth="1"/>
    <col min="13317" max="13317" width="17.6640625" style="1" customWidth="1"/>
    <col min="13318" max="13318" width="21.6640625" style="1" bestFit="1" customWidth="1"/>
    <col min="13319" max="13319" width="9.109375" style="1" customWidth="1"/>
    <col min="13320" max="13568" width="8.88671875" style="1"/>
    <col min="13569" max="13569" width="10.33203125" style="1" customWidth="1"/>
    <col min="13570" max="13570" width="13.44140625" style="1" customWidth="1"/>
    <col min="13571" max="13571" width="17.33203125" style="1" customWidth="1"/>
    <col min="13572" max="13572" width="18.44140625" style="1" customWidth="1"/>
    <col min="13573" max="13573" width="17.6640625" style="1" customWidth="1"/>
    <col min="13574" max="13574" width="21.6640625" style="1" bestFit="1" customWidth="1"/>
    <col min="13575" max="13575" width="9.109375" style="1" customWidth="1"/>
    <col min="13576" max="13824" width="8.88671875" style="1"/>
    <col min="13825" max="13825" width="10.33203125" style="1" customWidth="1"/>
    <col min="13826" max="13826" width="13.44140625" style="1" customWidth="1"/>
    <col min="13827" max="13827" width="17.33203125" style="1" customWidth="1"/>
    <col min="13828" max="13828" width="18.44140625" style="1" customWidth="1"/>
    <col min="13829" max="13829" width="17.6640625" style="1" customWidth="1"/>
    <col min="13830" max="13830" width="21.6640625" style="1" bestFit="1" customWidth="1"/>
    <col min="13831" max="13831" width="9.109375" style="1" customWidth="1"/>
    <col min="13832" max="14080" width="8.88671875" style="1"/>
    <col min="14081" max="14081" width="10.33203125" style="1" customWidth="1"/>
    <col min="14082" max="14082" width="13.44140625" style="1" customWidth="1"/>
    <col min="14083" max="14083" width="17.33203125" style="1" customWidth="1"/>
    <col min="14084" max="14084" width="18.44140625" style="1" customWidth="1"/>
    <col min="14085" max="14085" width="17.6640625" style="1" customWidth="1"/>
    <col min="14086" max="14086" width="21.6640625" style="1" bestFit="1" customWidth="1"/>
    <col min="14087" max="14087" width="9.109375" style="1" customWidth="1"/>
    <col min="14088" max="14336" width="8.88671875" style="1"/>
    <col min="14337" max="14337" width="10.33203125" style="1" customWidth="1"/>
    <col min="14338" max="14338" width="13.44140625" style="1" customWidth="1"/>
    <col min="14339" max="14339" width="17.33203125" style="1" customWidth="1"/>
    <col min="14340" max="14340" width="18.44140625" style="1" customWidth="1"/>
    <col min="14341" max="14341" width="17.6640625" style="1" customWidth="1"/>
    <col min="14342" max="14342" width="21.6640625" style="1" bestFit="1" customWidth="1"/>
    <col min="14343" max="14343" width="9.109375" style="1" customWidth="1"/>
    <col min="14344" max="14592" width="8.88671875" style="1"/>
    <col min="14593" max="14593" width="10.33203125" style="1" customWidth="1"/>
    <col min="14594" max="14594" width="13.44140625" style="1" customWidth="1"/>
    <col min="14595" max="14595" width="17.33203125" style="1" customWidth="1"/>
    <col min="14596" max="14596" width="18.44140625" style="1" customWidth="1"/>
    <col min="14597" max="14597" width="17.6640625" style="1" customWidth="1"/>
    <col min="14598" max="14598" width="21.6640625" style="1" bestFit="1" customWidth="1"/>
    <col min="14599" max="14599" width="9.109375" style="1" customWidth="1"/>
    <col min="14600" max="14848" width="8.88671875" style="1"/>
    <col min="14849" max="14849" width="10.33203125" style="1" customWidth="1"/>
    <col min="14850" max="14850" width="13.44140625" style="1" customWidth="1"/>
    <col min="14851" max="14851" width="17.33203125" style="1" customWidth="1"/>
    <col min="14852" max="14852" width="18.44140625" style="1" customWidth="1"/>
    <col min="14853" max="14853" width="17.6640625" style="1" customWidth="1"/>
    <col min="14854" max="14854" width="21.6640625" style="1" bestFit="1" customWidth="1"/>
    <col min="14855" max="14855" width="9.109375" style="1" customWidth="1"/>
    <col min="14856" max="15104" width="8.88671875" style="1"/>
    <col min="15105" max="15105" width="10.33203125" style="1" customWidth="1"/>
    <col min="15106" max="15106" width="13.44140625" style="1" customWidth="1"/>
    <col min="15107" max="15107" width="17.33203125" style="1" customWidth="1"/>
    <col min="15108" max="15108" width="18.44140625" style="1" customWidth="1"/>
    <col min="15109" max="15109" width="17.6640625" style="1" customWidth="1"/>
    <col min="15110" max="15110" width="21.6640625" style="1" bestFit="1" customWidth="1"/>
    <col min="15111" max="15111" width="9.109375" style="1" customWidth="1"/>
    <col min="15112" max="15360" width="8.88671875" style="1"/>
    <col min="15361" max="15361" width="10.33203125" style="1" customWidth="1"/>
    <col min="15362" max="15362" width="13.44140625" style="1" customWidth="1"/>
    <col min="15363" max="15363" width="17.33203125" style="1" customWidth="1"/>
    <col min="15364" max="15364" width="18.44140625" style="1" customWidth="1"/>
    <col min="15365" max="15365" width="17.6640625" style="1" customWidth="1"/>
    <col min="15366" max="15366" width="21.6640625" style="1" bestFit="1" customWidth="1"/>
    <col min="15367" max="15367" width="9.109375" style="1" customWidth="1"/>
    <col min="15368" max="15616" width="8.88671875" style="1"/>
    <col min="15617" max="15617" width="10.33203125" style="1" customWidth="1"/>
    <col min="15618" max="15618" width="13.44140625" style="1" customWidth="1"/>
    <col min="15619" max="15619" width="17.33203125" style="1" customWidth="1"/>
    <col min="15620" max="15620" width="18.44140625" style="1" customWidth="1"/>
    <col min="15621" max="15621" width="17.6640625" style="1" customWidth="1"/>
    <col min="15622" max="15622" width="21.6640625" style="1" bestFit="1" customWidth="1"/>
    <col min="15623" max="15623" width="9.109375" style="1" customWidth="1"/>
    <col min="15624" max="15872" width="8.88671875" style="1"/>
    <col min="15873" max="15873" width="10.33203125" style="1" customWidth="1"/>
    <col min="15874" max="15874" width="13.44140625" style="1" customWidth="1"/>
    <col min="15875" max="15875" width="17.33203125" style="1" customWidth="1"/>
    <col min="15876" max="15876" width="18.44140625" style="1" customWidth="1"/>
    <col min="15877" max="15877" width="17.6640625" style="1" customWidth="1"/>
    <col min="15878" max="15878" width="21.6640625" style="1" bestFit="1" customWidth="1"/>
    <col min="15879" max="15879" width="9.109375" style="1" customWidth="1"/>
    <col min="15880" max="16128" width="8.88671875" style="1"/>
    <col min="16129" max="16129" width="10.33203125" style="1" customWidth="1"/>
    <col min="16130" max="16130" width="13.44140625" style="1" customWidth="1"/>
    <col min="16131" max="16131" width="17.33203125" style="1" customWidth="1"/>
    <col min="16132" max="16132" width="18.44140625" style="1" customWidth="1"/>
    <col min="16133" max="16133" width="17.6640625" style="1" customWidth="1"/>
    <col min="16134" max="16134" width="21.6640625" style="1" bestFit="1" customWidth="1"/>
    <col min="16135" max="16135" width="9.109375" style="1" customWidth="1"/>
    <col min="16136" max="16384" width="8.88671875" style="1"/>
  </cols>
  <sheetData>
    <row r="1" spans="1:6" ht="68.400000000000006" customHeight="1" x14ac:dyDescent="0.3"/>
    <row r="2" spans="1:6" x14ac:dyDescent="0.3">
      <c r="A2" s="3"/>
      <c r="B2" s="2"/>
      <c r="F2" s="4">
        <v>43174</v>
      </c>
    </row>
    <row r="3" spans="1:6" ht="16.8" thickBot="1" x14ac:dyDescent="0.35">
      <c r="A3" s="6" t="s">
        <v>24</v>
      </c>
      <c r="B3" s="130" t="s">
        <v>60</v>
      </c>
      <c r="C3" s="131"/>
      <c r="D3" s="7"/>
      <c r="E3" s="7"/>
      <c r="F3" s="8"/>
    </row>
    <row r="4" spans="1:6" ht="16.8" thickBot="1" x14ac:dyDescent="0.35">
      <c r="A4" s="9" t="s">
        <v>25</v>
      </c>
      <c r="B4" s="10" t="s">
        <v>26</v>
      </c>
      <c r="C4" s="11" t="s">
        <v>27</v>
      </c>
      <c r="D4" s="12" t="s">
        <v>28</v>
      </c>
      <c r="E4" s="7"/>
      <c r="F4" s="7"/>
    </row>
    <row r="5" spans="1:6" ht="15.6" x14ac:dyDescent="0.3">
      <c r="A5" s="132">
        <v>1</v>
      </c>
      <c r="B5" s="135" t="s">
        <v>29</v>
      </c>
      <c r="C5" s="13">
        <v>880.02275942147969</v>
      </c>
      <c r="D5" s="14" t="s">
        <v>43</v>
      </c>
      <c r="E5" s="7"/>
      <c r="F5" s="7"/>
    </row>
    <row r="6" spans="1:6" ht="15.6" x14ac:dyDescent="0.3">
      <c r="A6" s="133"/>
      <c r="B6" s="136"/>
      <c r="C6" s="15">
        <v>184.75094443090282</v>
      </c>
      <c r="D6" s="16" t="s">
        <v>30</v>
      </c>
      <c r="E6" s="7"/>
      <c r="F6" s="7"/>
    </row>
    <row r="7" spans="1:6" ht="16.2" thickBot="1" x14ac:dyDescent="0.35">
      <c r="A7" s="134"/>
      <c r="B7" s="137"/>
      <c r="C7" s="17">
        <v>56.40406213657684</v>
      </c>
      <c r="D7" s="18" t="s">
        <v>31</v>
      </c>
      <c r="E7" s="7"/>
      <c r="F7" s="7"/>
    </row>
    <row r="8" spans="1:6" ht="15.6" x14ac:dyDescent="0.3">
      <c r="A8" s="19" t="s">
        <v>1</v>
      </c>
      <c r="B8" s="19"/>
      <c r="C8" s="19"/>
      <c r="D8" s="20"/>
      <c r="E8" s="20"/>
      <c r="F8" s="20"/>
    </row>
    <row r="9" spans="1:6" ht="16.8" thickBot="1" x14ac:dyDescent="0.35">
      <c r="A9" s="6"/>
      <c r="B9" s="21"/>
      <c r="C9" s="21"/>
      <c r="D9" s="7"/>
      <c r="E9" s="7"/>
      <c r="F9" s="8"/>
    </row>
    <row r="10" spans="1:6" ht="16.8" thickBot="1" x14ac:dyDescent="0.35">
      <c r="A10" s="22" t="s">
        <v>32</v>
      </c>
      <c r="B10" s="10">
        <v>1</v>
      </c>
      <c r="C10" s="10">
        <v>2</v>
      </c>
      <c r="D10" s="10">
        <v>3</v>
      </c>
      <c r="E10" s="10">
        <v>4</v>
      </c>
      <c r="F10" s="23">
        <v>5</v>
      </c>
    </row>
    <row r="11" spans="1:6" ht="16.5" customHeight="1" thickBot="1" x14ac:dyDescent="0.35">
      <c r="A11" s="24" t="s">
        <v>0</v>
      </c>
      <c r="B11" s="25">
        <v>4</v>
      </c>
      <c r="C11" s="25">
        <v>4</v>
      </c>
      <c r="D11" s="25">
        <v>4</v>
      </c>
      <c r="E11" s="25">
        <v>4</v>
      </c>
      <c r="F11" s="26">
        <v>4</v>
      </c>
    </row>
    <row r="12" spans="1:6" x14ac:dyDescent="0.3">
      <c r="A12" s="5"/>
      <c r="B12" s="5"/>
      <c r="C12" s="5"/>
      <c r="D12" s="5"/>
      <c r="E12" s="5"/>
      <c r="F12" s="5"/>
    </row>
    <row r="13" spans="1:6" ht="14.4" thickBot="1" x14ac:dyDescent="0.35">
      <c r="A13" s="5" t="s">
        <v>59</v>
      </c>
      <c r="B13" s="5"/>
      <c r="C13" s="5"/>
      <c r="D13" s="5"/>
      <c r="E13" s="5"/>
      <c r="F13" s="5"/>
    </row>
    <row r="14" spans="1:6" ht="218.25" customHeight="1" thickBot="1" x14ac:dyDescent="0.35">
      <c r="A14" s="138" t="s">
        <v>164</v>
      </c>
      <c r="B14" s="139"/>
      <c r="C14" s="139"/>
      <c r="D14" s="139"/>
      <c r="E14" s="139"/>
      <c r="F14" s="140"/>
    </row>
    <row r="15" spans="1:6" x14ac:dyDescent="0.3">
      <c r="A15" s="5"/>
      <c r="B15" s="5"/>
      <c r="C15" s="5"/>
      <c r="D15" s="5"/>
      <c r="E15" s="5"/>
      <c r="F15" s="5"/>
    </row>
    <row r="16" spans="1:6" ht="16.5" customHeight="1" x14ac:dyDescent="0.3">
      <c r="A16" s="36" t="s">
        <v>44</v>
      </c>
      <c r="B16" s="29" t="s">
        <v>45</v>
      </c>
      <c r="C16" s="28"/>
      <c r="D16" s="28"/>
      <c r="E16" s="28"/>
      <c r="F16" s="28"/>
    </row>
    <row r="17" spans="1:6" ht="16.5" customHeight="1" x14ac:dyDescent="0.3">
      <c r="A17" s="30"/>
      <c r="B17" s="30" t="s">
        <v>9</v>
      </c>
      <c r="C17" s="30" t="s">
        <v>23</v>
      </c>
      <c r="D17" s="28"/>
      <c r="E17" s="28"/>
      <c r="F17" s="28"/>
    </row>
    <row r="18" spans="1:6" ht="16.5" customHeight="1" x14ac:dyDescent="0.3">
      <c r="A18" s="31">
        <v>5</v>
      </c>
      <c r="B18" s="34">
        <v>500</v>
      </c>
      <c r="C18" s="46" t="s">
        <v>53</v>
      </c>
      <c r="D18" s="28"/>
      <c r="E18" s="28"/>
      <c r="F18" s="28"/>
    </row>
    <row r="19" spans="1:6" ht="16.2" x14ac:dyDescent="0.3">
      <c r="A19" s="31">
        <v>4</v>
      </c>
      <c r="B19" s="34">
        <v>100</v>
      </c>
      <c r="C19" s="46" t="s">
        <v>53</v>
      </c>
      <c r="D19" s="28"/>
      <c r="E19" s="28"/>
      <c r="F19" s="28"/>
    </row>
    <row r="20" spans="1:6" ht="16.2" x14ac:dyDescent="0.3">
      <c r="A20" s="31">
        <v>3</v>
      </c>
      <c r="B20" s="34">
        <v>20</v>
      </c>
      <c r="C20" s="32">
        <v>2</v>
      </c>
      <c r="D20" s="28"/>
      <c r="E20" s="28"/>
      <c r="F20" s="28"/>
    </row>
    <row r="21" spans="1:6" ht="16.2" x14ac:dyDescent="0.3">
      <c r="A21" s="31">
        <v>2</v>
      </c>
      <c r="B21" s="34">
        <v>5</v>
      </c>
      <c r="C21" s="37" t="s">
        <v>21</v>
      </c>
      <c r="D21" s="28"/>
      <c r="E21" s="28"/>
      <c r="F21" s="28"/>
    </row>
    <row r="22" spans="1:6" ht="16.2" x14ac:dyDescent="0.3">
      <c r="A22" s="30"/>
      <c r="B22" s="33" t="s">
        <v>20</v>
      </c>
      <c r="C22" s="33" t="s">
        <v>19</v>
      </c>
      <c r="D22" s="33" t="s">
        <v>18</v>
      </c>
      <c r="E22" s="33" t="s">
        <v>17</v>
      </c>
      <c r="F22" s="33" t="s">
        <v>16</v>
      </c>
    </row>
    <row r="23" spans="1:6" ht="16.2" x14ac:dyDescent="0.3">
      <c r="A23" s="31">
        <v>5</v>
      </c>
      <c r="B23" s="34">
        <v>500</v>
      </c>
      <c r="C23" s="34">
        <v>250</v>
      </c>
      <c r="D23" s="34">
        <v>250</v>
      </c>
      <c r="E23" s="34">
        <v>150</v>
      </c>
      <c r="F23" s="34">
        <v>150</v>
      </c>
    </row>
    <row r="24" spans="1:6" ht="16.2" x14ac:dyDescent="0.3">
      <c r="A24" s="31">
        <v>4</v>
      </c>
      <c r="B24" s="34">
        <v>100</v>
      </c>
      <c r="C24" s="34">
        <v>50</v>
      </c>
      <c r="D24" s="34">
        <v>50</v>
      </c>
      <c r="E24" s="34">
        <v>30</v>
      </c>
      <c r="F24" s="34">
        <v>30</v>
      </c>
    </row>
    <row r="25" spans="1:6" ht="16.2" x14ac:dyDescent="0.3">
      <c r="A25" s="31">
        <v>3</v>
      </c>
      <c r="B25" s="34">
        <v>20</v>
      </c>
      <c r="C25" s="34">
        <v>20</v>
      </c>
      <c r="D25" s="34">
        <v>20</v>
      </c>
      <c r="E25" s="34">
        <v>10</v>
      </c>
      <c r="F25" s="34">
        <v>10</v>
      </c>
    </row>
    <row r="26" spans="1:6" ht="16.2" x14ac:dyDescent="0.3">
      <c r="A26" s="31">
        <v>2</v>
      </c>
      <c r="B26" s="34">
        <v>5</v>
      </c>
      <c r="C26" s="34">
        <v>5</v>
      </c>
      <c r="D26" s="34">
        <v>5</v>
      </c>
      <c r="E26" s="34">
        <v>5</v>
      </c>
      <c r="F26" s="34">
        <v>5</v>
      </c>
    </row>
    <row r="27" spans="1:6" ht="16.2" x14ac:dyDescent="0.3">
      <c r="A27" s="35"/>
      <c r="B27" s="33" t="s">
        <v>15</v>
      </c>
      <c r="C27" s="30" t="s">
        <v>14</v>
      </c>
      <c r="D27" s="30" t="s">
        <v>13</v>
      </c>
      <c r="E27" s="30" t="s">
        <v>12</v>
      </c>
      <c r="F27" s="30" t="s">
        <v>46</v>
      </c>
    </row>
    <row r="28" spans="1:6" ht="16.2" x14ac:dyDescent="0.3">
      <c r="A28" s="31">
        <v>5</v>
      </c>
      <c r="B28" s="34">
        <v>100</v>
      </c>
      <c r="C28" s="34">
        <v>100</v>
      </c>
      <c r="D28" s="34">
        <v>100</v>
      </c>
      <c r="E28" s="34">
        <v>100</v>
      </c>
      <c r="F28" s="34">
        <v>100</v>
      </c>
    </row>
    <row r="29" spans="1:6" ht="16.2" x14ac:dyDescent="0.3">
      <c r="A29" s="31">
        <v>4</v>
      </c>
      <c r="B29" s="34">
        <v>20</v>
      </c>
      <c r="C29" s="34">
        <v>20</v>
      </c>
      <c r="D29" s="34">
        <v>20</v>
      </c>
      <c r="E29" s="34">
        <v>20</v>
      </c>
      <c r="F29" s="34">
        <v>20</v>
      </c>
    </row>
    <row r="30" spans="1:6" ht="16.2" x14ac:dyDescent="0.3">
      <c r="A30" s="31">
        <v>3</v>
      </c>
      <c r="B30" s="34">
        <v>5</v>
      </c>
      <c r="C30" s="34">
        <v>5</v>
      </c>
      <c r="D30" s="34">
        <v>5</v>
      </c>
      <c r="E30" s="34">
        <v>5</v>
      </c>
      <c r="F30" s="34">
        <v>5</v>
      </c>
    </row>
  </sheetData>
  <mergeCells count="4">
    <mergeCell ref="B3:C3"/>
    <mergeCell ref="A5:A7"/>
    <mergeCell ref="B5:B7"/>
    <mergeCell ref="A14:F14"/>
  </mergeCells>
  <phoneticPr fontId="24"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3"/>
  <sheetViews>
    <sheetView topLeftCell="A9" zoomScale="80" zoomScaleNormal="80" workbookViewId="0">
      <selection activeCell="Z22" sqref="Z22"/>
    </sheetView>
  </sheetViews>
  <sheetFormatPr defaultRowHeight="16.8" x14ac:dyDescent="0.35"/>
  <cols>
    <col min="1" max="1" width="9.21875" style="64" bestFit="1" customWidth="1"/>
    <col min="2" max="2" width="4.21875" style="67" customWidth="1"/>
    <col min="3" max="6" width="4.21875" style="67" bestFit="1" customWidth="1"/>
    <col min="7" max="7" width="9" style="64" customWidth="1"/>
    <col min="8" max="12" width="4.21875" style="64" bestFit="1" customWidth="1"/>
    <col min="13" max="13" width="9" style="64"/>
    <col min="14" max="14" width="4.21875" style="64" bestFit="1" customWidth="1"/>
    <col min="15" max="17" width="8" style="64" bestFit="1" customWidth="1"/>
    <col min="18" max="18" width="4.21875" style="64" bestFit="1" customWidth="1"/>
    <col min="21" max="21" width="21.21875" customWidth="1"/>
  </cols>
  <sheetData>
    <row r="1" spans="1:27" thickBot="1" x14ac:dyDescent="0.35">
      <c r="A1" s="41" t="s">
        <v>22</v>
      </c>
      <c r="B1" s="65"/>
      <c r="C1" s="65"/>
      <c r="D1" s="65"/>
      <c r="E1" s="65"/>
      <c r="F1" s="65"/>
      <c r="G1" s="7"/>
      <c r="H1" s="27" t="s">
        <v>48</v>
      </c>
      <c r="I1" s="38"/>
      <c r="J1" s="38"/>
      <c r="K1" s="38"/>
      <c r="L1" s="38"/>
      <c r="M1" s="6"/>
      <c r="N1" s="141" t="s">
        <v>49</v>
      </c>
      <c r="O1" s="141"/>
      <c r="P1" s="141"/>
      <c r="Q1" s="38"/>
      <c r="R1" s="38"/>
    </row>
    <row r="2" spans="1:27" thickBot="1" x14ac:dyDescent="0.35">
      <c r="A2" s="42" t="s">
        <v>50</v>
      </c>
      <c r="B2" s="43" t="s">
        <v>41</v>
      </c>
      <c r="C2" s="44" t="s">
        <v>36</v>
      </c>
      <c r="D2" s="43" t="s">
        <v>33</v>
      </c>
      <c r="E2" s="44" t="s">
        <v>34</v>
      </c>
      <c r="F2" s="43" t="s">
        <v>35</v>
      </c>
      <c r="G2" s="27"/>
      <c r="H2" s="63" t="s">
        <v>37</v>
      </c>
      <c r="I2" s="63" t="s">
        <v>38</v>
      </c>
      <c r="J2" s="63" t="s">
        <v>47</v>
      </c>
      <c r="K2" s="63" t="s">
        <v>39</v>
      </c>
      <c r="L2" s="63" t="s">
        <v>40</v>
      </c>
      <c r="M2" s="7"/>
      <c r="N2" s="63" t="s">
        <v>37</v>
      </c>
      <c r="O2" s="63" t="s">
        <v>38</v>
      </c>
      <c r="P2" s="63" t="s">
        <v>47</v>
      </c>
      <c r="Q2" s="63" t="s">
        <v>39</v>
      </c>
      <c r="R2" s="63" t="s">
        <v>40</v>
      </c>
      <c r="T2" s="81" t="s">
        <v>201</v>
      </c>
      <c r="U2" s="81" t="s">
        <v>202</v>
      </c>
      <c r="V2" s="82" t="s">
        <v>203</v>
      </c>
      <c r="W2" s="82" t="s">
        <v>204</v>
      </c>
      <c r="X2" s="82" t="s">
        <v>205</v>
      </c>
      <c r="Y2" s="82" t="s">
        <v>206</v>
      </c>
      <c r="Z2" s="83" t="s">
        <v>207</v>
      </c>
      <c r="AA2" s="84" t="s">
        <v>208</v>
      </c>
    </row>
    <row r="3" spans="1:27" thickBot="1" x14ac:dyDescent="0.35">
      <c r="A3" s="42">
        <v>0</v>
      </c>
      <c r="B3" s="66" t="s">
        <v>69</v>
      </c>
      <c r="C3" s="66" t="s">
        <v>70</v>
      </c>
      <c r="D3" s="66" t="s">
        <v>68</v>
      </c>
      <c r="E3" s="66" t="s">
        <v>72</v>
      </c>
      <c r="F3" s="66" t="s">
        <v>92</v>
      </c>
      <c r="G3" s="39"/>
      <c r="H3" s="40">
        <v>2</v>
      </c>
      <c r="I3" s="40">
        <v>4</v>
      </c>
      <c r="J3" s="40">
        <v>5</v>
      </c>
      <c r="K3" s="40">
        <v>6</v>
      </c>
      <c r="L3" s="40">
        <v>3</v>
      </c>
      <c r="M3" s="7"/>
      <c r="N3" s="40" t="s">
        <v>3</v>
      </c>
      <c r="O3" s="40" t="s">
        <v>6</v>
      </c>
      <c r="P3" s="40" t="s">
        <v>2</v>
      </c>
      <c r="Q3" s="40" t="s">
        <v>4</v>
      </c>
      <c r="R3" s="40" t="s">
        <v>7</v>
      </c>
      <c r="T3" s="85" t="s">
        <v>209</v>
      </c>
      <c r="U3" s="86" t="s">
        <v>210</v>
      </c>
      <c r="V3" s="87">
        <f t="shared" ref="V3:V13" si="0">COUNTIF($B:$B,$T3)</f>
        <v>0</v>
      </c>
      <c r="W3" s="88">
        <f t="shared" ref="W3:W13" si="1">COUNTIF($C:$C,$T3)</f>
        <v>2</v>
      </c>
      <c r="X3" s="88">
        <f t="shared" ref="X3:X13" si="2">COUNTIF($D:$D,$T3)</f>
        <v>1</v>
      </c>
      <c r="Y3" s="88">
        <f t="shared" ref="Y3:Y13" si="3">COUNTIF($E:$E,$T3)</f>
        <v>4</v>
      </c>
      <c r="Z3" s="88">
        <f t="shared" ref="Z3:Z13" si="4">COUNTIF($F:$F,$T3)</f>
        <v>0</v>
      </c>
      <c r="AA3" s="86">
        <v>1</v>
      </c>
    </row>
    <row r="4" spans="1:27" thickBot="1" x14ac:dyDescent="0.35">
      <c r="A4" s="42">
        <v>1</v>
      </c>
      <c r="B4" s="66" t="s">
        <v>69</v>
      </c>
      <c r="C4" s="66" t="s">
        <v>74</v>
      </c>
      <c r="D4" s="66" t="s">
        <v>52</v>
      </c>
      <c r="E4" s="66" t="s">
        <v>76</v>
      </c>
      <c r="F4" s="66" t="s">
        <v>77</v>
      </c>
      <c r="G4" s="39"/>
      <c r="H4" s="40">
        <v>2</v>
      </c>
      <c r="I4" s="40">
        <v>9</v>
      </c>
      <c r="J4" s="40">
        <v>11</v>
      </c>
      <c r="K4" s="40">
        <v>11</v>
      </c>
      <c r="L4" s="40">
        <v>8</v>
      </c>
      <c r="M4" s="7"/>
      <c r="N4" s="40" t="s">
        <v>3</v>
      </c>
      <c r="O4" s="40" t="s">
        <v>11</v>
      </c>
      <c r="P4" s="40">
        <v>10</v>
      </c>
      <c r="Q4" s="40">
        <v>10</v>
      </c>
      <c r="R4" s="40" t="s">
        <v>5</v>
      </c>
      <c r="T4" s="85" t="s">
        <v>3</v>
      </c>
      <c r="U4" s="89" t="s">
        <v>211</v>
      </c>
      <c r="V4" s="87">
        <f t="shared" si="0"/>
        <v>18</v>
      </c>
      <c r="W4" s="88">
        <f t="shared" si="1"/>
        <v>0</v>
      </c>
      <c r="X4" s="88">
        <f t="shared" si="2"/>
        <v>0</v>
      </c>
      <c r="Y4" s="88">
        <f t="shared" si="3"/>
        <v>0</v>
      </c>
      <c r="Z4" s="88">
        <f t="shared" si="4"/>
        <v>0</v>
      </c>
      <c r="AA4" s="86">
        <v>2</v>
      </c>
    </row>
    <row r="5" spans="1:27" thickBot="1" x14ac:dyDescent="0.35">
      <c r="A5" s="42">
        <v>2</v>
      </c>
      <c r="B5" s="66" t="s">
        <v>78</v>
      </c>
      <c r="C5" s="66" t="s">
        <v>191</v>
      </c>
      <c r="D5" s="66" t="s">
        <v>63</v>
      </c>
      <c r="E5" s="66" t="s">
        <v>79</v>
      </c>
      <c r="F5" s="66" t="s">
        <v>79</v>
      </c>
      <c r="G5" s="39"/>
      <c r="H5" s="40">
        <v>2</v>
      </c>
      <c r="I5" s="40">
        <v>11</v>
      </c>
      <c r="J5" s="40">
        <v>8</v>
      </c>
      <c r="K5" s="40">
        <v>10</v>
      </c>
      <c r="L5" s="40">
        <v>10</v>
      </c>
      <c r="M5" s="7"/>
      <c r="N5" s="40" t="s">
        <v>3</v>
      </c>
      <c r="O5" s="40">
        <v>10</v>
      </c>
      <c r="P5" s="40" t="s">
        <v>5</v>
      </c>
      <c r="Q5" s="40" t="s">
        <v>8</v>
      </c>
      <c r="R5" s="40" t="s">
        <v>8</v>
      </c>
      <c r="T5" s="85" t="s">
        <v>7</v>
      </c>
      <c r="U5" s="86" t="s">
        <v>212</v>
      </c>
      <c r="V5" s="87">
        <f t="shared" si="0"/>
        <v>2</v>
      </c>
      <c r="W5" s="88">
        <f t="shared" si="1"/>
        <v>2</v>
      </c>
      <c r="X5" s="88">
        <f t="shared" si="2"/>
        <v>2</v>
      </c>
      <c r="Y5" s="88">
        <f t="shared" si="3"/>
        <v>1</v>
      </c>
      <c r="Z5" s="88">
        <f t="shared" si="4"/>
        <v>1</v>
      </c>
      <c r="AA5" s="86">
        <v>3</v>
      </c>
    </row>
    <row r="6" spans="1:27" thickBot="1" x14ac:dyDescent="0.35">
      <c r="A6" s="42">
        <v>3</v>
      </c>
      <c r="B6" s="66" t="s">
        <v>171</v>
      </c>
      <c r="C6" s="66" t="s">
        <v>89</v>
      </c>
      <c r="D6" s="66" t="s">
        <v>67</v>
      </c>
      <c r="E6" s="66" t="s">
        <v>75</v>
      </c>
      <c r="F6" s="66" t="s">
        <v>76</v>
      </c>
      <c r="G6" s="39"/>
      <c r="H6" s="40">
        <v>11</v>
      </c>
      <c r="I6" s="40">
        <v>7</v>
      </c>
      <c r="J6" s="40">
        <v>7</v>
      </c>
      <c r="K6" s="40">
        <v>7</v>
      </c>
      <c r="L6" s="40">
        <v>11</v>
      </c>
      <c r="M6" s="7"/>
      <c r="N6" s="40">
        <v>10</v>
      </c>
      <c r="O6" s="40" t="s">
        <v>10</v>
      </c>
      <c r="P6" s="40" t="s">
        <v>10</v>
      </c>
      <c r="Q6" s="40" t="s">
        <v>10</v>
      </c>
      <c r="R6" s="40">
        <v>10</v>
      </c>
      <c r="T6" s="85" t="s">
        <v>6</v>
      </c>
      <c r="U6" s="86" t="s">
        <v>213</v>
      </c>
      <c r="V6" s="87">
        <f t="shared" si="0"/>
        <v>4</v>
      </c>
      <c r="W6" s="88">
        <f t="shared" si="1"/>
        <v>2</v>
      </c>
      <c r="X6" s="88">
        <f t="shared" si="2"/>
        <v>3</v>
      </c>
      <c r="Y6" s="88">
        <f t="shared" si="3"/>
        <v>1</v>
      </c>
      <c r="Z6" s="88">
        <f t="shared" si="4"/>
        <v>1</v>
      </c>
      <c r="AA6" s="86">
        <v>4</v>
      </c>
    </row>
    <row r="7" spans="1:27" thickBot="1" x14ac:dyDescent="0.35">
      <c r="A7" s="42">
        <v>4</v>
      </c>
      <c r="B7" s="66" t="s">
        <v>172</v>
      </c>
      <c r="C7" s="66" t="s">
        <v>73</v>
      </c>
      <c r="D7" s="66" t="s">
        <v>184</v>
      </c>
      <c r="E7" s="66" t="s">
        <v>80</v>
      </c>
      <c r="F7" s="66" t="s">
        <v>90</v>
      </c>
      <c r="G7" s="39"/>
      <c r="H7" s="40">
        <v>7</v>
      </c>
      <c r="I7" s="40">
        <v>6</v>
      </c>
      <c r="J7" s="40">
        <v>6</v>
      </c>
      <c r="K7" s="40">
        <v>5</v>
      </c>
      <c r="L7" s="40">
        <v>5</v>
      </c>
      <c r="M7" s="7"/>
      <c r="N7" s="40" t="s">
        <v>10</v>
      </c>
      <c r="O7" s="40" t="s">
        <v>4</v>
      </c>
      <c r="P7" s="40" t="s">
        <v>4</v>
      </c>
      <c r="Q7" s="40" t="s">
        <v>2</v>
      </c>
      <c r="R7" s="40" t="s">
        <v>2</v>
      </c>
      <c r="T7" s="85" t="s">
        <v>2</v>
      </c>
      <c r="U7" s="86" t="s">
        <v>214</v>
      </c>
      <c r="V7" s="87">
        <f t="shared" si="0"/>
        <v>6</v>
      </c>
      <c r="W7" s="88">
        <f t="shared" si="1"/>
        <v>4</v>
      </c>
      <c r="X7" s="88">
        <f t="shared" si="2"/>
        <v>2</v>
      </c>
      <c r="Y7" s="88">
        <f t="shared" si="3"/>
        <v>1</v>
      </c>
      <c r="Z7" s="88">
        <f t="shared" si="4"/>
        <v>5</v>
      </c>
      <c r="AA7" s="86">
        <v>5</v>
      </c>
    </row>
    <row r="8" spans="1:27" thickBot="1" x14ac:dyDescent="0.35">
      <c r="A8" s="42">
        <v>5</v>
      </c>
      <c r="B8" s="66" t="s">
        <v>177</v>
      </c>
      <c r="C8" s="66" t="s">
        <v>74</v>
      </c>
      <c r="D8" s="66" t="s">
        <v>66</v>
      </c>
      <c r="E8" s="66" t="s">
        <v>76</v>
      </c>
      <c r="F8" s="66" t="s">
        <v>77</v>
      </c>
      <c r="G8" s="39"/>
      <c r="H8" s="40">
        <v>8</v>
      </c>
      <c r="I8" s="40">
        <v>9</v>
      </c>
      <c r="J8" s="40">
        <v>9</v>
      </c>
      <c r="K8" s="40">
        <v>11</v>
      </c>
      <c r="L8" s="40">
        <v>8</v>
      </c>
      <c r="M8" s="7"/>
      <c r="N8" s="40" t="s">
        <v>5</v>
      </c>
      <c r="O8" s="40" t="s">
        <v>11</v>
      </c>
      <c r="P8" s="40" t="s">
        <v>11</v>
      </c>
      <c r="Q8" s="40">
        <v>10</v>
      </c>
      <c r="R8" s="40" t="s">
        <v>5</v>
      </c>
      <c r="T8" s="85" t="s">
        <v>215</v>
      </c>
      <c r="U8" s="86" t="s">
        <v>215</v>
      </c>
      <c r="V8" s="87">
        <f t="shared" si="0"/>
        <v>6</v>
      </c>
      <c r="W8" s="88">
        <f t="shared" si="1"/>
        <v>4</v>
      </c>
      <c r="X8" s="88">
        <f t="shared" si="2"/>
        <v>2</v>
      </c>
      <c r="Y8" s="88">
        <f t="shared" si="3"/>
        <v>1</v>
      </c>
      <c r="Z8" s="88">
        <f t="shared" si="4"/>
        <v>5</v>
      </c>
      <c r="AA8" s="86">
        <v>6</v>
      </c>
    </row>
    <row r="9" spans="1:27" thickBot="1" x14ac:dyDescent="0.35">
      <c r="A9" s="42">
        <v>6</v>
      </c>
      <c r="B9" s="66" t="s">
        <v>180</v>
      </c>
      <c r="C9" s="66" t="s">
        <v>79</v>
      </c>
      <c r="D9" s="66" t="s">
        <v>191</v>
      </c>
      <c r="E9" s="66" t="s">
        <v>79</v>
      </c>
      <c r="F9" s="66" t="s">
        <v>188</v>
      </c>
      <c r="G9" s="39"/>
      <c r="H9" s="40">
        <v>5</v>
      </c>
      <c r="I9" s="40">
        <v>10</v>
      </c>
      <c r="J9" s="40">
        <v>11</v>
      </c>
      <c r="K9" s="40">
        <v>10</v>
      </c>
      <c r="L9" s="40">
        <v>7</v>
      </c>
      <c r="M9" s="7"/>
      <c r="N9" s="40" t="s">
        <v>2</v>
      </c>
      <c r="O9" s="40" t="s">
        <v>8</v>
      </c>
      <c r="P9" s="40">
        <v>10</v>
      </c>
      <c r="Q9" s="40" t="s">
        <v>8</v>
      </c>
      <c r="R9" s="40" t="s">
        <v>10</v>
      </c>
      <c r="T9" s="85" t="s">
        <v>10</v>
      </c>
      <c r="U9" s="86" t="s">
        <v>216</v>
      </c>
      <c r="V9" s="87">
        <f t="shared" si="0"/>
        <v>20</v>
      </c>
      <c r="W9" s="88">
        <f t="shared" si="1"/>
        <v>13</v>
      </c>
      <c r="X9" s="88">
        <f t="shared" si="2"/>
        <v>1</v>
      </c>
      <c r="Y9" s="88">
        <f t="shared" si="3"/>
        <v>7</v>
      </c>
      <c r="Z9" s="88">
        <f t="shared" si="4"/>
        <v>2</v>
      </c>
      <c r="AA9" s="86">
        <v>7</v>
      </c>
    </row>
    <row r="10" spans="1:27" thickBot="1" x14ac:dyDescent="0.35">
      <c r="A10" s="42">
        <v>7</v>
      </c>
      <c r="B10" s="66" t="s">
        <v>177</v>
      </c>
      <c r="C10" s="66" t="s">
        <v>77</v>
      </c>
      <c r="D10" s="66" t="s">
        <v>187</v>
      </c>
      <c r="E10" s="66" t="s">
        <v>75</v>
      </c>
      <c r="F10" s="66" t="s">
        <v>76</v>
      </c>
      <c r="G10" s="39"/>
      <c r="H10" s="40">
        <v>8</v>
      </c>
      <c r="I10" s="40">
        <v>8</v>
      </c>
      <c r="J10" s="40">
        <v>8</v>
      </c>
      <c r="K10" s="40">
        <v>7</v>
      </c>
      <c r="L10" s="40">
        <v>11</v>
      </c>
      <c r="M10" s="7"/>
      <c r="N10" s="40" t="s">
        <v>5</v>
      </c>
      <c r="O10" s="40" t="s">
        <v>5</v>
      </c>
      <c r="P10" s="40" t="s">
        <v>5</v>
      </c>
      <c r="Q10" s="40" t="s">
        <v>10</v>
      </c>
      <c r="R10" s="40">
        <v>10</v>
      </c>
      <c r="T10" s="85" t="s">
        <v>5</v>
      </c>
      <c r="U10" s="86" t="s">
        <v>217</v>
      </c>
      <c r="V10" s="87">
        <f t="shared" si="0"/>
        <v>17</v>
      </c>
      <c r="W10" s="88">
        <f t="shared" si="1"/>
        <v>1</v>
      </c>
      <c r="X10" s="88">
        <f t="shared" si="2"/>
        <v>9</v>
      </c>
      <c r="Y10" s="88">
        <f t="shared" si="3"/>
        <v>1</v>
      </c>
      <c r="Z10" s="88">
        <f t="shared" si="4"/>
        <v>11</v>
      </c>
      <c r="AA10" s="86">
        <v>8</v>
      </c>
    </row>
    <row r="11" spans="1:27" thickBot="1" x14ac:dyDescent="0.35">
      <c r="A11" s="42">
        <v>8</v>
      </c>
      <c r="B11" s="66" t="s">
        <v>180</v>
      </c>
      <c r="C11" s="66" t="s">
        <v>23</v>
      </c>
      <c r="D11" s="66" t="s">
        <v>193</v>
      </c>
      <c r="E11" s="66" t="s">
        <v>23</v>
      </c>
      <c r="F11" s="66" t="s">
        <v>62</v>
      </c>
      <c r="G11" s="39"/>
      <c r="H11" s="40">
        <v>5</v>
      </c>
      <c r="I11" s="40">
        <v>1</v>
      </c>
      <c r="J11" s="40">
        <v>4</v>
      </c>
      <c r="K11" s="40">
        <v>1</v>
      </c>
      <c r="L11" s="40">
        <v>6</v>
      </c>
      <c r="M11" s="7"/>
      <c r="N11" s="40" t="s">
        <v>2</v>
      </c>
      <c r="O11" s="40" t="s">
        <v>199</v>
      </c>
      <c r="P11" s="40" t="s">
        <v>6</v>
      </c>
      <c r="Q11" s="40" t="s">
        <v>199</v>
      </c>
      <c r="R11" s="40" t="s">
        <v>4</v>
      </c>
      <c r="T11" s="85" t="s">
        <v>11</v>
      </c>
      <c r="U11" s="86" t="s">
        <v>218</v>
      </c>
      <c r="V11" s="87">
        <f t="shared" si="0"/>
        <v>10</v>
      </c>
      <c r="W11" s="88">
        <f t="shared" si="1"/>
        <v>13</v>
      </c>
      <c r="X11" s="88">
        <f t="shared" si="2"/>
        <v>9</v>
      </c>
      <c r="Y11" s="88">
        <f t="shared" si="3"/>
        <v>1</v>
      </c>
      <c r="Z11" s="88">
        <f t="shared" si="4"/>
        <v>1</v>
      </c>
      <c r="AA11" s="86">
        <v>9</v>
      </c>
    </row>
    <row r="12" spans="1:27" ht="16.5" customHeight="1" thickBot="1" x14ac:dyDescent="0.35">
      <c r="A12" s="42">
        <v>9</v>
      </c>
      <c r="B12" s="66" t="s">
        <v>177</v>
      </c>
      <c r="C12" s="66" t="s">
        <v>76</v>
      </c>
      <c r="D12" s="66" t="s">
        <v>51</v>
      </c>
      <c r="E12" s="66" t="s">
        <v>71</v>
      </c>
      <c r="F12" s="66" t="s">
        <v>71</v>
      </c>
      <c r="G12" s="39"/>
      <c r="H12" s="40">
        <v>8</v>
      </c>
      <c r="I12" s="40">
        <v>11</v>
      </c>
      <c r="J12" s="40">
        <v>10</v>
      </c>
      <c r="K12" s="40">
        <v>8</v>
      </c>
      <c r="L12" s="40">
        <v>8</v>
      </c>
      <c r="M12" s="7"/>
      <c r="N12" s="40" t="s">
        <v>5</v>
      </c>
      <c r="O12" s="40">
        <v>10</v>
      </c>
      <c r="P12" s="40" t="s">
        <v>8</v>
      </c>
      <c r="Q12" s="40" t="s">
        <v>5</v>
      </c>
      <c r="R12" s="40" t="s">
        <v>5</v>
      </c>
      <c r="T12" s="85" t="s">
        <v>8</v>
      </c>
      <c r="U12" s="86" t="s">
        <v>219</v>
      </c>
      <c r="V12" s="87">
        <f t="shared" si="0"/>
        <v>16</v>
      </c>
      <c r="W12" s="88">
        <f t="shared" si="1"/>
        <v>13</v>
      </c>
      <c r="X12" s="88">
        <f t="shared" si="2"/>
        <v>1</v>
      </c>
      <c r="Y12" s="88">
        <f t="shared" si="3"/>
        <v>8</v>
      </c>
      <c r="Z12" s="88">
        <f t="shared" si="4"/>
        <v>11</v>
      </c>
      <c r="AA12" s="86">
        <v>10</v>
      </c>
    </row>
    <row r="13" spans="1:27" thickBot="1" x14ac:dyDescent="0.35">
      <c r="A13" s="42">
        <v>10</v>
      </c>
      <c r="B13" s="66" t="s">
        <v>172</v>
      </c>
      <c r="C13" s="66" t="s">
        <v>79</v>
      </c>
      <c r="D13" s="66" t="s">
        <v>192</v>
      </c>
      <c r="E13" s="66" t="s">
        <v>84</v>
      </c>
      <c r="F13" s="66" t="s">
        <v>79</v>
      </c>
      <c r="G13" s="39"/>
      <c r="H13" s="40">
        <v>7</v>
      </c>
      <c r="I13" s="40">
        <v>10</v>
      </c>
      <c r="J13" s="40">
        <v>11</v>
      </c>
      <c r="K13" s="40">
        <v>10</v>
      </c>
      <c r="L13" s="40">
        <v>10</v>
      </c>
      <c r="M13" s="7"/>
      <c r="N13" s="40" t="s">
        <v>10</v>
      </c>
      <c r="O13" s="40" t="s">
        <v>8</v>
      </c>
      <c r="P13" s="40">
        <v>10</v>
      </c>
      <c r="Q13" s="40" t="s">
        <v>8</v>
      </c>
      <c r="R13" s="40" t="s">
        <v>8</v>
      </c>
      <c r="T13" s="103" t="s">
        <v>42</v>
      </c>
      <c r="U13" s="101" t="s">
        <v>220</v>
      </c>
      <c r="V13" s="104">
        <f t="shared" si="0"/>
        <v>1</v>
      </c>
      <c r="W13" s="105">
        <f t="shared" si="1"/>
        <v>2</v>
      </c>
      <c r="X13" s="105">
        <f t="shared" si="2"/>
        <v>10</v>
      </c>
      <c r="Y13" s="105">
        <f t="shared" si="3"/>
        <v>7</v>
      </c>
      <c r="Z13" s="105">
        <f t="shared" si="4"/>
        <v>11</v>
      </c>
      <c r="AA13" s="101">
        <v>11</v>
      </c>
    </row>
    <row r="14" spans="1:27" ht="16.2" x14ac:dyDescent="0.3">
      <c r="A14" s="42">
        <v>11</v>
      </c>
      <c r="B14" s="66" t="s">
        <v>176</v>
      </c>
      <c r="C14" s="66" t="s">
        <v>75</v>
      </c>
      <c r="D14" s="66" t="s">
        <v>11</v>
      </c>
      <c r="E14" s="66" t="s">
        <v>82</v>
      </c>
      <c r="F14" s="66" t="s">
        <v>76</v>
      </c>
      <c r="G14" s="39"/>
      <c r="H14" s="40">
        <v>2</v>
      </c>
      <c r="I14" s="40">
        <v>7</v>
      </c>
      <c r="J14" s="40">
        <v>9</v>
      </c>
      <c r="K14" s="40">
        <v>11</v>
      </c>
      <c r="L14" s="40">
        <v>11</v>
      </c>
      <c r="M14" s="7"/>
      <c r="N14" s="40" t="s">
        <v>3</v>
      </c>
      <c r="O14" s="40" t="s">
        <v>10</v>
      </c>
      <c r="P14" s="40" t="s">
        <v>11</v>
      </c>
      <c r="Q14" s="40">
        <v>10</v>
      </c>
      <c r="R14" s="40">
        <v>10</v>
      </c>
      <c r="T14" s="90" t="s">
        <v>221</v>
      </c>
      <c r="U14" s="89"/>
      <c r="V14" s="89">
        <f>SUM(V3:V13)</f>
        <v>100</v>
      </c>
      <c r="W14" s="89">
        <f>SUM(W3:W13)</f>
        <v>56</v>
      </c>
      <c r="X14" s="89">
        <f>SUM(X3:X13)</f>
        <v>40</v>
      </c>
      <c r="Y14" s="89">
        <f>SUM(Y3:Y13)</f>
        <v>32</v>
      </c>
      <c r="Z14" s="89">
        <f>SUM(Z3:Z13)</f>
        <v>48</v>
      </c>
      <c r="AA14" s="89"/>
    </row>
    <row r="15" spans="1:27" ht="16.2" x14ac:dyDescent="0.3">
      <c r="A15" s="42">
        <v>12</v>
      </c>
      <c r="B15" s="66" t="s">
        <v>172</v>
      </c>
      <c r="C15" s="66" t="s">
        <v>168</v>
      </c>
      <c r="D15" s="66" t="s">
        <v>62</v>
      </c>
      <c r="E15" s="66" t="s">
        <v>23</v>
      </c>
      <c r="F15" s="66" t="s">
        <v>91</v>
      </c>
      <c r="G15" s="39"/>
      <c r="H15" s="40">
        <v>7</v>
      </c>
      <c r="I15" s="40">
        <v>5</v>
      </c>
      <c r="J15" s="40">
        <v>6</v>
      </c>
      <c r="K15" s="40">
        <v>1</v>
      </c>
      <c r="L15" s="40">
        <v>5</v>
      </c>
      <c r="M15" s="7"/>
      <c r="N15" s="40" t="s">
        <v>10</v>
      </c>
      <c r="O15" s="40" t="s">
        <v>2</v>
      </c>
      <c r="P15" s="40" t="s">
        <v>4</v>
      </c>
      <c r="Q15" s="40" t="s">
        <v>199</v>
      </c>
      <c r="R15" s="40" t="s">
        <v>2</v>
      </c>
      <c r="T15" s="7"/>
      <c r="U15" s="91"/>
      <c r="V15" s="92"/>
      <c r="W15" s="92"/>
      <c r="X15" s="92"/>
      <c r="Y15" s="92"/>
      <c r="Z15" s="92"/>
      <c r="AA15" s="7"/>
    </row>
    <row r="16" spans="1:27" thickBot="1" x14ac:dyDescent="0.35">
      <c r="A16" s="42">
        <v>13</v>
      </c>
      <c r="B16" s="66" t="s">
        <v>177</v>
      </c>
      <c r="C16" s="66" t="s">
        <v>74</v>
      </c>
      <c r="D16" s="66" t="s">
        <v>52</v>
      </c>
      <c r="E16" s="66" t="s">
        <v>86</v>
      </c>
      <c r="F16" s="66" t="s">
        <v>77</v>
      </c>
      <c r="G16" s="39"/>
      <c r="H16" s="40">
        <v>8</v>
      </c>
      <c r="I16" s="40">
        <v>9</v>
      </c>
      <c r="J16" s="40">
        <v>11</v>
      </c>
      <c r="K16" s="40">
        <v>7</v>
      </c>
      <c r="L16" s="40">
        <v>8</v>
      </c>
      <c r="M16" s="7"/>
      <c r="N16" s="40" t="s">
        <v>5</v>
      </c>
      <c r="O16" s="40" t="s">
        <v>11</v>
      </c>
      <c r="P16" s="40">
        <v>10</v>
      </c>
      <c r="Q16" s="40" t="s">
        <v>10</v>
      </c>
      <c r="R16" s="40" t="s">
        <v>5</v>
      </c>
      <c r="T16" s="93" t="s">
        <v>222</v>
      </c>
      <c r="U16" s="94"/>
      <c r="V16" s="94"/>
      <c r="W16" s="94"/>
      <c r="X16" s="94"/>
      <c r="Y16" s="94"/>
      <c r="Z16" s="94"/>
      <c r="AA16" s="7"/>
    </row>
    <row r="17" spans="1:27" thickBot="1" x14ac:dyDescent="0.35">
      <c r="A17" s="42">
        <v>14</v>
      </c>
      <c r="B17" s="66" t="s">
        <v>179</v>
      </c>
      <c r="C17" s="66" t="s">
        <v>79</v>
      </c>
      <c r="D17" s="66" t="s">
        <v>63</v>
      </c>
      <c r="E17" s="66" t="s">
        <v>79</v>
      </c>
      <c r="F17" s="66" t="s">
        <v>84</v>
      </c>
      <c r="G17" s="39"/>
      <c r="H17" s="40">
        <v>5</v>
      </c>
      <c r="I17" s="40">
        <v>10</v>
      </c>
      <c r="J17" s="40">
        <v>8</v>
      </c>
      <c r="K17" s="40">
        <v>10</v>
      </c>
      <c r="L17" s="40">
        <v>10</v>
      </c>
      <c r="M17" s="7"/>
      <c r="N17" s="40" t="s">
        <v>2</v>
      </c>
      <c r="O17" s="40" t="s">
        <v>8</v>
      </c>
      <c r="P17" s="40" t="s">
        <v>5</v>
      </c>
      <c r="Q17" s="40" t="s">
        <v>8</v>
      </c>
      <c r="R17" s="40" t="s">
        <v>8</v>
      </c>
      <c r="T17" s="95" t="s">
        <v>22</v>
      </c>
      <c r="U17" s="102" t="s">
        <v>223</v>
      </c>
      <c r="V17" s="81" t="s">
        <v>203</v>
      </c>
      <c r="W17" s="81" t="s">
        <v>204</v>
      </c>
      <c r="X17" s="81" t="s">
        <v>205</v>
      </c>
      <c r="Y17" s="81" t="s">
        <v>206</v>
      </c>
      <c r="Z17" s="81" t="s">
        <v>207</v>
      </c>
      <c r="AA17" s="96"/>
    </row>
    <row r="18" spans="1:27" ht="31.2" x14ac:dyDescent="0.3">
      <c r="A18" s="42">
        <v>15</v>
      </c>
      <c r="B18" s="66" t="s">
        <v>177</v>
      </c>
      <c r="C18" s="66" t="s">
        <v>75</v>
      </c>
      <c r="D18" s="66" t="s">
        <v>66</v>
      </c>
      <c r="E18" s="66" t="s">
        <v>76</v>
      </c>
      <c r="F18" s="66" t="s">
        <v>76</v>
      </c>
      <c r="G18" s="39"/>
      <c r="H18" s="40">
        <v>8</v>
      </c>
      <c r="I18" s="40">
        <v>7</v>
      </c>
      <c r="J18" s="40">
        <v>9</v>
      </c>
      <c r="K18" s="40">
        <v>11</v>
      </c>
      <c r="L18" s="40">
        <v>11</v>
      </c>
      <c r="M18" s="7"/>
      <c r="N18" s="40" t="s">
        <v>5</v>
      </c>
      <c r="O18" s="40" t="s">
        <v>10</v>
      </c>
      <c r="P18" s="40" t="s">
        <v>11</v>
      </c>
      <c r="Q18" s="40">
        <v>10</v>
      </c>
      <c r="R18" s="40">
        <v>10</v>
      </c>
      <c r="T18" s="97" t="s">
        <v>21</v>
      </c>
      <c r="U18" s="100" t="s">
        <v>224</v>
      </c>
      <c r="V18" s="86">
        <f>SUM(V3:V13)</f>
        <v>100</v>
      </c>
      <c r="W18" s="86">
        <f>SUM(W3:W13)</f>
        <v>56</v>
      </c>
      <c r="X18" s="86">
        <f>SUM(X3:X13)</f>
        <v>40</v>
      </c>
      <c r="Y18" s="86">
        <f>SUM(Y3:Y13)</f>
        <v>32</v>
      </c>
      <c r="Z18" s="86">
        <f>SUM(Z3:Z13)</f>
        <v>48</v>
      </c>
      <c r="AA18" s="98"/>
    </row>
    <row r="19" spans="1:27" ht="16.2" x14ac:dyDescent="0.3">
      <c r="A19" s="42">
        <v>16</v>
      </c>
      <c r="B19" s="66" t="s">
        <v>179</v>
      </c>
      <c r="C19" s="66" t="s">
        <v>184</v>
      </c>
      <c r="D19" s="66" t="s">
        <v>65</v>
      </c>
      <c r="E19" s="66" t="s">
        <v>70</v>
      </c>
      <c r="F19" s="66" t="s">
        <v>73</v>
      </c>
      <c r="G19" s="39"/>
      <c r="H19" s="40">
        <v>5</v>
      </c>
      <c r="I19" s="40">
        <v>6</v>
      </c>
      <c r="J19" s="40">
        <v>3</v>
      </c>
      <c r="K19" s="40">
        <v>4</v>
      </c>
      <c r="L19" s="40">
        <v>6</v>
      </c>
      <c r="M19" s="7"/>
      <c r="N19" s="40" t="s">
        <v>2</v>
      </c>
      <c r="O19" s="40" t="s">
        <v>4</v>
      </c>
      <c r="P19" s="40" t="s">
        <v>7</v>
      </c>
      <c r="Q19" s="40" t="s">
        <v>6</v>
      </c>
      <c r="R19" s="40" t="s">
        <v>4</v>
      </c>
      <c r="T19" s="85" t="s">
        <v>225</v>
      </c>
      <c r="U19" s="100" t="s">
        <v>226</v>
      </c>
      <c r="V19" s="86">
        <f>V3*[1]Overview!$B$13</f>
        <v>0</v>
      </c>
      <c r="W19" s="86">
        <f>W3*[1]Overview!$B$13</f>
        <v>8</v>
      </c>
      <c r="X19" s="86">
        <f>X3*[1]Overview!$B$13</f>
        <v>4</v>
      </c>
      <c r="Y19" s="86">
        <f>Y3*[1]Overview!$B$13</f>
        <v>16</v>
      </c>
      <c r="Z19" s="86">
        <f>Z3*[1]Overview!$B$13</f>
        <v>0</v>
      </c>
      <c r="AA19" s="98"/>
    </row>
    <row r="20" spans="1:27" ht="16.5" customHeight="1" x14ac:dyDescent="0.3">
      <c r="A20" s="42">
        <v>17</v>
      </c>
      <c r="B20" s="66" t="s">
        <v>177</v>
      </c>
      <c r="C20" s="66" t="s">
        <v>11</v>
      </c>
      <c r="D20" s="66" t="s">
        <v>52</v>
      </c>
      <c r="E20" s="66" t="s">
        <v>10</v>
      </c>
      <c r="F20" s="66" t="s">
        <v>75</v>
      </c>
      <c r="G20" s="39"/>
      <c r="H20" s="40">
        <v>8</v>
      </c>
      <c r="I20" s="40">
        <v>9</v>
      </c>
      <c r="J20" s="40">
        <v>11</v>
      </c>
      <c r="K20" s="40">
        <v>7</v>
      </c>
      <c r="L20" s="40">
        <v>7</v>
      </c>
      <c r="M20" s="7"/>
      <c r="N20" s="40" t="s">
        <v>5</v>
      </c>
      <c r="O20" s="40" t="s">
        <v>11</v>
      </c>
      <c r="P20" s="40">
        <v>10</v>
      </c>
      <c r="Q20" s="40" t="s">
        <v>10</v>
      </c>
      <c r="R20" s="40" t="s">
        <v>10</v>
      </c>
      <c r="T20" s="85" t="s">
        <v>20</v>
      </c>
      <c r="U20" s="100" t="s">
        <v>285</v>
      </c>
      <c r="V20" s="86">
        <f>V$4</f>
        <v>18</v>
      </c>
      <c r="W20" s="86">
        <f>W4</f>
        <v>0</v>
      </c>
      <c r="X20" s="86">
        <f>X4</f>
        <v>0</v>
      </c>
      <c r="Y20" s="86">
        <f t="shared" ref="Y20:Z20" si="5">Y4</f>
        <v>0</v>
      </c>
      <c r="Z20" s="86">
        <f t="shared" si="5"/>
        <v>0</v>
      </c>
      <c r="AA20" s="98"/>
    </row>
    <row r="21" spans="1:27" ht="16.2" x14ac:dyDescent="0.3">
      <c r="A21" s="42">
        <v>18</v>
      </c>
      <c r="B21" s="66" t="s">
        <v>8</v>
      </c>
      <c r="C21" s="66" t="s">
        <v>8</v>
      </c>
      <c r="D21" s="66" t="s">
        <v>63</v>
      </c>
      <c r="E21" s="66" t="s">
        <v>8</v>
      </c>
      <c r="F21" s="66" t="s">
        <v>79</v>
      </c>
      <c r="G21" s="39"/>
      <c r="H21" s="40">
        <v>10</v>
      </c>
      <c r="I21" s="40">
        <v>10</v>
      </c>
      <c r="J21" s="40">
        <v>8</v>
      </c>
      <c r="K21" s="40">
        <v>10</v>
      </c>
      <c r="L21" s="40">
        <v>10</v>
      </c>
      <c r="M21" s="7"/>
      <c r="N21" s="40" t="s">
        <v>8</v>
      </c>
      <c r="O21" s="40" t="s">
        <v>8</v>
      </c>
      <c r="P21" s="40" t="s">
        <v>5</v>
      </c>
      <c r="Q21" s="40" t="s">
        <v>8</v>
      </c>
      <c r="R21" s="40" t="s">
        <v>8</v>
      </c>
      <c r="T21" s="85" t="s">
        <v>19</v>
      </c>
      <c r="U21" s="100" t="s">
        <v>284</v>
      </c>
      <c r="V21" s="86">
        <f>V5+$V$4</f>
        <v>20</v>
      </c>
      <c r="W21" s="86">
        <f t="shared" ref="W21:Z29" si="6">W5</f>
        <v>2</v>
      </c>
      <c r="X21" s="86">
        <f t="shared" si="6"/>
        <v>2</v>
      </c>
      <c r="Y21" s="86">
        <f t="shared" si="6"/>
        <v>1</v>
      </c>
      <c r="Z21" s="86">
        <f t="shared" si="6"/>
        <v>1</v>
      </c>
      <c r="AA21" s="98"/>
    </row>
    <row r="22" spans="1:27" ht="16.2" x14ac:dyDescent="0.3">
      <c r="A22" s="42">
        <v>19</v>
      </c>
      <c r="B22" s="66" t="s">
        <v>10</v>
      </c>
      <c r="C22" s="66" t="s">
        <v>10</v>
      </c>
      <c r="D22" s="66" t="s">
        <v>66</v>
      </c>
      <c r="E22" s="66" t="s">
        <v>61</v>
      </c>
      <c r="F22" s="66" t="s">
        <v>5</v>
      </c>
      <c r="G22" s="39"/>
      <c r="H22" s="40">
        <v>7</v>
      </c>
      <c r="I22" s="40">
        <v>7</v>
      </c>
      <c r="J22" s="40">
        <v>9</v>
      </c>
      <c r="K22" s="40">
        <v>11</v>
      </c>
      <c r="L22" s="40">
        <v>8</v>
      </c>
      <c r="M22" s="7"/>
      <c r="N22" s="40" t="s">
        <v>10</v>
      </c>
      <c r="O22" s="40" t="s">
        <v>10</v>
      </c>
      <c r="P22" s="40" t="s">
        <v>11</v>
      </c>
      <c r="Q22" s="40">
        <v>10</v>
      </c>
      <c r="R22" s="40" t="s">
        <v>5</v>
      </c>
      <c r="T22" s="85" t="s">
        <v>18</v>
      </c>
      <c r="U22" s="100" t="s">
        <v>286</v>
      </c>
      <c r="V22" s="86">
        <f t="shared" ref="V22:V29" si="7">V6+$V$4</f>
        <v>22</v>
      </c>
      <c r="W22" s="86">
        <f t="shared" si="6"/>
        <v>2</v>
      </c>
      <c r="X22" s="86">
        <f t="shared" si="6"/>
        <v>3</v>
      </c>
      <c r="Y22" s="86">
        <f t="shared" si="6"/>
        <v>1</v>
      </c>
      <c r="Z22" s="86">
        <f t="shared" si="6"/>
        <v>1</v>
      </c>
      <c r="AA22" s="98"/>
    </row>
    <row r="23" spans="1:27" ht="16.2" x14ac:dyDescent="0.3">
      <c r="A23" s="42">
        <v>20</v>
      </c>
      <c r="B23" s="66" t="s">
        <v>3</v>
      </c>
      <c r="C23" s="66" t="s">
        <v>168</v>
      </c>
      <c r="D23" s="66" t="s">
        <v>174</v>
      </c>
      <c r="E23" s="66" t="s">
        <v>65</v>
      </c>
      <c r="F23" s="66" t="s">
        <v>168</v>
      </c>
      <c r="G23" s="39"/>
      <c r="H23" s="40">
        <v>2</v>
      </c>
      <c r="I23" s="40">
        <v>5</v>
      </c>
      <c r="J23" s="40">
        <v>4</v>
      </c>
      <c r="K23" s="40">
        <v>3</v>
      </c>
      <c r="L23" s="40">
        <v>5</v>
      </c>
      <c r="M23" s="7"/>
      <c r="N23" s="40" t="s">
        <v>3</v>
      </c>
      <c r="O23" s="40" t="s">
        <v>2</v>
      </c>
      <c r="P23" s="40" t="s">
        <v>6</v>
      </c>
      <c r="Q23" s="40" t="s">
        <v>7</v>
      </c>
      <c r="R23" s="40" t="s">
        <v>2</v>
      </c>
      <c r="T23" s="85" t="s">
        <v>17</v>
      </c>
      <c r="U23" s="100" t="s">
        <v>287</v>
      </c>
      <c r="V23" s="86">
        <f t="shared" si="7"/>
        <v>24</v>
      </c>
      <c r="W23" s="86">
        <f t="shared" si="6"/>
        <v>4</v>
      </c>
      <c r="X23" s="86">
        <f t="shared" si="6"/>
        <v>2</v>
      </c>
      <c r="Y23" s="86">
        <f t="shared" si="6"/>
        <v>1</v>
      </c>
      <c r="Z23" s="86">
        <f t="shared" si="6"/>
        <v>5</v>
      </c>
      <c r="AA23" s="98"/>
    </row>
    <row r="24" spans="1:27" ht="16.5" customHeight="1" x14ac:dyDescent="0.3">
      <c r="A24" s="42">
        <v>21</v>
      </c>
      <c r="B24" s="66" t="s">
        <v>10</v>
      </c>
      <c r="C24" s="66" t="s">
        <v>74</v>
      </c>
      <c r="D24" s="66" t="s">
        <v>42</v>
      </c>
      <c r="E24" s="66" t="s">
        <v>75</v>
      </c>
      <c r="F24" s="66" t="s">
        <v>82</v>
      </c>
      <c r="G24" s="39"/>
      <c r="H24" s="40">
        <v>7</v>
      </c>
      <c r="I24" s="40">
        <v>9</v>
      </c>
      <c r="J24" s="40">
        <v>11</v>
      </c>
      <c r="K24" s="40">
        <v>7</v>
      </c>
      <c r="L24" s="40">
        <v>11</v>
      </c>
      <c r="M24" s="7"/>
      <c r="N24" s="40" t="s">
        <v>10</v>
      </c>
      <c r="O24" s="40" t="s">
        <v>11</v>
      </c>
      <c r="P24" s="40">
        <v>10</v>
      </c>
      <c r="Q24" s="40" t="s">
        <v>10</v>
      </c>
      <c r="R24" s="40">
        <v>10</v>
      </c>
      <c r="T24" s="85" t="s">
        <v>227</v>
      </c>
      <c r="U24" s="100" t="s">
        <v>288</v>
      </c>
      <c r="V24" s="86">
        <f t="shared" si="7"/>
        <v>24</v>
      </c>
      <c r="W24" s="86">
        <f t="shared" si="6"/>
        <v>4</v>
      </c>
      <c r="X24" s="86">
        <f t="shared" si="6"/>
        <v>2</v>
      </c>
      <c r="Y24" s="86">
        <f t="shared" si="6"/>
        <v>1</v>
      </c>
      <c r="Z24" s="86">
        <f t="shared" si="6"/>
        <v>5</v>
      </c>
      <c r="AA24" s="98"/>
    </row>
    <row r="25" spans="1:27" ht="16.2" x14ac:dyDescent="0.3">
      <c r="A25" s="42">
        <v>22</v>
      </c>
      <c r="B25" s="66" t="s">
        <v>3</v>
      </c>
      <c r="C25" s="66" t="s">
        <v>79</v>
      </c>
      <c r="D25" s="66" t="s">
        <v>63</v>
      </c>
      <c r="E25" s="66" t="s">
        <v>79</v>
      </c>
      <c r="F25" s="66" t="s">
        <v>8</v>
      </c>
      <c r="G25" s="39"/>
      <c r="H25" s="40">
        <v>2</v>
      </c>
      <c r="I25" s="40">
        <v>10</v>
      </c>
      <c r="J25" s="40">
        <v>8</v>
      </c>
      <c r="K25" s="40">
        <v>10</v>
      </c>
      <c r="L25" s="40">
        <v>10</v>
      </c>
      <c r="M25" s="7"/>
      <c r="N25" s="40" t="s">
        <v>3</v>
      </c>
      <c r="O25" s="40" t="s">
        <v>8</v>
      </c>
      <c r="P25" s="40" t="s">
        <v>5</v>
      </c>
      <c r="Q25" s="40" t="s">
        <v>8</v>
      </c>
      <c r="R25" s="40" t="s">
        <v>8</v>
      </c>
      <c r="T25" s="85" t="s">
        <v>228</v>
      </c>
      <c r="U25" s="100" t="s">
        <v>289</v>
      </c>
      <c r="V25" s="86">
        <f t="shared" si="7"/>
        <v>38</v>
      </c>
      <c r="W25" s="86">
        <f t="shared" si="6"/>
        <v>13</v>
      </c>
      <c r="X25" s="86">
        <f t="shared" si="6"/>
        <v>1</v>
      </c>
      <c r="Y25" s="86">
        <f t="shared" si="6"/>
        <v>7</v>
      </c>
      <c r="Z25" s="86">
        <f t="shared" si="6"/>
        <v>2</v>
      </c>
      <c r="AA25" s="98"/>
    </row>
    <row r="26" spans="1:27" ht="16.2" x14ac:dyDescent="0.3">
      <c r="A26" s="42">
        <v>23</v>
      </c>
      <c r="B26" s="66" t="s">
        <v>10</v>
      </c>
      <c r="C26" s="66" t="s">
        <v>10</v>
      </c>
      <c r="D26" s="66" t="s">
        <v>66</v>
      </c>
      <c r="E26" s="66" t="s">
        <v>76</v>
      </c>
      <c r="F26" s="66" t="s">
        <v>5</v>
      </c>
      <c r="G26" s="39"/>
      <c r="H26" s="40">
        <v>7</v>
      </c>
      <c r="I26" s="40">
        <v>7</v>
      </c>
      <c r="J26" s="40">
        <v>9</v>
      </c>
      <c r="K26" s="40">
        <v>11</v>
      </c>
      <c r="L26" s="40">
        <v>8</v>
      </c>
      <c r="M26" s="7"/>
      <c r="N26" s="40" t="s">
        <v>10</v>
      </c>
      <c r="O26" s="40" t="s">
        <v>10</v>
      </c>
      <c r="P26" s="40" t="s">
        <v>11</v>
      </c>
      <c r="Q26" s="40">
        <v>10</v>
      </c>
      <c r="R26" s="40" t="s">
        <v>5</v>
      </c>
      <c r="T26" s="85" t="s">
        <v>229</v>
      </c>
      <c r="U26" s="100" t="s">
        <v>290</v>
      </c>
      <c r="V26" s="86">
        <f t="shared" si="7"/>
        <v>35</v>
      </c>
      <c r="W26" s="86">
        <f t="shared" si="6"/>
        <v>1</v>
      </c>
      <c r="X26" s="86">
        <f t="shared" si="6"/>
        <v>9</v>
      </c>
      <c r="Y26" s="86">
        <f t="shared" si="6"/>
        <v>1</v>
      </c>
      <c r="Z26" s="86">
        <f t="shared" si="6"/>
        <v>11</v>
      </c>
      <c r="AA26" s="98"/>
    </row>
    <row r="27" spans="1:27" ht="16.2" x14ac:dyDescent="0.3">
      <c r="A27" s="42">
        <v>24</v>
      </c>
      <c r="B27" s="66" t="s">
        <v>5</v>
      </c>
      <c r="C27" s="66" t="s">
        <v>73</v>
      </c>
      <c r="D27" s="66" t="s">
        <v>83</v>
      </c>
      <c r="E27" s="66" t="s">
        <v>83</v>
      </c>
      <c r="F27" s="66" t="s">
        <v>94</v>
      </c>
      <c r="G27" s="39"/>
      <c r="H27" s="40">
        <v>8</v>
      </c>
      <c r="I27" s="40">
        <v>6</v>
      </c>
      <c r="J27" s="40">
        <v>1</v>
      </c>
      <c r="K27" s="40">
        <v>1</v>
      </c>
      <c r="L27" s="40">
        <v>6</v>
      </c>
      <c r="M27" s="7"/>
      <c r="N27" s="40" t="s">
        <v>5</v>
      </c>
      <c r="O27" s="40" t="s">
        <v>4</v>
      </c>
      <c r="P27" s="40" t="s">
        <v>199</v>
      </c>
      <c r="Q27" s="40" t="s">
        <v>199</v>
      </c>
      <c r="R27" s="40" t="s">
        <v>4</v>
      </c>
      <c r="T27" s="85" t="s">
        <v>230</v>
      </c>
      <c r="U27" s="100" t="s">
        <v>291</v>
      </c>
      <c r="V27" s="86">
        <f t="shared" si="7"/>
        <v>28</v>
      </c>
      <c r="W27" s="86">
        <f t="shared" si="6"/>
        <v>13</v>
      </c>
      <c r="X27" s="86">
        <f t="shared" si="6"/>
        <v>9</v>
      </c>
      <c r="Y27" s="86">
        <f t="shared" si="6"/>
        <v>1</v>
      </c>
      <c r="Z27" s="86">
        <f t="shared" si="6"/>
        <v>1</v>
      </c>
      <c r="AA27" s="98"/>
    </row>
    <row r="28" spans="1:27" ht="16.2" x14ac:dyDescent="0.3">
      <c r="A28" s="42">
        <v>25</v>
      </c>
      <c r="B28" s="66" t="s">
        <v>11</v>
      </c>
      <c r="C28" s="66" t="s">
        <v>85</v>
      </c>
      <c r="D28" s="66" t="s">
        <v>52</v>
      </c>
      <c r="E28" s="66" t="s">
        <v>75</v>
      </c>
      <c r="F28" s="66" t="s">
        <v>42</v>
      </c>
      <c r="G28" s="39"/>
      <c r="H28" s="40">
        <v>9</v>
      </c>
      <c r="I28" s="40">
        <v>9</v>
      </c>
      <c r="J28" s="40">
        <v>11</v>
      </c>
      <c r="K28" s="40">
        <v>7</v>
      </c>
      <c r="L28" s="40">
        <v>11</v>
      </c>
      <c r="M28" s="7"/>
      <c r="N28" s="40" t="s">
        <v>11</v>
      </c>
      <c r="O28" s="40" t="s">
        <v>11</v>
      </c>
      <c r="P28" s="40">
        <v>10</v>
      </c>
      <c r="Q28" s="40" t="s">
        <v>10</v>
      </c>
      <c r="R28" s="40">
        <v>10</v>
      </c>
      <c r="T28" s="85" t="s">
        <v>231</v>
      </c>
      <c r="U28" s="100" t="s">
        <v>292</v>
      </c>
      <c r="V28" s="86">
        <f t="shared" si="7"/>
        <v>34</v>
      </c>
      <c r="W28" s="86">
        <f t="shared" si="6"/>
        <v>13</v>
      </c>
      <c r="X28" s="86">
        <f t="shared" si="6"/>
        <v>1</v>
      </c>
      <c r="Y28" s="86">
        <f t="shared" si="6"/>
        <v>8</v>
      </c>
      <c r="Z28" s="86">
        <f t="shared" si="6"/>
        <v>11</v>
      </c>
      <c r="AA28" s="98"/>
    </row>
    <row r="29" spans="1:27" thickBot="1" x14ac:dyDescent="0.35">
      <c r="A29" s="42">
        <v>26</v>
      </c>
      <c r="B29" s="66" t="s">
        <v>6</v>
      </c>
      <c r="C29" s="66" t="s">
        <v>79</v>
      </c>
      <c r="D29" s="66" t="s">
        <v>63</v>
      </c>
      <c r="E29" s="66" t="s">
        <v>64</v>
      </c>
      <c r="F29" s="66" t="s">
        <v>8</v>
      </c>
      <c r="G29" s="39"/>
      <c r="H29" s="40">
        <v>4</v>
      </c>
      <c r="I29" s="40">
        <v>10</v>
      </c>
      <c r="J29" s="40">
        <v>8</v>
      </c>
      <c r="K29" s="40">
        <v>10</v>
      </c>
      <c r="L29" s="40">
        <v>10</v>
      </c>
      <c r="M29" s="7"/>
      <c r="N29" s="40" t="s">
        <v>6</v>
      </c>
      <c r="O29" s="40" t="s">
        <v>8</v>
      </c>
      <c r="P29" s="40" t="s">
        <v>5</v>
      </c>
      <c r="Q29" s="40" t="s">
        <v>8</v>
      </c>
      <c r="R29" s="40" t="s">
        <v>8</v>
      </c>
      <c r="T29" s="103" t="s">
        <v>232</v>
      </c>
      <c r="U29" s="99" t="s">
        <v>293</v>
      </c>
      <c r="V29" s="101">
        <f t="shared" si="7"/>
        <v>19</v>
      </c>
      <c r="W29" s="101">
        <f t="shared" si="6"/>
        <v>2</v>
      </c>
      <c r="X29" s="101">
        <f t="shared" si="6"/>
        <v>10</v>
      </c>
      <c r="Y29" s="101">
        <f t="shared" si="6"/>
        <v>7</v>
      </c>
      <c r="Z29" s="101">
        <f t="shared" si="6"/>
        <v>11</v>
      </c>
      <c r="AA29" s="98"/>
    </row>
    <row r="30" spans="1:27" ht="16.2" x14ac:dyDescent="0.3">
      <c r="A30" s="42">
        <v>27</v>
      </c>
      <c r="B30" s="66" t="s">
        <v>11</v>
      </c>
      <c r="C30" s="66" t="s">
        <v>75</v>
      </c>
      <c r="D30" s="66" t="s">
        <v>66</v>
      </c>
      <c r="E30" s="66" t="s">
        <v>85</v>
      </c>
      <c r="F30" s="66" t="s">
        <v>5</v>
      </c>
      <c r="G30" s="39"/>
      <c r="H30" s="40">
        <v>9</v>
      </c>
      <c r="I30" s="40">
        <v>7</v>
      </c>
      <c r="J30" s="40">
        <v>9</v>
      </c>
      <c r="K30" s="40">
        <v>9</v>
      </c>
      <c r="L30" s="40">
        <v>8</v>
      </c>
      <c r="M30" s="7"/>
      <c r="N30" s="40" t="s">
        <v>11</v>
      </c>
      <c r="O30" s="40" t="s">
        <v>10</v>
      </c>
      <c r="P30" s="40" t="s">
        <v>11</v>
      </c>
      <c r="Q30" s="40" t="s">
        <v>11</v>
      </c>
      <c r="R30" s="40" t="s">
        <v>5</v>
      </c>
    </row>
    <row r="31" spans="1:27" ht="16.2" x14ac:dyDescent="0.3">
      <c r="A31" s="42">
        <v>28</v>
      </c>
      <c r="B31" s="66" t="s">
        <v>6</v>
      </c>
      <c r="C31" s="66" t="s">
        <v>168</v>
      </c>
      <c r="D31" s="66" t="s">
        <v>185</v>
      </c>
      <c r="E31" s="66" t="s">
        <v>87</v>
      </c>
      <c r="F31" s="66" t="s">
        <v>93</v>
      </c>
      <c r="G31" s="39"/>
      <c r="H31" s="40">
        <v>4</v>
      </c>
      <c r="I31" s="40">
        <v>5</v>
      </c>
      <c r="J31" s="40">
        <v>3</v>
      </c>
      <c r="K31" s="40">
        <v>1</v>
      </c>
      <c r="L31" s="40">
        <v>4</v>
      </c>
      <c r="M31" s="7"/>
      <c r="N31" s="40" t="s">
        <v>6</v>
      </c>
      <c r="O31" s="40" t="s">
        <v>2</v>
      </c>
      <c r="P31" s="40" t="s">
        <v>7</v>
      </c>
      <c r="Q31" s="40" t="s">
        <v>199</v>
      </c>
      <c r="R31" s="40" t="s">
        <v>6</v>
      </c>
    </row>
    <row r="32" spans="1:27" ht="16.2" x14ac:dyDescent="0.3">
      <c r="A32" s="42">
        <v>29</v>
      </c>
      <c r="B32" s="66" t="s">
        <v>11</v>
      </c>
      <c r="C32" s="66" t="s">
        <v>74</v>
      </c>
      <c r="D32" s="66" t="s">
        <v>52</v>
      </c>
      <c r="E32" s="66" t="s">
        <v>82</v>
      </c>
      <c r="F32" s="66" t="s">
        <v>42</v>
      </c>
      <c r="G32" s="39"/>
      <c r="H32" s="40">
        <v>9</v>
      </c>
      <c r="I32" s="40">
        <v>9</v>
      </c>
      <c r="J32" s="40">
        <v>11</v>
      </c>
      <c r="K32" s="40">
        <v>11</v>
      </c>
      <c r="L32" s="40">
        <v>11</v>
      </c>
      <c r="M32" s="7"/>
      <c r="N32" s="40" t="s">
        <v>11</v>
      </c>
      <c r="O32" s="40" t="s">
        <v>11</v>
      </c>
      <c r="P32" s="40">
        <v>10</v>
      </c>
      <c r="Q32" s="40">
        <v>10</v>
      </c>
      <c r="R32" s="40">
        <v>10</v>
      </c>
    </row>
    <row r="33" spans="1:18" ht="16.2" x14ac:dyDescent="0.3">
      <c r="A33" s="42">
        <v>30</v>
      </c>
      <c r="B33" s="66" t="s">
        <v>10</v>
      </c>
      <c r="C33" s="66" t="s">
        <v>79</v>
      </c>
      <c r="D33" s="66" t="s">
        <v>63</v>
      </c>
      <c r="E33" s="66" t="s">
        <v>64</v>
      </c>
      <c r="F33" s="66" t="s">
        <v>8</v>
      </c>
      <c r="G33" s="39"/>
      <c r="H33" s="40">
        <v>7</v>
      </c>
      <c r="I33" s="40">
        <v>10</v>
      </c>
      <c r="J33" s="40">
        <v>8</v>
      </c>
      <c r="K33" s="40">
        <v>10</v>
      </c>
      <c r="L33" s="40">
        <v>10</v>
      </c>
      <c r="M33" s="7"/>
      <c r="N33" s="40" t="s">
        <v>10</v>
      </c>
      <c r="O33" s="40" t="s">
        <v>8</v>
      </c>
      <c r="P33" s="40" t="s">
        <v>5</v>
      </c>
      <c r="Q33" s="40" t="s">
        <v>8</v>
      </c>
      <c r="R33" s="40" t="s">
        <v>8</v>
      </c>
    </row>
    <row r="34" spans="1:18" ht="16.2" x14ac:dyDescent="0.3">
      <c r="A34" s="42">
        <v>31</v>
      </c>
      <c r="B34" s="66" t="s">
        <v>3</v>
      </c>
      <c r="C34" s="66" t="s">
        <v>75</v>
      </c>
      <c r="D34" s="66" t="s">
        <v>66</v>
      </c>
      <c r="E34" s="66" t="s">
        <v>67</v>
      </c>
      <c r="F34" s="66" t="s">
        <v>71</v>
      </c>
      <c r="G34" s="39"/>
      <c r="H34" s="40">
        <v>2</v>
      </c>
      <c r="I34" s="40">
        <v>7</v>
      </c>
      <c r="J34" s="40">
        <v>9</v>
      </c>
      <c r="K34" s="40">
        <v>7</v>
      </c>
      <c r="L34" s="40">
        <v>8</v>
      </c>
      <c r="M34" s="7"/>
      <c r="N34" s="40" t="s">
        <v>3</v>
      </c>
      <c r="O34" s="40" t="s">
        <v>10</v>
      </c>
      <c r="P34" s="40" t="s">
        <v>11</v>
      </c>
      <c r="Q34" s="40" t="s">
        <v>10</v>
      </c>
      <c r="R34" s="40" t="s">
        <v>5</v>
      </c>
    </row>
    <row r="35" spans="1:18" ht="16.2" x14ac:dyDescent="0.3">
      <c r="A35" s="42">
        <v>32</v>
      </c>
      <c r="B35" s="66" t="s">
        <v>10</v>
      </c>
      <c r="C35" s="66" t="s">
        <v>88</v>
      </c>
      <c r="D35" s="66" t="s">
        <v>70</v>
      </c>
      <c r="E35" s="66"/>
      <c r="F35" s="66" t="s">
        <v>73</v>
      </c>
      <c r="G35" s="39"/>
      <c r="H35" s="40">
        <v>7</v>
      </c>
      <c r="I35" s="40">
        <v>3</v>
      </c>
      <c r="J35" s="40">
        <v>4</v>
      </c>
      <c r="K35" s="40" t="s">
        <v>200</v>
      </c>
      <c r="L35" s="40">
        <v>6</v>
      </c>
      <c r="M35" s="7"/>
      <c r="N35" s="40" t="s">
        <v>10</v>
      </c>
      <c r="O35" s="40" t="s">
        <v>7</v>
      </c>
      <c r="P35" s="40" t="s">
        <v>6</v>
      </c>
      <c r="Q35" s="40" t="s">
        <v>200</v>
      </c>
      <c r="R35" s="40" t="s">
        <v>4</v>
      </c>
    </row>
    <row r="36" spans="1:18" ht="16.2" x14ac:dyDescent="0.3">
      <c r="A36" s="42">
        <v>33</v>
      </c>
      <c r="B36" s="66" t="s">
        <v>3</v>
      </c>
      <c r="C36" s="66" t="s">
        <v>74</v>
      </c>
      <c r="D36" s="66" t="s">
        <v>52</v>
      </c>
      <c r="E36" s="66"/>
      <c r="F36" s="66" t="s">
        <v>82</v>
      </c>
      <c r="G36" s="39"/>
      <c r="H36" s="40">
        <v>2</v>
      </c>
      <c r="I36" s="40">
        <v>9</v>
      </c>
      <c r="J36" s="40">
        <v>11</v>
      </c>
      <c r="K36" s="40" t="s">
        <v>200</v>
      </c>
      <c r="L36" s="40">
        <v>11</v>
      </c>
      <c r="M36" s="7"/>
      <c r="N36" s="40" t="s">
        <v>3</v>
      </c>
      <c r="O36" s="40" t="s">
        <v>11</v>
      </c>
      <c r="P36" s="40">
        <v>10</v>
      </c>
      <c r="Q36" s="40" t="s">
        <v>200</v>
      </c>
      <c r="R36" s="40">
        <v>10</v>
      </c>
    </row>
    <row r="37" spans="1:18" ht="16.2" x14ac:dyDescent="0.3">
      <c r="A37" s="42">
        <v>34</v>
      </c>
      <c r="B37" s="66" t="s">
        <v>10</v>
      </c>
      <c r="C37" s="66" t="s">
        <v>79</v>
      </c>
      <c r="D37" s="66" t="s">
        <v>63</v>
      </c>
      <c r="E37" s="66"/>
      <c r="F37" s="66" t="s">
        <v>79</v>
      </c>
      <c r="G37" s="39"/>
      <c r="H37" s="40">
        <v>7</v>
      </c>
      <c r="I37" s="40">
        <v>10</v>
      </c>
      <c r="J37" s="40">
        <v>8</v>
      </c>
      <c r="K37" s="40" t="s">
        <v>200</v>
      </c>
      <c r="L37" s="40">
        <v>10</v>
      </c>
      <c r="M37" s="7"/>
      <c r="N37" s="40" t="s">
        <v>10</v>
      </c>
      <c r="O37" s="40" t="s">
        <v>8</v>
      </c>
      <c r="P37" s="40" t="s">
        <v>5</v>
      </c>
      <c r="Q37" s="40" t="s">
        <v>200</v>
      </c>
      <c r="R37" s="40" t="s">
        <v>8</v>
      </c>
    </row>
    <row r="38" spans="1:18" ht="16.2" x14ac:dyDescent="0.3">
      <c r="A38" s="42">
        <v>35</v>
      </c>
      <c r="B38" s="66" t="s">
        <v>8</v>
      </c>
      <c r="C38" s="66" t="s">
        <v>75</v>
      </c>
      <c r="D38" s="66" t="s">
        <v>66</v>
      </c>
      <c r="E38" s="66"/>
      <c r="F38" s="66" t="s">
        <v>71</v>
      </c>
      <c r="G38" s="39"/>
      <c r="H38" s="40">
        <v>10</v>
      </c>
      <c r="I38" s="40">
        <v>7</v>
      </c>
      <c r="J38" s="40">
        <v>9</v>
      </c>
      <c r="K38" s="40" t="s">
        <v>200</v>
      </c>
      <c r="L38" s="40">
        <v>8</v>
      </c>
      <c r="M38" s="7"/>
      <c r="N38" s="40" t="s">
        <v>8</v>
      </c>
      <c r="O38" s="40" t="s">
        <v>10</v>
      </c>
      <c r="P38" s="40" t="s">
        <v>11</v>
      </c>
      <c r="Q38" s="40" t="s">
        <v>200</v>
      </c>
      <c r="R38" s="40" t="s">
        <v>5</v>
      </c>
    </row>
    <row r="39" spans="1:18" ht="16.2" x14ac:dyDescent="0.3">
      <c r="A39" s="42">
        <v>36</v>
      </c>
      <c r="B39" s="66" t="s">
        <v>4</v>
      </c>
      <c r="C39" s="66" t="s">
        <v>73</v>
      </c>
      <c r="D39" s="66" t="s">
        <v>68</v>
      </c>
      <c r="E39" s="66"/>
      <c r="F39" s="66" t="s">
        <v>81</v>
      </c>
      <c r="G39" s="39"/>
      <c r="H39" s="40">
        <v>6</v>
      </c>
      <c r="I39" s="40">
        <v>6</v>
      </c>
      <c r="J39" s="40">
        <v>5</v>
      </c>
      <c r="K39" s="40" t="s">
        <v>200</v>
      </c>
      <c r="L39" s="40">
        <v>5</v>
      </c>
      <c r="M39" s="7"/>
      <c r="N39" s="40" t="s">
        <v>4</v>
      </c>
      <c r="O39" s="40" t="s">
        <v>4</v>
      </c>
      <c r="P39" s="40" t="s">
        <v>2</v>
      </c>
      <c r="Q39" s="40" t="s">
        <v>200</v>
      </c>
      <c r="R39" s="40" t="s">
        <v>2</v>
      </c>
    </row>
    <row r="40" spans="1:18" ht="16.2" x14ac:dyDescent="0.3">
      <c r="A40" s="42">
        <v>37</v>
      </c>
      <c r="B40" s="66" t="s">
        <v>8</v>
      </c>
      <c r="C40" s="66" t="s">
        <v>74</v>
      </c>
      <c r="D40" s="66" t="s">
        <v>42</v>
      </c>
      <c r="E40" s="66"/>
      <c r="F40" s="66" t="s">
        <v>76</v>
      </c>
      <c r="G40" s="39"/>
      <c r="H40" s="40">
        <v>10</v>
      </c>
      <c r="I40" s="40">
        <v>9</v>
      </c>
      <c r="J40" s="40">
        <v>11</v>
      </c>
      <c r="K40" s="40" t="s">
        <v>200</v>
      </c>
      <c r="L40" s="40">
        <v>11</v>
      </c>
      <c r="M40" s="7"/>
      <c r="N40" s="40" t="s">
        <v>8</v>
      </c>
      <c r="O40" s="40" t="s">
        <v>11</v>
      </c>
      <c r="P40" s="40">
        <v>10</v>
      </c>
      <c r="Q40" s="40" t="s">
        <v>200</v>
      </c>
      <c r="R40" s="40">
        <v>10</v>
      </c>
    </row>
    <row r="41" spans="1:18" ht="16.2" x14ac:dyDescent="0.3">
      <c r="A41" s="42">
        <v>38</v>
      </c>
      <c r="B41" s="66" t="s">
        <v>4</v>
      </c>
      <c r="C41" s="66" t="s">
        <v>79</v>
      </c>
      <c r="D41" s="66" t="s">
        <v>5</v>
      </c>
      <c r="E41" s="66"/>
      <c r="F41" s="66" t="s">
        <v>79</v>
      </c>
      <c r="G41" s="39"/>
      <c r="H41" s="40">
        <v>6</v>
      </c>
      <c r="I41" s="40">
        <v>10</v>
      </c>
      <c r="J41" s="40">
        <v>8</v>
      </c>
      <c r="K41" s="40" t="s">
        <v>200</v>
      </c>
      <c r="L41" s="40">
        <v>10</v>
      </c>
      <c r="M41" s="7"/>
      <c r="N41" s="40" t="s">
        <v>4</v>
      </c>
      <c r="O41" s="40" t="s">
        <v>8</v>
      </c>
      <c r="P41" s="40" t="s">
        <v>5</v>
      </c>
      <c r="Q41" s="40" t="s">
        <v>200</v>
      </c>
      <c r="R41" s="40" t="s">
        <v>8</v>
      </c>
    </row>
    <row r="42" spans="1:18" ht="16.2" x14ac:dyDescent="0.3">
      <c r="A42" s="42">
        <v>39</v>
      </c>
      <c r="B42" s="66" t="s">
        <v>8</v>
      </c>
      <c r="C42" s="66" t="s">
        <v>75</v>
      </c>
      <c r="D42" s="66" t="s">
        <v>11</v>
      </c>
      <c r="E42" s="66"/>
      <c r="F42" s="66" t="s">
        <v>77</v>
      </c>
      <c r="G42" s="39"/>
      <c r="H42" s="40">
        <v>10</v>
      </c>
      <c r="I42" s="40">
        <v>7</v>
      </c>
      <c r="J42" s="40">
        <v>9</v>
      </c>
      <c r="K42" s="40" t="s">
        <v>200</v>
      </c>
      <c r="L42" s="40">
        <v>8</v>
      </c>
      <c r="M42" s="7"/>
      <c r="N42" s="40" t="s">
        <v>8</v>
      </c>
      <c r="O42" s="40" t="s">
        <v>10</v>
      </c>
      <c r="P42" s="40" t="s">
        <v>11</v>
      </c>
      <c r="Q42" s="40" t="s">
        <v>200</v>
      </c>
      <c r="R42" s="40" t="s">
        <v>5</v>
      </c>
    </row>
    <row r="43" spans="1:18" ht="16.2" x14ac:dyDescent="0.3">
      <c r="A43" s="42">
        <v>40</v>
      </c>
      <c r="B43" s="66" t="s">
        <v>177</v>
      </c>
      <c r="C43" s="66" t="s">
        <v>2</v>
      </c>
      <c r="D43" s="66"/>
      <c r="E43" s="66"/>
      <c r="F43" s="66" t="s">
        <v>73</v>
      </c>
      <c r="G43" s="39"/>
      <c r="H43" s="40">
        <v>8</v>
      </c>
      <c r="I43" s="40">
        <v>5</v>
      </c>
      <c r="J43" s="40" t="s">
        <v>200</v>
      </c>
      <c r="K43" s="40" t="s">
        <v>200</v>
      </c>
      <c r="L43" s="40">
        <v>6</v>
      </c>
      <c r="M43" s="7"/>
      <c r="N43" s="40" t="s">
        <v>5</v>
      </c>
      <c r="O43" s="40" t="s">
        <v>2</v>
      </c>
      <c r="P43" s="40" t="s">
        <v>200</v>
      </c>
      <c r="Q43" s="40" t="s">
        <v>200</v>
      </c>
      <c r="R43" s="40" t="s">
        <v>4</v>
      </c>
    </row>
    <row r="44" spans="1:18" ht="16.2" x14ac:dyDescent="0.3">
      <c r="A44" s="42">
        <v>41</v>
      </c>
      <c r="B44" s="66" t="s">
        <v>172</v>
      </c>
      <c r="C44" s="66" t="s">
        <v>11</v>
      </c>
      <c r="D44" s="66"/>
      <c r="E44" s="66"/>
      <c r="F44" s="66" t="s">
        <v>74</v>
      </c>
      <c r="G44" s="39"/>
      <c r="H44" s="40">
        <v>7</v>
      </c>
      <c r="I44" s="40">
        <v>9</v>
      </c>
      <c r="J44" s="40" t="s">
        <v>200</v>
      </c>
      <c r="K44" s="40" t="s">
        <v>200</v>
      </c>
      <c r="L44" s="40">
        <v>9</v>
      </c>
      <c r="M44" s="7"/>
      <c r="N44" s="40" t="s">
        <v>10</v>
      </c>
      <c r="O44" s="40" t="s">
        <v>11</v>
      </c>
      <c r="P44" s="40" t="s">
        <v>200</v>
      </c>
      <c r="Q44" s="40" t="s">
        <v>200</v>
      </c>
      <c r="R44" s="40" t="s">
        <v>11</v>
      </c>
    </row>
    <row r="45" spans="1:18" ht="16.2" x14ac:dyDescent="0.3">
      <c r="A45" s="42">
        <v>42</v>
      </c>
      <c r="B45" s="66" t="s">
        <v>176</v>
      </c>
      <c r="C45" s="66" t="s">
        <v>8</v>
      </c>
      <c r="D45" s="66"/>
      <c r="E45" s="66"/>
      <c r="F45" s="66" t="s">
        <v>84</v>
      </c>
      <c r="G45" s="39"/>
      <c r="H45" s="40">
        <v>2</v>
      </c>
      <c r="I45" s="40">
        <v>10</v>
      </c>
      <c r="J45" s="40" t="s">
        <v>200</v>
      </c>
      <c r="K45" s="40" t="s">
        <v>200</v>
      </c>
      <c r="L45" s="40">
        <v>10</v>
      </c>
      <c r="M45" s="7"/>
      <c r="N45" s="40" t="s">
        <v>3</v>
      </c>
      <c r="O45" s="40" t="s">
        <v>8</v>
      </c>
      <c r="P45" s="40" t="s">
        <v>200</v>
      </c>
      <c r="Q45" s="40" t="s">
        <v>200</v>
      </c>
      <c r="R45" s="40" t="s">
        <v>8</v>
      </c>
    </row>
    <row r="46" spans="1:18" ht="16.2" x14ac:dyDescent="0.3">
      <c r="A46" s="42">
        <v>43</v>
      </c>
      <c r="B46" s="66" t="s">
        <v>3</v>
      </c>
      <c r="C46" s="66" t="s">
        <v>10</v>
      </c>
      <c r="D46" s="66"/>
      <c r="E46" s="66"/>
      <c r="F46" s="66" t="s">
        <v>82</v>
      </c>
      <c r="G46" s="39"/>
      <c r="H46" s="40">
        <v>2</v>
      </c>
      <c r="I46" s="40">
        <v>7</v>
      </c>
      <c r="J46" s="40" t="s">
        <v>200</v>
      </c>
      <c r="K46" s="40" t="s">
        <v>200</v>
      </c>
      <c r="L46" s="40">
        <v>11</v>
      </c>
      <c r="M46" s="7"/>
      <c r="N46" s="40" t="s">
        <v>3</v>
      </c>
      <c r="O46" s="40" t="s">
        <v>10</v>
      </c>
      <c r="P46" s="40" t="s">
        <v>200</v>
      </c>
      <c r="Q46" s="40" t="s">
        <v>200</v>
      </c>
      <c r="R46" s="40">
        <v>10</v>
      </c>
    </row>
    <row r="47" spans="1:18" ht="16.2" x14ac:dyDescent="0.3">
      <c r="A47" s="42">
        <v>44</v>
      </c>
      <c r="B47" s="66" t="s">
        <v>10</v>
      </c>
      <c r="C47" s="66" t="s">
        <v>194</v>
      </c>
      <c r="D47" s="66"/>
      <c r="E47" s="66"/>
      <c r="F47" s="66" t="s">
        <v>80</v>
      </c>
      <c r="G47" s="39"/>
      <c r="H47" s="40">
        <v>7</v>
      </c>
      <c r="I47" s="40">
        <v>1</v>
      </c>
      <c r="J47" s="40" t="s">
        <v>200</v>
      </c>
      <c r="K47" s="40" t="s">
        <v>200</v>
      </c>
      <c r="L47" s="40">
        <v>5</v>
      </c>
      <c r="M47" s="7"/>
      <c r="N47" s="40" t="s">
        <v>10</v>
      </c>
      <c r="O47" s="40" t="s">
        <v>199</v>
      </c>
      <c r="P47" s="40" t="s">
        <v>200</v>
      </c>
      <c r="Q47" s="40" t="s">
        <v>200</v>
      </c>
      <c r="R47" s="40" t="s">
        <v>2</v>
      </c>
    </row>
    <row r="48" spans="1:18" ht="16.2" x14ac:dyDescent="0.3">
      <c r="A48" s="42">
        <v>45</v>
      </c>
      <c r="B48" s="66" t="s">
        <v>186</v>
      </c>
      <c r="C48" s="66" t="s">
        <v>11</v>
      </c>
      <c r="D48" s="66"/>
      <c r="E48" s="66"/>
      <c r="F48" s="66" t="s">
        <v>77</v>
      </c>
      <c r="G48" s="39"/>
      <c r="H48" s="40">
        <v>10</v>
      </c>
      <c r="I48" s="40">
        <v>9</v>
      </c>
      <c r="J48" s="40" t="s">
        <v>200</v>
      </c>
      <c r="K48" s="40" t="s">
        <v>200</v>
      </c>
      <c r="L48" s="40">
        <v>8</v>
      </c>
      <c r="M48" s="7"/>
      <c r="N48" s="40" t="s">
        <v>8</v>
      </c>
      <c r="O48" s="40" t="s">
        <v>11</v>
      </c>
      <c r="P48" s="40" t="s">
        <v>200</v>
      </c>
      <c r="Q48" s="40" t="s">
        <v>200</v>
      </c>
      <c r="R48" s="40" t="s">
        <v>5</v>
      </c>
    </row>
    <row r="49" spans="1:18" ht="16.2" x14ac:dyDescent="0.3">
      <c r="A49" s="42">
        <v>46</v>
      </c>
      <c r="B49" s="66" t="s">
        <v>177</v>
      </c>
      <c r="C49" s="66" t="s">
        <v>8</v>
      </c>
      <c r="D49" s="66"/>
      <c r="E49" s="66"/>
      <c r="F49" s="66" t="s">
        <v>79</v>
      </c>
      <c r="G49" s="39"/>
      <c r="H49" s="40">
        <v>8</v>
      </c>
      <c r="I49" s="40">
        <v>10</v>
      </c>
      <c r="J49" s="40" t="s">
        <v>200</v>
      </c>
      <c r="K49" s="40" t="s">
        <v>200</v>
      </c>
      <c r="L49" s="40">
        <v>10</v>
      </c>
      <c r="M49" s="7"/>
      <c r="N49" s="40" t="s">
        <v>5</v>
      </c>
      <c r="O49" s="40" t="s">
        <v>8</v>
      </c>
      <c r="P49" s="40" t="s">
        <v>200</v>
      </c>
      <c r="Q49" s="40" t="s">
        <v>200</v>
      </c>
      <c r="R49" s="40" t="s">
        <v>8</v>
      </c>
    </row>
    <row r="50" spans="1:18" ht="16.2" x14ac:dyDescent="0.3">
      <c r="A50" s="42">
        <v>47</v>
      </c>
      <c r="B50" s="66" t="s">
        <v>179</v>
      </c>
      <c r="C50" s="66" t="s">
        <v>10</v>
      </c>
      <c r="D50" s="66"/>
      <c r="E50" s="66"/>
      <c r="F50" s="66" t="s">
        <v>76</v>
      </c>
      <c r="G50" s="39"/>
      <c r="H50" s="40">
        <v>5</v>
      </c>
      <c r="I50" s="40">
        <v>7</v>
      </c>
      <c r="J50" s="40" t="s">
        <v>200</v>
      </c>
      <c r="K50" s="40" t="s">
        <v>200</v>
      </c>
      <c r="L50" s="40">
        <v>11</v>
      </c>
      <c r="M50" s="7"/>
      <c r="N50" s="40" t="s">
        <v>2</v>
      </c>
      <c r="O50" s="40" t="s">
        <v>10</v>
      </c>
      <c r="P50" s="40" t="s">
        <v>200</v>
      </c>
      <c r="Q50" s="40" t="s">
        <v>200</v>
      </c>
      <c r="R50" s="40">
        <v>10</v>
      </c>
    </row>
    <row r="51" spans="1:18" ht="16.2" x14ac:dyDescent="0.3">
      <c r="A51" s="42">
        <v>48</v>
      </c>
      <c r="B51" s="66" t="s">
        <v>177</v>
      </c>
      <c r="C51" s="66" t="s">
        <v>65</v>
      </c>
      <c r="D51" s="66"/>
      <c r="E51" s="66"/>
      <c r="F51" s="66"/>
      <c r="G51" s="39"/>
      <c r="H51" s="40">
        <v>8</v>
      </c>
      <c r="I51" s="40">
        <v>3</v>
      </c>
      <c r="J51" s="40" t="s">
        <v>200</v>
      </c>
      <c r="K51" s="40" t="s">
        <v>200</v>
      </c>
      <c r="L51" s="40" t="s">
        <v>200</v>
      </c>
      <c r="M51" s="7"/>
      <c r="N51" s="40" t="s">
        <v>5</v>
      </c>
      <c r="O51" s="40" t="s">
        <v>7</v>
      </c>
      <c r="P51" s="40" t="s">
        <v>200</v>
      </c>
      <c r="Q51" s="40" t="s">
        <v>200</v>
      </c>
      <c r="R51" s="40" t="s">
        <v>200</v>
      </c>
    </row>
    <row r="52" spans="1:18" ht="16.2" x14ac:dyDescent="0.3">
      <c r="A52" s="42">
        <v>49</v>
      </c>
      <c r="B52" s="66" t="s">
        <v>180</v>
      </c>
      <c r="C52" s="66" t="s">
        <v>11</v>
      </c>
      <c r="D52" s="66"/>
      <c r="E52" s="66"/>
      <c r="F52" s="66"/>
      <c r="G52" s="39"/>
      <c r="H52" s="40">
        <v>5</v>
      </c>
      <c r="I52" s="40">
        <v>9</v>
      </c>
      <c r="J52" s="40" t="s">
        <v>200</v>
      </c>
      <c r="K52" s="40" t="s">
        <v>200</v>
      </c>
      <c r="L52" s="40" t="s">
        <v>200</v>
      </c>
      <c r="M52" s="7"/>
      <c r="N52" s="40" t="s">
        <v>2</v>
      </c>
      <c r="O52" s="40" t="s">
        <v>11</v>
      </c>
      <c r="P52" s="40" t="s">
        <v>200</v>
      </c>
      <c r="Q52" s="40" t="s">
        <v>200</v>
      </c>
      <c r="R52" s="40" t="s">
        <v>200</v>
      </c>
    </row>
    <row r="53" spans="1:18" ht="16.2" x14ac:dyDescent="0.3">
      <c r="A53" s="42">
        <v>50</v>
      </c>
      <c r="B53" s="66" t="s">
        <v>177</v>
      </c>
      <c r="C53" s="66" t="s">
        <v>8</v>
      </c>
      <c r="D53" s="66"/>
      <c r="E53" s="66"/>
      <c r="F53" s="66"/>
      <c r="G53" s="7"/>
      <c r="H53" s="40">
        <v>8</v>
      </c>
      <c r="I53" s="40">
        <v>10</v>
      </c>
      <c r="J53" s="40" t="s">
        <v>200</v>
      </c>
      <c r="K53" s="40" t="s">
        <v>200</v>
      </c>
      <c r="L53" s="40" t="s">
        <v>200</v>
      </c>
      <c r="M53" s="7"/>
      <c r="N53" s="40" t="s">
        <v>5</v>
      </c>
      <c r="O53" s="40" t="s">
        <v>8</v>
      </c>
      <c r="P53" s="40" t="s">
        <v>200</v>
      </c>
      <c r="Q53" s="40" t="s">
        <v>200</v>
      </c>
      <c r="R53" s="40" t="s">
        <v>200</v>
      </c>
    </row>
    <row r="54" spans="1:18" ht="16.2" x14ac:dyDescent="0.3">
      <c r="A54" s="42">
        <v>51</v>
      </c>
      <c r="B54" s="66" t="s">
        <v>8</v>
      </c>
      <c r="C54" s="66" t="s">
        <v>10</v>
      </c>
      <c r="D54" s="66"/>
      <c r="E54" s="66"/>
      <c r="F54" s="66"/>
      <c r="G54" s="7"/>
      <c r="H54" s="40">
        <v>10</v>
      </c>
      <c r="I54" s="40">
        <v>7</v>
      </c>
      <c r="J54" s="40" t="s">
        <v>200</v>
      </c>
      <c r="K54" s="40" t="s">
        <v>200</v>
      </c>
      <c r="L54" s="40" t="s">
        <v>200</v>
      </c>
      <c r="M54" s="7"/>
      <c r="N54" s="40" t="s">
        <v>8</v>
      </c>
      <c r="O54" s="40" t="s">
        <v>10</v>
      </c>
      <c r="P54" s="40" t="s">
        <v>200</v>
      </c>
      <c r="Q54" s="40" t="s">
        <v>200</v>
      </c>
      <c r="R54" s="40" t="s">
        <v>200</v>
      </c>
    </row>
    <row r="55" spans="1:18" ht="16.2" x14ac:dyDescent="0.3">
      <c r="A55" s="42">
        <v>52</v>
      </c>
      <c r="B55" s="66" t="s">
        <v>4</v>
      </c>
      <c r="C55" s="66" t="s">
        <v>195</v>
      </c>
      <c r="D55" s="66"/>
      <c r="E55" s="66"/>
      <c r="F55" s="66"/>
      <c r="G55" s="7"/>
      <c r="H55" s="40">
        <v>6</v>
      </c>
      <c r="I55" s="40">
        <v>4</v>
      </c>
      <c r="J55" s="40" t="s">
        <v>200</v>
      </c>
      <c r="K55" s="40" t="s">
        <v>200</v>
      </c>
      <c r="L55" s="40" t="s">
        <v>200</v>
      </c>
      <c r="M55" s="7"/>
      <c r="N55" s="40" t="s">
        <v>4</v>
      </c>
      <c r="O55" s="40" t="s">
        <v>6</v>
      </c>
      <c r="P55" s="40" t="s">
        <v>200</v>
      </c>
      <c r="Q55" s="40" t="s">
        <v>200</v>
      </c>
      <c r="R55" s="40" t="s">
        <v>200</v>
      </c>
    </row>
    <row r="56" spans="1:18" ht="16.2" x14ac:dyDescent="0.3">
      <c r="A56" s="42">
        <v>53</v>
      </c>
      <c r="B56" s="66" t="s">
        <v>8</v>
      </c>
      <c r="C56" s="66" t="s">
        <v>196</v>
      </c>
      <c r="D56" s="66"/>
      <c r="E56" s="66"/>
      <c r="F56" s="66"/>
      <c r="G56" s="7"/>
      <c r="H56" s="40">
        <v>10</v>
      </c>
      <c r="I56" s="40">
        <v>9</v>
      </c>
      <c r="J56" s="40" t="s">
        <v>200</v>
      </c>
      <c r="K56" s="40" t="s">
        <v>200</v>
      </c>
      <c r="L56" s="40" t="s">
        <v>200</v>
      </c>
      <c r="M56" s="7"/>
      <c r="N56" s="40" t="s">
        <v>8</v>
      </c>
      <c r="O56" s="40" t="s">
        <v>11</v>
      </c>
      <c r="P56" s="40" t="s">
        <v>200</v>
      </c>
      <c r="Q56" s="40" t="s">
        <v>200</v>
      </c>
      <c r="R56" s="40" t="s">
        <v>200</v>
      </c>
    </row>
    <row r="57" spans="1:18" ht="16.2" x14ac:dyDescent="0.3">
      <c r="A57" s="42">
        <v>54</v>
      </c>
      <c r="B57" s="66" t="s">
        <v>4</v>
      </c>
      <c r="C57" s="66" t="s">
        <v>197</v>
      </c>
      <c r="D57" s="66"/>
      <c r="E57" s="66"/>
      <c r="F57" s="66"/>
      <c r="G57" s="7"/>
      <c r="H57" s="40">
        <v>6</v>
      </c>
      <c r="I57" s="40">
        <v>10</v>
      </c>
      <c r="J57" s="40" t="s">
        <v>200</v>
      </c>
      <c r="K57" s="40" t="s">
        <v>200</v>
      </c>
      <c r="L57" s="40" t="s">
        <v>200</v>
      </c>
      <c r="M57" s="7"/>
      <c r="N57" s="40" t="s">
        <v>4</v>
      </c>
      <c r="O57" s="40" t="s">
        <v>8</v>
      </c>
      <c r="P57" s="40" t="s">
        <v>200</v>
      </c>
      <c r="Q57" s="40" t="s">
        <v>200</v>
      </c>
      <c r="R57" s="40" t="s">
        <v>200</v>
      </c>
    </row>
    <row r="58" spans="1:18" ht="16.2" x14ac:dyDescent="0.3">
      <c r="A58" s="42">
        <v>55</v>
      </c>
      <c r="B58" s="66" t="s">
        <v>8</v>
      </c>
      <c r="C58" s="66" t="s">
        <v>198</v>
      </c>
      <c r="D58" s="66"/>
      <c r="E58" s="66"/>
      <c r="F58" s="66"/>
      <c r="G58" s="7"/>
      <c r="H58" s="40">
        <v>10</v>
      </c>
      <c r="I58" s="40">
        <v>7</v>
      </c>
      <c r="J58" s="40" t="s">
        <v>200</v>
      </c>
      <c r="K58" s="40" t="s">
        <v>200</v>
      </c>
      <c r="L58" s="40" t="s">
        <v>200</v>
      </c>
      <c r="M58" s="7"/>
      <c r="N58" s="40" t="s">
        <v>8</v>
      </c>
      <c r="O58" s="40" t="s">
        <v>10</v>
      </c>
      <c r="P58" s="40" t="s">
        <v>200</v>
      </c>
      <c r="Q58" s="40" t="s">
        <v>200</v>
      </c>
      <c r="R58" s="40" t="s">
        <v>200</v>
      </c>
    </row>
    <row r="59" spans="1:18" ht="16.2" x14ac:dyDescent="0.3">
      <c r="A59" s="42">
        <v>56</v>
      </c>
      <c r="B59" s="66" t="s">
        <v>10</v>
      </c>
      <c r="C59" s="66"/>
      <c r="D59" s="66"/>
      <c r="E59" s="66"/>
      <c r="F59" s="66"/>
      <c r="G59" s="7"/>
      <c r="H59" s="40">
        <v>7</v>
      </c>
      <c r="I59" s="40" t="s">
        <v>200</v>
      </c>
      <c r="J59" s="40" t="s">
        <v>200</v>
      </c>
      <c r="K59" s="40" t="s">
        <v>200</v>
      </c>
      <c r="L59" s="40" t="s">
        <v>200</v>
      </c>
      <c r="M59" s="7"/>
      <c r="N59" s="40" t="s">
        <v>10</v>
      </c>
      <c r="O59" s="40" t="s">
        <v>200</v>
      </c>
      <c r="P59" s="40" t="s">
        <v>200</v>
      </c>
      <c r="Q59" s="40" t="s">
        <v>200</v>
      </c>
      <c r="R59" s="40" t="s">
        <v>200</v>
      </c>
    </row>
    <row r="60" spans="1:18" ht="16.2" x14ac:dyDescent="0.3">
      <c r="A60" s="42">
        <v>57</v>
      </c>
      <c r="B60" s="66" t="s">
        <v>7</v>
      </c>
      <c r="C60" s="66"/>
      <c r="D60" s="66"/>
      <c r="E60" s="66"/>
      <c r="F60" s="66"/>
      <c r="G60" s="7"/>
      <c r="H60" s="40">
        <v>3</v>
      </c>
      <c r="I60" s="40" t="s">
        <v>200</v>
      </c>
      <c r="J60" s="40" t="s">
        <v>200</v>
      </c>
      <c r="K60" s="40" t="s">
        <v>200</v>
      </c>
      <c r="L60" s="40" t="s">
        <v>200</v>
      </c>
      <c r="M60" s="7"/>
      <c r="N60" s="40" t="s">
        <v>7</v>
      </c>
      <c r="O60" s="40" t="s">
        <v>200</v>
      </c>
      <c r="P60" s="40" t="s">
        <v>200</v>
      </c>
      <c r="Q60" s="40" t="s">
        <v>200</v>
      </c>
      <c r="R60" s="40" t="s">
        <v>200</v>
      </c>
    </row>
    <row r="61" spans="1:18" ht="16.2" x14ac:dyDescent="0.3">
      <c r="A61" s="42">
        <v>58</v>
      </c>
      <c r="B61" s="66" t="s">
        <v>10</v>
      </c>
      <c r="C61" s="66"/>
      <c r="D61" s="66"/>
      <c r="E61" s="66"/>
      <c r="F61" s="66"/>
      <c r="G61" s="7"/>
      <c r="H61" s="40">
        <v>7</v>
      </c>
      <c r="I61" s="40" t="s">
        <v>200</v>
      </c>
      <c r="J61" s="40" t="s">
        <v>200</v>
      </c>
      <c r="K61" s="40" t="s">
        <v>200</v>
      </c>
      <c r="L61" s="40" t="s">
        <v>200</v>
      </c>
      <c r="M61" s="7"/>
      <c r="N61" s="40" t="s">
        <v>10</v>
      </c>
      <c r="O61" s="40" t="s">
        <v>200</v>
      </c>
      <c r="P61" s="40" t="s">
        <v>200</v>
      </c>
      <c r="Q61" s="40" t="s">
        <v>200</v>
      </c>
      <c r="R61" s="40" t="s">
        <v>200</v>
      </c>
    </row>
    <row r="62" spans="1:18" ht="16.2" x14ac:dyDescent="0.3">
      <c r="A62" s="42">
        <v>59</v>
      </c>
      <c r="B62" s="66" t="s">
        <v>7</v>
      </c>
      <c r="C62" s="66"/>
      <c r="D62" s="66"/>
      <c r="E62" s="66"/>
      <c r="F62" s="66"/>
      <c r="G62" s="7"/>
      <c r="H62" s="40">
        <v>3</v>
      </c>
      <c r="I62" s="40" t="s">
        <v>200</v>
      </c>
      <c r="J62" s="40" t="s">
        <v>200</v>
      </c>
      <c r="K62" s="40" t="s">
        <v>200</v>
      </c>
      <c r="L62" s="40" t="s">
        <v>200</v>
      </c>
      <c r="M62" s="7"/>
      <c r="N62" s="40" t="s">
        <v>7</v>
      </c>
      <c r="O62" s="40" t="s">
        <v>200</v>
      </c>
      <c r="P62" s="40" t="s">
        <v>200</v>
      </c>
      <c r="Q62" s="40" t="s">
        <v>200</v>
      </c>
      <c r="R62" s="40" t="s">
        <v>200</v>
      </c>
    </row>
    <row r="63" spans="1:18" ht="16.2" x14ac:dyDescent="0.3">
      <c r="A63" s="42">
        <v>60</v>
      </c>
      <c r="B63" s="66" t="s">
        <v>10</v>
      </c>
      <c r="C63" s="66"/>
      <c r="D63" s="66"/>
      <c r="E63" s="44"/>
      <c r="F63" s="66"/>
      <c r="G63" s="7"/>
      <c r="H63" s="40">
        <v>7</v>
      </c>
      <c r="I63" s="40" t="s">
        <v>200</v>
      </c>
      <c r="J63" s="40" t="s">
        <v>200</v>
      </c>
      <c r="K63" s="40" t="s">
        <v>200</v>
      </c>
      <c r="L63" s="40" t="s">
        <v>200</v>
      </c>
      <c r="M63" s="7"/>
      <c r="N63" s="40" t="s">
        <v>10</v>
      </c>
      <c r="O63" s="40" t="s">
        <v>200</v>
      </c>
      <c r="P63" s="40" t="s">
        <v>200</v>
      </c>
      <c r="Q63" s="40" t="s">
        <v>200</v>
      </c>
      <c r="R63" s="40" t="s">
        <v>200</v>
      </c>
    </row>
    <row r="64" spans="1:18" ht="16.2" x14ac:dyDescent="0.3">
      <c r="A64" s="42">
        <v>61</v>
      </c>
      <c r="B64" s="66" t="s">
        <v>177</v>
      </c>
      <c r="C64" s="44"/>
      <c r="D64" s="66"/>
      <c r="E64" s="44"/>
      <c r="F64" s="66"/>
      <c r="G64" s="7"/>
      <c r="H64" s="40">
        <v>8</v>
      </c>
      <c r="I64" s="40" t="s">
        <v>200</v>
      </c>
      <c r="J64" s="40" t="s">
        <v>200</v>
      </c>
      <c r="K64" s="40" t="s">
        <v>200</v>
      </c>
      <c r="L64" s="40" t="s">
        <v>200</v>
      </c>
      <c r="M64" s="7"/>
      <c r="N64" s="40" t="s">
        <v>5</v>
      </c>
      <c r="O64" s="40" t="s">
        <v>200</v>
      </c>
      <c r="P64" s="40" t="s">
        <v>200</v>
      </c>
      <c r="Q64" s="40" t="s">
        <v>200</v>
      </c>
      <c r="R64" s="40" t="s">
        <v>200</v>
      </c>
    </row>
    <row r="65" spans="1:18" ht="16.2" x14ac:dyDescent="0.3">
      <c r="A65" s="42">
        <v>62</v>
      </c>
      <c r="B65" s="66" t="s">
        <v>169</v>
      </c>
      <c r="C65" s="44"/>
      <c r="D65" s="66"/>
      <c r="E65" s="44"/>
      <c r="F65" s="66"/>
      <c r="G65" s="7"/>
      <c r="H65" s="40">
        <v>9</v>
      </c>
      <c r="I65" s="40" t="s">
        <v>200</v>
      </c>
      <c r="J65" s="40" t="s">
        <v>200</v>
      </c>
      <c r="K65" s="40" t="s">
        <v>200</v>
      </c>
      <c r="L65" s="40" t="s">
        <v>200</v>
      </c>
      <c r="M65" s="7"/>
      <c r="N65" s="40" t="s">
        <v>11</v>
      </c>
      <c r="O65" s="40" t="s">
        <v>200</v>
      </c>
      <c r="P65" s="40" t="s">
        <v>200</v>
      </c>
      <c r="Q65" s="40" t="s">
        <v>200</v>
      </c>
      <c r="R65" s="40" t="s">
        <v>200</v>
      </c>
    </row>
    <row r="66" spans="1:18" ht="16.2" x14ac:dyDescent="0.3">
      <c r="A66" s="42">
        <v>63</v>
      </c>
      <c r="B66" s="66" t="s">
        <v>181</v>
      </c>
      <c r="C66" s="44"/>
      <c r="D66" s="44"/>
      <c r="E66" s="44"/>
      <c r="F66" s="66"/>
      <c r="G66" s="7"/>
      <c r="H66" s="40">
        <v>2</v>
      </c>
      <c r="I66" s="40" t="s">
        <v>200</v>
      </c>
      <c r="J66" s="40" t="s">
        <v>200</v>
      </c>
      <c r="K66" s="40" t="s">
        <v>200</v>
      </c>
      <c r="L66" s="40" t="s">
        <v>200</v>
      </c>
      <c r="M66" s="7"/>
      <c r="N66" s="40" t="s">
        <v>3</v>
      </c>
      <c r="O66" s="40" t="s">
        <v>200</v>
      </c>
      <c r="P66" s="40" t="s">
        <v>200</v>
      </c>
      <c r="Q66" s="40" t="s">
        <v>200</v>
      </c>
      <c r="R66" s="40" t="s">
        <v>200</v>
      </c>
    </row>
    <row r="67" spans="1:18" ht="16.2" x14ac:dyDescent="0.3">
      <c r="A67" s="42">
        <v>64</v>
      </c>
      <c r="B67" s="66" t="s">
        <v>175</v>
      </c>
      <c r="C67" s="44"/>
      <c r="D67" s="44"/>
      <c r="E67" s="44"/>
      <c r="F67" s="66"/>
      <c r="G67" s="7"/>
      <c r="H67" s="40">
        <v>10</v>
      </c>
      <c r="I67" s="40" t="s">
        <v>200</v>
      </c>
      <c r="J67" s="40" t="s">
        <v>200</v>
      </c>
      <c r="K67" s="40" t="s">
        <v>200</v>
      </c>
      <c r="L67" s="40" t="s">
        <v>200</v>
      </c>
      <c r="M67" s="7"/>
      <c r="N67" s="40" t="s">
        <v>8</v>
      </c>
      <c r="O67" s="40" t="s">
        <v>200</v>
      </c>
      <c r="P67" s="40" t="s">
        <v>200</v>
      </c>
      <c r="Q67" s="40" t="s">
        <v>200</v>
      </c>
      <c r="R67" s="40" t="s">
        <v>200</v>
      </c>
    </row>
    <row r="68" spans="1:18" ht="16.2" x14ac:dyDescent="0.3">
      <c r="A68" s="42">
        <v>65</v>
      </c>
      <c r="B68" s="66" t="s">
        <v>182</v>
      </c>
      <c r="C68" s="44"/>
      <c r="D68" s="44"/>
      <c r="E68" s="44"/>
      <c r="F68" s="44"/>
      <c r="G68" s="7"/>
      <c r="H68" s="40">
        <v>7</v>
      </c>
      <c r="I68" s="40" t="s">
        <v>200</v>
      </c>
      <c r="J68" s="40" t="s">
        <v>200</v>
      </c>
      <c r="K68" s="40" t="s">
        <v>200</v>
      </c>
      <c r="L68" s="40" t="s">
        <v>200</v>
      </c>
      <c r="M68" s="7"/>
      <c r="N68" s="40" t="s">
        <v>10</v>
      </c>
      <c r="O68" s="40" t="s">
        <v>200</v>
      </c>
      <c r="P68" s="40" t="s">
        <v>200</v>
      </c>
      <c r="Q68" s="40" t="s">
        <v>200</v>
      </c>
      <c r="R68" s="40" t="s">
        <v>200</v>
      </c>
    </row>
    <row r="69" spans="1:18" ht="16.2" x14ac:dyDescent="0.3">
      <c r="A69" s="42">
        <v>66</v>
      </c>
      <c r="B69" s="66" t="s">
        <v>173</v>
      </c>
      <c r="C69" s="44"/>
      <c r="D69" s="44"/>
      <c r="E69" s="44"/>
      <c r="F69" s="44"/>
      <c r="G69" s="7"/>
      <c r="H69" s="40">
        <v>8</v>
      </c>
      <c r="I69" s="40" t="s">
        <v>200</v>
      </c>
      <c r="J69" s="40" t="s">
        <v>200</v>
      </c>
      <c r="K69" s="40" t="s">
        <v>200</v>
      </c>
      <c r="L69" s="40" t="s">
        <v>200</v>
      </c>
      <c r="M69" s="7"/>
      <c r="N69" s="40" t="s">
        <v>5</v>
      </c>
      <c r="O69" s="40" t="s">
        <v>200</v>
      </c>
      <c r="P69" s="40" t="s">
        <v>200</v>
      </c>
      <c r="Q69" s="40" t="s">
        <v>200</v>
      </c>
      <c r="R69" s="40" t="s">
        <v>200</v>
      </c>
    </row>
    <row r="70" spans="1:18" ht="16.2" x14ac:dyDescent="0.3">
      <c r="A70" s="42">
        <v>67</v>
      </c>
      <c r="B70" s="66" t="s">
        <v>176</v>
      </c>
      <c r="C70" s="44"/>
      <c r="D70" s="44"/>
      <c r="E70" s="44"/>
      <c r="F70" s="44"/>
      <c r="G70" s="7"/>
      <c r="H70" s="40">
        <v>2</v>
      </c>
      <c r="I70" s="40" t="s">
        <v>200</v>
      </c>
      <c r="J70" s="40" t="s">
        <v>200</v>
      </c>
      <c r="K70" s="40" t="s">
        <v>200</v>
      </c>
      <c r="L70" s="40" t="s">
        <v>200</v>
      </c>
      <c r="M70" s="7"/>
      <c r="N70" s="40" t="s">
        <v>3</v>
      </c>
      <c r="O70" s="40" t="s">
        <v>200</v>
      </c>
      <c r="P70" s="40" t="s">
        <v>200</v>
      </c>
      <c r="Q70" s="40" t="s">
        <v>200</v>
      </c>
      <c r="R70" s="40" t="s">
        <v>200</v>
      </c>
    </row>
    <row r="71" spans="1:18" ht="16.2" x14ac:dyDescent="0.3">
      <c r="A71" s="42">
        <v>68</v>
      </c>
      <c r="B71" s="66" t="s">
        <v>169</v>
      </c>
      <c r="C71" s="44"/>
      <c r="D71" s="44"/>
      <c r="E71" s="44"/>
      <c r="F71" s="44"/>
      <c r="H71" s="40">
        <v>9</v>
      </c>
      <c r="I71" s="40" t="s">
        <v>200</v>
      </c>
      <c r="J71" s="40" t="s">
        <v>200</v>
      </c>
      <c r="K71" s="40" t="s">
        <v>200</v>
      </c>
      <c r="L71" s="40" t="s">
        <v>200</v>
      </c>
      <c r="N71" s="40" t="s">
        <v>11</v>
      </c>
      <c r="O71" s="40" t="s">
        <v>200</v>
      </c>
      <c r="P71" s="40" t="s">
        <v>200</v>
      </c>
      <c r="Q71" s="40" t="s">
        <v>200</v>
      </c>
      <c r="R71" s="40" t="s">
        <v>200</v>
      </c>
    </row>
    <row r="72" spans="1:18" ht="16.2" x14ac:dyDescent="0.3">
      <c r="A72" s="42">
        <v>69</v>
      </c>
      <c r="B72" s="66" t="s">
        <v>175</v>
      </c>
      <c r="C72" s="44"/>
      <c r="D72" s="44"/>
      <c r="E72" s="44"/>
      <c r="F72" s="44"/>
      <c r="H72" s="40">
        <v>10</v>
      </c>
      <c r="I72" s="40" t="s">
        <v>200</v>
      </c>
      <c r="J72" s="40" t="s">
        <v>200</v>
      </c>
      <c r="K72" s="40" t="s">
        <v>200</v>
      </c>
      <c r="L72" s="40" t="s">
        <v>200</v>
      </c>
      <c r="N72" s="40" t="s">
        <v>8</v>
      </c>
      <c r="O72" s="40" t="s">
        <v>200</v>
      </c>
      <c r="P72" s="40" t="s">
        <v>200</v>
      </c>
      <c r="Q72" s="40" t="s">
        <v>200</v>
      </c>
      <c r="R72" s="40" t="s">
        <v>200</v>
      </c>
    </row>
    <row r="73" spans="1:18" ht="16.2" x14ac:dyDescent="0.3">
      <c r="A73" s="42">
        <v>70</v>
      </c>
      <c r="B73" s="66" t="s">
        <v>172</v>
      </c>
      <c r="C73" s="44"/>
      <c r="D73" s="44"/>
      <c r="E73" s="44"/>
      <c r="F73" s="44"/>
      <c r="H73" s="40">
        <v>7</v>
      </c>
      <c r="I73" s="40" t="s">
        <v>200</v>
      </c>
      <c r="J73" s="40" t="s">
        <v>200</v>
      </c>
      <c r="K73" s="40" t="s">
        <v>200</v>
      </c>
      <c r="L73" s="40" t="s">
        <v>200</v>
      </c>
      <c r="N73" s="40" t="s">
        <v>10</v>
      </c>
      <c r="O73" s="40" t="s">
        <v>200</v>
      </c>
      <c r="P73" s="40" t="s">
        <v>200</v>
      </c>
      <c r="Q73" s="40" t="s">
        <v>200</v>
      </c>
      <c r="R73" s="40" t="s">
        <v>200</v>
      </c>
    </row>
    <row r="74" spans="1:18" ht="16.2" x14ac:dyDescent="0.3">
      <c r="A74" s="42">
        <v>71</v>
      </c>
      <c r="B74" s="66" t="s">
        <v>181</v>
      </c>
      <c r="C74" s="44"/>
      <c r="D74" s="44"/>
      <c r="E74" s="44"/>
      <c r="F74" s="44"/>
      <c r="H74" s="40">
        <v>2</v>
      </c>
      <c r="I74" s="40" t="s">
        <v>200</v>
      </c>
      <c r="J74" s="40" t="s">
        <v>200</v>
      </c>
      <c r="K74" s="40" t="s">
        <v>200</v>
      </c>
      <c r="L74" s="40" t="s">
        <v>200</v>
      </c>
      <c r="N74" s="40" t="s">
        <v>3</v>
      </c>
      <c r="O74" s="40" t="s">
        <v>200</v>
      </c>
      <c r="P74" s="40" t="s">
        <v>200</v>
      </c>
      <c r="Q74" s="40" t="s">
        <v>200</v>
      </c>
      <c r="R74" s="40" t="s">
        <v>200</v>
      </c>
    </row>
    <row r="75" spans="1:18" ht="16.2" x14ac:dyDescent="0.3">
      <c r="A75" s="42">
        <v>72</v>
      </c>
      <c r="B75" s="66" t="s">
        <v>177</v>
      </c>
      <c r="C75" s="44"/>
      <c r="D75" s="44"/>
      <c r="E75" s="44"/>
      <c r="F75" s="44"/>
      <c r="H75" s="40">
        <v>8</v>
      </c>
      <c r="I75" s="40" t="s">
        <v>200</v>
      </c>
      <c r="J75" s="40" t="s">
        <v>200</v>
      </c>
      <c r="K75" s="40" t="s">
        <v>200</v>
      </c>
      <c r="L75" s="40" t="s">
        <v>200</v>
      </c>
      <c r="N75" s="40" t="s">
        <v>5</v>
      </c>
      <c r="O75" s="40" t="s">
        <v>200</v>
      </c>
      <c r="P75" s="40" t="s">
        <v>200</v>
      </c>
      <c r="Q75" s="40" t="s">
        <v>200</v>
      </c>
      <c r="R75" s="40" t="s">
        <v>200</v>
      </c>
    </row>
    <row r="76" spans="1:18" ht="16.2" x14ac:dyDescent="0.3">
      <c r="A76" s="42">
        <v>73</v>
      </c>
      <c r="B76" s="66" t="s">
        <v>169</v>
      </c>
      <c r="C76" s="44"/>
      <c r="D76" s="44"/>
      <c r="E76" s="44"/>
      <c r="F76" s="44"/>
      <c r="H76" s="40">
        <v>9</v>
      </c>
      <c r="I76" s="40" t="s">
        <v>200</v>
      </c>
      <c r="J76" s="40" t="s">
        <v>200</v>
      </c>
      <c r="K76" s="40" t="s">
        <v>200</v>
      </c>
      <c r="L76" s="40" t="s">
        <v>200</v>
      </c>
      <c r="N76" s="40" t="s">
        <v>11</v>
      </c>
      <c r="O76" s="40" t="s">
        <v>200</v>
      </c>
      <c r="P76" s="40" t="s">
        <v>200</v>
      </c>
      <c r="Q76" s="40" t="s">
        <v>200</v>
      </c>
      <c r="R76" s="40" t="s">
        <v>200</v>
      </c>
    </row>
    <row r="77" spans="1:18" ht="16.2" x14ac:dyDescent="0.3">
      <c r="A77" s="42">
        <v>74</v>
      </c>
      <c r="B77" s="66" t="s">
        <v>175</v>
      </c>
      <c r="C77" s="44"/>
      <c r="D77" s="44"/>
      <c r="E77" s="44"/>
      <c r="F77" s="44"/>
      <c r="H77" s="40">
        <v>10</v>
      </c>
      <c r="I77" s="40" t="s">
        <v>200</v>
      </c>
      <c r="J77" s="40" t="s">
        <v>200</v>
      </c>
      <c r="K77" s="40" t="s">
        <v>200</v>
      </c>
      <c r="L77" s="40" t="s">
        <v>200</v>
      </c>
      <c r="N77" s="40" t="s">
        <v>8</v>
      </c>
      <c r="O77" s="40" t="s">
        <v>200</v>
      </c>
      <c r="P77" s="40" t="s">
        <v>200</v>
      </c>
      <c r="Q77" s="40" t="s">
        <v>200</v>
      </c>
      <c r="R77" s="40" t="s">
        <v>200</v>
      </c>
    </row>
    <row r="78" spans="1:18" ht="16.2" x14ac:dyDescent="0.3">
      <c r="A78" s="42">
        <v>75</v>
      </c>
      <c r="B78" s="66" t="s">
        <v>176</v>
      </c>
      <c r="C78" s="44"/>
      <c r="D78" s="44"/>
      <c r="E78" s="44"/>
      <c r="F78" s="44"/>
      <c r="H78" s="40">
        <v>2</v>
      </c>
      <c r="I78" s="40" t="s">
        <v>200</v>
      </c>
      <c r="J78" s="40" t="s">
        <v>200</v>
      </c>
      <c r="K78" s="40" t="s">
        <v>200</v>
      </c>
      <c r="L78" s="40" t="s">
        <v>200</v>
      </c>
      <c r="N78" s="40" t="s">
        <v>3</v>
      </c>
      <c r="O78" s="40" t="s">
        <v>200</v>
      </c>
      <c r="P78" s="40" t="s">
        <v>200</v>
      </c>
      <c r="Q78" s="40" t="s">
        <v>200</v>
      </c>
      <c r="R78" s="40" t="s">
        <v>200</v>
      </c>
    </row>
    <row r="79" spans="1:18" ht="16.2" x14ac:dyDescent="0.3">
      <c r="A79" s="42">
        <v>76</v>
      </c>
      <c r="B79" s="66" t="s">
        <v>172</v>
      </c>
      <c r="C79" s="44"/>
      <c r="D79" s="44"/>
      <c r="E79" s="44"/>
      <c r="F79" s="44"/>
      <c r="H79" s="40">
        <v>7</v>
      </c>
      <c r="I79" s="40" t="s">
        <v>200</v>
      </c>
      <c r="J79" s="40" t="s">
        <v>200</v>
      </c>
      <c r="K79" s="40" t="s">
        <v>200</v>
      </c>
      <c r="L79" s="40" t="s">
        <v>200</v>
      </c>
      <c r="N79" s="40" t="s">
        <v>10</v>
      </c>
      <c r="O79" s="40" t="s">
        <v>200</v>
      </c>
      <c r="P79" s="40" t="s">
        <v>200</v>
      </c>
      <c r="Q79" s="40" t="s">
        <v>200</v>
      </c>
      <c r="R79" s="40" t="s">
        <v>200</v>
      </c>
    </row>
    <row r="80" spans="1:18" ht="16.2" x14ac:dyDescent="0.3">
      <c r="A80" s="42">
        <v>77</v>
      </c>
      <c r="B80" s="66" t="s">
        <v>177</v>
      </c>
      <c r="C80" s="44"/>
      <c r="D80" s="44"/>
      <c r="E80" s="44"/>
      <c r="F80" s="44"/>
      <c r="H80" s="40">
        <v>8</v>
      </c>
      <c r="I80" s="40" t="s">
        <v>200</v>
      </c>
      <c r="J80" s="40" t="s">
        <v>200</v>
      </c>
      <c r="K80" s="40" t="s">
        <v>200</v>
      </c>
      <c r="L80" s="40" t="s">
        <v>200</v>
      </c>
      <c r="N80" s="40" t="s">
        <v>5</v>
      </c>
      <c r="O80" s="40" t="s">
        <v>200</v>
      </c>
      <c r="P80" s="40" t="s">
        <v>200</v>
      </c>
      <c r="Q80" s="40" t="s">
        <v>200</v>
      </c>
      <c r="R80" s="40" t="s">
        <v>200</v>
      </c>
    </row>
    <row r="81" spans="1:18" ht="16.2" x14ac:dyDescent="0.3">
      <c r="A81" s="42">
        <v>78</v>
      </c>
      <c r="B81" s="66" t="s">
        <v>178</v>
      </c>
      <c r="C81" s="44"/>
      <c r="D81" s="44"/>
      <c r="E81" s="44"/>
      <c r="F81" s="44"/>
      <c r="H81" s="40">
        <v>9</v>
      </c>
      <c r="I81" s="40" t="s">
        <v>200</v>
      </c>
      <c r="J81" s="40" t="s">
        <v>200</v>
      </c>
      <c r="K81" s="40" t="s">
        <v>200</v>
      </c>
      <c r="L81" s="40" t="s">
        <v>200</v>
      </c>
      <c r="N81" s="40" t="s">
        <v>11</v>
      </c>
      <c r="O81" s="40" t="s">
        <v>200</v>
      </c>
      <c r="P81" s="40" t="s">
        <v>200</v>
      </c>
      <c r="Q81" s="40" t="s">
        <v>200</v>
      </c>
      <c r="R81" s="40" t="s">
        <v>200</v>
      </c>
    </row>
    <row r="82" spans="1:18" ht="16.2" x14ac:dyDescent="0.3">
      <c r="A82" s="42">
        <v>79</v>
      </c>
      <c r="B82" s="66" t="s">
        <v>183</v>
      </c>
      <c r="C82" s="44"/>
      <c r="D82" s="44"/>
      <c r="E82" s="44"/>
      <c r="F82" s="44"/>
      <c r="H82" s="40">
        <v>4</v>
      </c>
      <c r="I82" s="40" t="s">
        <v>200</v>
      </c>
      <c r="J82" s="40" t="s">
        <v>200</v>
      </c>
      <c r="K82" s="40" t="s">
        <v>200</v>
      </c>
      <c r="L82" s="40" t="s">
        <v>200</v>
      </c>
      <c r="N82" s="40" t="s">
        <v>6</v>
      </c>
      <c r="O82" s="40" t="s">
        <v>200</v>
      </c>
      <c r="P82" s="40" t="s">
        <v>200</v>
      </c>
      <c r="Q82" s="40" t="s">
        <v>200</v>
      </c>
      <c r="R82" s="40" t="s">
        <v>200</v>
      </c>
    </row>
    <row r="83" spans="1:18" ht="16.2" x14ac:dyDescent="0.3">
      <c r="A83" s="42">
        <v>80</v>
      </c>
      <c r="B83" s="66" t="s">
        <v>169</v>
      </c>
      <c r="C83" s="44"/>
      <c r="D83" s="44"/>
      <c r="E83" s="44"/>
      <c r="F83" s="44"/>
      <c r="H83" s="40">
        <v>9</v>
      </c>
      <c r="I83" s="40" t="s">
        <v>200</v>
      </c>
      <c r="J83" s="40" t="s">
        <v>200</v>
      </c>
      <c r="K83" s="40" t="s">
        <v>200</v>
      </c>
      <c r="L83" s="40" t="s">
        <v>200</v>
      </c>
      <c r="N83" s="40" t="s">
        <v>11</v>
      </c>
      <c r="O83" s="40" t="s">
        <v>200</v>
      </c>
      <c r="P83" s="40" t="s">
        <v>200</v>
      </c>
      <c r="Q83" s="40" t="s">
        <v>200</v>
      </c>
      <c r="R83" s="40" t="s">
        <v>200</v>
      </c>
    </row>
    <row r="84" spans="1:18" ht="16.2" x14ac:dyDescent="0.3">
      <c r="A84" s="42">
        <v>81</v>
      </c>
      <c r="B84" s="66" t="s">
        <v>174</v>
      </c>
      <c r="C84" s="44"/>
      <c r="D84" s="44"/>
      <c r="E84" s="44"/>
      <c r="F84" s="44"/>
      <c r="H84" s="40">
        <v>4</v>
      </c>
      <c r="I84" s="40" t="s">
        <v>200</v>
      </c>
      <c r="J84" s="40" t="s">
        <v>200</v>
      </c>
      <c r="K84" s="40" t="s">
        <v>200</v>
      </c>
      <c r="L84" s="40" t="s">
        <v>200</v>
      </c>
      <c r="N84" s="40" t="s">
        <v>6</v>
      </c>
      <c r="O84" s="40" t="s">
        <v>200</v>
      </c>
      <c r="P84" s="40" t="s">
        <v>200</v>
      </c>
      <c r="Q84" s="40" t="s">
        <v>200</v>
      </c>
      <c r="R84" s="40" t="s">
        <v>200</v>
      </c>
    </row>
    <row r="85" spans="1:18" ht="16.2" x14ac:dyDescent="0.3">
      <c r="A85" s="42">
        <v>82</v>
      </c>
      <c r="B85" s="66" t="s">
        <v>169</v>
      </c>
      <c r="C85" s="44"/>
      <c r="D85" s="44"/>
      <c r="E85" s="44"/>
      <c r="F85" s="44"/>
      <c r="H85" s="40">
        <v>9</v>
      </c>
      <c r="I85" s="40" t="s">
        <v>200</v>
      </c>
      <c r="J85" s="40" t="s">
        <v>200</v>
      </c>
      <c r="K85" s="40" t="s">
        <v>200</v>
      </c>
      <c r="L85" s="40" t="s">
        <v>200</v>
      </c>
      <c r="N85" s="40" t="s">
        <v>11</v>
      </c>
      <c r="O85" s="40" t="s">
        <v>200</v>
      </c>
      <c r="P85" s="40" t="s">
        <v>200</v>
      </c>
      <c r="Q85" s="40" t="s">
        <v>200</v>
      </c>
      <c r="R85" s="40" t="s">
        <v>200</v>
      </c>
    </row>
    <row r="86" spans="1:18" ht="16.2" x14ac:dyDescent="0.3">
      <c r="A86" s="42">
        <v>83</v>
      </c>
      <c r="B86" s="66" t="s">
        <v>188</v>
      </c>
      <c r="C86" s="44"/>
      <c r="D86" s="44"/>
      <c r="E86" s="44"/>
      <c r="F86" s="44"/>
      <c r="H86" s="40">
        <v>7</v>
      </c>
      <c r="I86" s="40" t="s">
        <v>200</v>
      </c>
      <c r="J86" s="40" t="s">
        <v>200</v>
      </c>
      <c r="K86" s="40" t="s">
        <v>200</v>
      </c>
      <c r="L86" s="40" t="s">
        <v>200</v>
      </c>
      <c r="N86" s="40" t="s">
        <v>10</v>
      </c>
      <c r="O86" s="40" t="s">
        <v>200</v>
      </c>
      <c r="P86" s="40" t="s">
        <v>200</v>
      </c>
      <c r="Q86" s="40" t="s">
        <v>200</v>
      </c>
      <c r="R86" s="40" t="s">
        <v>200</v>
      </c>
    </row>
    <row r="87" spans="1:18" ht="16.2" x14ac:dyDescent="0.3">
      <c r="A87" s="42">
        <v>84</v>
      </c>
      <c r="B87" s="66" t="s">
        <v>189</v>
      </c>
      <c r="C87" s="44"/>
      <c r="D87" s="44"/>
      <c r="E87" s="44"/>
      <c r="F87" s="44"/>
      <c r="H87" s="40">
        <v>2</v>
      </c>
      <c r="I87" s="40" t="s">
        <v>200</v>
      </c>
      <c r="J87" s="40" t="s">
        <v>200</v>
      </c>
      <c r="K87" s="40" t="s">
        <v>200</v>
      </c>
      <c r="L87" s="40" t="s">
        <v>200</v>
      </c>
      <c r="N87" s="40" t="s">
        <v>3</v>
      </c>
      <c r="O87" s="40" t="s">
        <v>200</v>
      </c>
      <c r="P87" s="40" t="s">
        <v>200</v>
      </c>
      <c r="Q87" s="40" t="s">
        <v>200</v>
      </c>
      <c r="R87" s="40" t="s">
        <v>200</v>
      </c>
    </row>
    <row r="88" spans="1:18" ht="16.2" x14ac:dyDescent="0.3">
      <c r="A88" s="42">
        <v>85</v>
      </c>
      <c r="B88" s="66" t="s">
        <v>188</v>
      </c>
      <c r="C88" s="44"/>
      <c r="D88" s="44"/>
      <c r="E88" s="44"/>
      <c r="F88" s="44"/>
      <c r="H88" s="40">
        <v>7</v>
      </c>
      <c r="I88" s="40" t="s">
        <v>200</v>
      </c>
      <c r="J88" s="40" t="s">
        <v>200</v>
      </c>
      <c r="K88" s="40" t="s">
        <v>200</v>
      </c>
      <c r="L88" s="40" t="s">
        <v>200</v>
      </c>
      <c r="N88" s="40" t="s">
        <v>10</v>
      </c>
      <c r="O88" s="40" t="s">
        <v>200</v>
      </c>
      <c r="P88" s="40" t="s">
        <v>200</v>
      </c>
      <c r="Q88" s="40" t="s">
        <v>200</v>
      </c>
      <c r="R88" s="40" t="s">
        <v>200</v>
      </c>
    </row>
    <row r="89" spans="1:18" ht="16.2" x14ac:dyDescent="0.3">
      <c r="A89" s="42">
        <v>86</v>
      </c>
      <c r="B89" s="66" t="s">
        <v>186</v>
      </c>
      <c r="C89" s="44"/>
      <c r="D89" s="44"/>
      <c r="E89" s="44"/>
      <c r="F89" s="44"/>
      <c r="H89" s="40">
        <v>10</v>
      </c>
      <c r="I89" s="40" t="s">
        <v>200</v>
      </c>
      <c r="J89" s="40" t="s">
        <v>200</v>
      </c>
      <c r="K89" s="40" t="s">
        <v>200</v>
      </c>
      <c r="L89" s="40" t="s">
        <v>200</v>
      </c>
      <c r="N89" s="40" t="s">
        <v>8</v>
      </c>
      <c r="O89" s="40" t="s">
        <v>200</v>
      </c>
      <c r="P89" s="40" t="s">
        <v>200</v>
      </c>
      <c r="Q89" s="40" t="s">
        <v>200</v>
      </c>
      <c r="R89" s="40" t="s">
        <v>200</v>
      </c>
    </row>
    <row r="90" spans="1:18" ht="16.2" x14ac:dyDescent="0.3">
      <c r="A90" s="42">
        <v>87</v>
      </c>
      <c r="B90" s="66" t="s">
        <v>190</v>
      </c>
      <c r="C90" s="44"/>
      <c r="D90" s="44"/>
      <c r="E90" s="44"/>
      <c r="F90" s="44"/>
      <c r="H90" s="40">
        <v>6</v>
      </c>
      <c r="I90" s="40" t="s">
        <v>200</v>
      </c>
      <c r="J90" s="40" t="s">
        <v>200</v>
      </c>
      <c r="K90" s="40" t="s">
        <v>200</v>
      </c>
      <c r="L90" s="40" t="s">
        <v>200</v>
      </c>
      <c r="N90" s="40" t="s">
        <v>4</v>
      </c>
      <c r="O90" s="40" t="s">
        <v>200</v>
      </c>
      <c r="P90" s="40" t="s">
        <v>200</v>
      </c>
      <c r="Q90" s="40" t="s">
        <v>200</v>
      </c>
      <c r="R90" s="40" t="s">
        <v>200</v>
      </c>
    </row>
    <row r="91" spans="1:18" ht="16.2" x14ac:dyDescent="0.3">
      <c r="A91" s="42">
        <v>88</v>
      </c>
      <c r="B91" s="66" t="s">
        <v>186</v>
      </c>
      <c r="C91" s="44"/>
      <c r="D91" s="44"/>
      <c r="E91" s="44"/>
      <c r="F91" s="44"/>
      <c r="H91" s="40">
        <v>10</v>
      </c>
      <c r="I91" s="40" t="s">
        <v>200</v>
      </c>
      <c r="J91" s="40" t="s">
        <v>200</v>
      </c>
      <c r="K91" s="40" t="s">
        <v>200</v>
      </c>
      <c r="L91" s="40" t="s">
        <v>200</v>
      </c>
      <c r="N91" s="40" t="s">
        <v>8</v>
      </c>
      <c r="O91" s="40" t="s">
        <v>200</v>
      </c>
      <c r="P91" s="40" t="s">
        <v>200</v>
      </c>
      <c r="Q91" s="40" t="s">
        <v>200</v>
      </c>
      <c r="R91" s="40" t="s">
        <v>200</v>
      </c>
    </row>
    <row r="92" spans="1:18" ht="16.2" x14ac:dyDescent="0.3">
      <c r="A92" s="42">
        <v>89</v>
      </c>
      <c r="B92" s="66" t="s">
        <v>190</v>
      </c>
      <c r="C92" s="44"/>
      <c r="D92" s="44"/>
      <c r="E92" s="44"/>
      <c r="F92" s="44"/>
      <c r="H92" s="40">
        <v>6</v>
      </c>
      <c r="I92" s="40" t="s">
        <v>200</v>
      </c>
      <c r="J92" s="40" t="s">
        <v>200</v>
      </c>
      <c r="K92" s="40" t="s">
        <v>200</v>
      </c>
      <c r="L92" s="40" t="s">
        <v>200</v>
      </c>
      <c r="N92" s="40" t="s">
        <v>4</v>
      </c>
      <c r="O92" s="40" t="s">
        <v>200</v>
      </c>
      <c r="P92" s="40" t="s">
        <v>200</v>
      </c>
      <c r="Q92" s="40" t="s">
        <v>200</v>
      </c>
      <c r="R92" s="40" t="s">
        <v>200</v>
      </c>
    </row>
    <row r="93" spans="1:18" ht="16.2" x14ac:dyDescent="0.3">
      <c r="A93" s="42">
        <v>90</v>
      </c>
      <c r="B93" s="66" t="s">
        <v>186</v>
      </c>
      <c r="C93" s="44"/>
      <c r="D93" s="44"/>
      <c r="E93" s="44"/>
      <c r="F93" s="44"/>
      <c r="H93" s="40">
        <v>10</v>
      </c>
      <c r="I93" s="40" t="s">
        <v>200</v>
      </c>
      <c r="J93" s="40" t="s">
        <v>200</v>
      </c>
      <c r="K93" s="40" t="s">
        <v>200</v>
      </c>
      <c r="L93" s="40" t="s">
        <v>200</v>
      </c>
      <c r="N93" s="40" t="s">
        <v>8</v>
      </c>
      <c r="O93" s="40" t="s">
        <v>200</v>
      </c>
      <c r="P93" s="40" t="s">
        <v>200</v>
      </c>
      <c r="Q93" s="40" t="s">
        <v>200</v>
      </c>
      <c r="R93" s="40" t="s">
        <v>200</v>
      </c>
    </row>
    <row r="94" spans="1:18" ht="16.2" x14ac:dyDescent="0.3">
      <c r="A94" s="42">
        <v>91</v>
      </c>
      <c r="B94" s="66" t="s">
        <v>177</v>
      </c>
      <c r="C94" s="44"/>
      <c r="D94" s="44"/>
      <c r="E94" s="44"/>
      <c r="F94" s="44"/>
      <c r="H94" s="40">
        <v>8</v>
      </c>
      <c r="I94" s="40" t="s">
        <v>200</v>
      </c>
      <c r="J94" s="40" t="s">
        <v>200</v>
      </c>
      <c r="K94" s="40" t="s">
        <v>200</v>
      </c>
      <c r="L94" s="40" t="s">
        <v>200</v>
      </c>
      <c r="N94" s="40" t="s">
        <v>5</v>
      </c>
      <c r="O94" s="40" t="s">
        <v>200</v>
      </c>
      <c r="P94" s="40" t="s">
        <v>200</v>
      </c>
      <c r="Q94" s="40" t="s">
        <v>200</v>
      </c>
      <c r="R94" s="40" t="s">
        <v>200</v>
      </c>
    </row>
    <row r="95" spans="1:18" ht="16.2" x14ac:dyDescent="0.3">
      <c r="A95" s="42">
        <v>92</v>
      </c>
      <c r="B95" s="66" t="s">
        <v>188</v>
      </c>
      <c r="C95" s="44"/>
      <c r="D95" s="44"/>
      <c r="E95" s="44"/>
      <c r="F95" s="44"/>
      <c r="H95" s="40">
        <v>7</v>
      </c>
      <c r="I95" s="40" t="s">
        <v>200</v>
      </c>
      <c r="J95" s="40" t="s">
        <v>200</v>
      </c>
      <c r="K95" s="40" t="s">
        <v>200</v>
      </c>
      <c r="L95" s="40" t="s">
        <v>200</v>
      </c>
      <c r="N95" s="40" t="s">
        <v>10</v>
      </c>
      <c r="O95" s="40" t="s">
        <v>200</v>
      </c>
      <c r="P95" s="40" t="s">
        <v>200</v>
      </c>
      <c r="Q95" s="40" t="s">
        <v>200</v>
      </c>
      <c r="R95" s="40" t="s">
        <v>200</v>
      </c>
    </row>
    <row r="96" spans="1:18" ht="16.2" x14ac:dyDescent="0.3">
      <c r="A96" s="42">
        <v>93</v>
      </c>
      <c r="B96" s="66" t="s">
        <v>181</v>
      </c>
      <c r="C96" s="44"/>
      <c r="D96" s="44"/>
      <c r="E96" s="44"/>
      <c r="F96" s="44"/>
      <c r="H96" s="40">
        <v>2</v>
      </c>
      <c r="I96" s="40" t="s">
        <v>200</v>
      </c>
      <c r="J96" s="40" t="s">
        <v>200</v>
      </c>
      <c r="K96" s="40" t="s">
        <v>200</v>
      </c>
      <c r="L96" s="40" t="s">
        <v>200</v>
      </c>
      <c r="N96" s="40" t="s">
        <v>3</v>
      </c>
      <c r="O96" s="40" t="s">
        <v>200</v>
      </c>
      <c r="P96" s="40" t="s">
        <v>200</v>
      </c>
      <c r="Q96" s="40" t="s">
        <v>200</v>
      </c>
      <c r="R96" s="40" t="s">
        <v>200</v>
      </c>
    </row>
    <row r="97" spans="1:18" ht="16.2" x14ac:dyDescent="0.3">
      <c r="A97" s="42">
        <v>94</v>
      </c>
      <c r="B97" s="66" t="s">
        <v>186</v>
      </c>
      <c r="C97" s="44"/>
      <c r="D97" s="44"/>
      <c r="E97" s="44"/>
      <c r="F97" s="44"/>
      <c r="H97" s="40">
        <v>10</v>
      </c>
      <c r="I97" s="40" t="s">
        <v>200</v>
      </c>
      <c r="J97" s="40" t="s">
        <v>200</v>
      </c>
      <c r="K97" s="40" t="s">
        <v>200</v>
      </c>
      <c r="L97" s="40" t="s">
        <v>200</v>
      </c>
      <c r="N97" s="40" t="s">
        <v>8</v>
      </c>
      <c r="O97" s="40" t="s">
        <v>200</v>
      </c>
      <c r="P97" s="40" t="s">
        <v>200</v>
      </c>
      <c r="Q97" s="40" t="s">
        <v>200</v>
      </c>
      <c r="R97" s="40" t="s">
        <v>200</v>
      </c>
    </row>
    <row r="98" spans="1:18" ht="16.2" x14ac:dyDescent="0.3">
      <c r="A98" s="42">
        <v>95</v>
      </c>
      <c r="B98" s="66" t="s">
        <v>176</v>
      </c>
      <c r="C98" s="44"/>
      <c r="D98" s="44"/>
      <c r="E98" s="44"/>
      <c r="F98" s="44"/>
      <c r="H98" s="40">
        <v>2</v>
      </c>
      <c r="I98" s="40" t="s">
        <v>200</v>
      </c>
      <c r="J98" s="40" t="s">
        <v>200</v>
      </c>
      <c r="K98" s="40" t="s">
        <v>200</v>
      </c>
      <c r="L98" s="40" t="s">
        <v>200</v>
      </c>
      <c r="N98" s="40" t="s">
        <v>3</v>
      </c>
      <c r="O98" s="40" t="s">
        <v>200</v>
      </c>
      <c r="P98" s="40" t="s">
        <v>200</v>
      </c>
      <c r="Q98" s="40" t="s">
        <v>200</v>
      </c>
      <c r="R98" s="40" t="s">
        <v>200</v>
      </c>
    </row>
    <row r="99" spans="1:18" ht="16.2" x14ac:dyDescent="0.3">
      <c r="A99" s="42">
        <v>96</v>
      </c>
      <c r="B99" s="66" t="s">
        <v>173</v>
      </c>
      <c r="C99" s="44"/>
      <c r="D99" s="44"/>
      <c r="E99" s="44"/>
      <c r="F99" s="44"/>
      <c r="H99" s="40">
        <v>8</v>
      </c>
      <c r="I99" s="40" t="s">
        <v>200</v>
      </c>
      <c r="J99" s="40" t="s">
        <v>200</v>
      </c>
      <c r="K99" s="40" t="s">
        <v>200</v>
      </c>
      <c r="L99" s="40" t="s">
        <v>200</v>
      </c>
      <c r="N99" s="40" t="s">
        <v>5</v>
      </c>
      <c r="O99" s="40" t="s">
        <v>200</v>
      </c>
      <c r="P99" s="40" t="s">
        <v>200</v>
      </c>
      <c r="Q99" s="40" t="s">
        <v>200</v>
      </c>
      <c r="R99" s="40" t="s">
        <v>200</v>
      </c>
    </row>
    <row r="100" spans="1:18" ht="16.2" x14ac:dyDescent="0.3">
      <c r="A100" s="42">
        <v>97</v>
      </c>
      <c r="B100" s="66" t="s">
        <v>169</v>
      </c>
      <c r="C100" s="44"/>
      <c r="D100" s="44"/>
      <c r="E100" s="44"/>
      <c r="F100" s="44"/>
      <c r="H100" s="40">
        <v>9</v>
      </c>
      <c r="I100" s="40" t="s">
        <v>200</v>
      </c>
      <c r="J100" s="40" t="s">
        <v>200</v>
      </c>
      <c r="K100" s="40" t="s">
        <v>200</v>
      </c>
      <c r="L100" s="40" t="s">
        <v>200</v>
      </c>
      <c r="N100" s="40" t="s">
        <v>11</v>
      </c>
      <c r="O100" s="40" t="s">
        <v>200</v>
      </c>
      <c r="P100" s="40" t="s">
        <v>200</v>
      </c>
      <c r="Q100" s="40" t="s">
        <v>200</v>
      </c>
      <c r="R100" s="40" t="s">
        <v>200</v>
      </c>
    </row>
    <row r="101" spans="1:18" ht="16.2" x14ac:dyDescent="0.3">
      <c r="A101" s="42">
        <v>98</v>
      </c>
      <c r="B101" s="66" t="s">
        <v>175</v>
      </c>
      <c r="C101" s="44"/>
      <c r="D101" s="44"/>
      <c r="E101" s="44"/>
      <c r="F101" s="44"/>
      <c r="H101" s="40">
        <v>10</v>
      </c>
      <c r="I101" s="40" t="s">
        <v>200</v>
      </c>
      <c r="J101" s="40" t="s">
        <v>200</v>
      </c>
      <c r="K101" s="40" t="s">
        <v>200</v>
      </c>
      <c r="L101" s="40" t="s">
        <v>200</v>
      </c>
      <c r="N101" s="40" t="s">
        <v>8</v>
      </c>
      <c r="O101" s="40" t="s">
        <v>200</v>
      </c>
      <c r="P101" s="40" t="s">
        <v>200</v>
      </c>
      <c r="Q101" s="40" t="s">
        <v>200</v>
      </c>
      <c r="R101" s="40" t="s">
        <v>200</v>
      </c>
    </row>
    <row r="102" spans="1:18" ht="16.2" x14ac:dyDescent="0.3">
      <c r="A102" s="42">
        <v>99</v>
      </c>
      <c r="B102" s="66" t="s">
        <v>170</v>
      </c>
      <c r="C102" s="44"/>
      <c r="D102" s="44"/>
      <c r="E102" s="44"/>
      <c r="F102" s="44"/>
      <c r="H102" s="40">
        <v>2</v>
      </c>
      <c r="I102" s="40" t="s">
        <v>200</v>
      </c>
      <c r="J102" s="40" t="s">
        <v>200</v>
      </c>
      <c r="K102" s="40" t="s">
        <v>200</v>
      </c>
      <c r="L102" s="40" t="s">
        <v>200</v>
      </c>
      <c r="N102" s="40" t="s">
        <v>3</v>
      </c>
      <c r="O102" s="40" t="s">
        <v>200</v>
      </c>
      <c r="P102" s="40" t="s">
        <v>200</v>
      </c>
      <c r="Q102" s="40" t="s">
        <v>200</v>
      </c>
      <c r="R102" s="40" t="s">
        <v>200</v>
      </c>
    </row>
    <row r="103" spans="1:18" ht="16.2" x14ac:dyDescent="0.3">
      <c r="A103" s="42">
        <v>100</v>
      </c>
      <c r="B103" s="66"/>
      <c r="C103" s="44"/>
      <c r="D103" s="44"/>
      <c r="E103" s="44"/>
      <c r="F103" s="44"/>
      <c r="H103" s="40" t="s">
        <v>200</v>
      </c>
      <c r="I103" s="40" t="s">
        <v>200</v>
      </c>
      <c r="J103" s="40" t="s">
        <v>200</v>
      </c>
      <c r="K103" s="40" t="s">
        <v>200</v>
      </c>
      <c r="L103" s="40" t="s">
        <v>200</v>
      </c>
      <c r="N103" s="40" t="s">
        <v>200</v>
      </c>
      <c r="O103" s="40" t="s">
        <v>200</v>
      </c>
      <c r="P103" s="40" t="s">
        <v>200</v>
      </c>
      <c r="Q103" s="40" t="s">
        <v>200</v>
      </c>
      <c r="R103" s="40" t="s">
        <v>200</v>
      </c>
    </row>
  </sheetData>
  <mergeCells count="1">
    <mergeCell ref="N1:P1"/>
  </mergeCells>
  <phoneticPr fontId="24" type="noConversion"/>
  <conditionalFormatting sqref="A1:A70">
    <cfRule type="cellIs" dxfId="13" priority="19" stopIfTrue="1" operator="equal">
      <formula>"WW"</formula>
    </cfRule>
    <cfRule type="cellIs" dxfId="12" priority="20" stopIfTrue="1" operator="equal">
      <formula>"C2"</formula>
    </cfRule>
  </conditionalFormatting>
  <conditionalFormatting sqref="B1:F1048576">
    <cfRule type="cellIs" dxfId="11" priority="1" operator="equal">
      <formula>"TE"</formula>
    </cfRule>
    <cfRule type="cellIs" dxfId="10" priority="2" operator="equal">
      <formula>"J"</formula>
    </cfRule>
    <cfRule type="cellIs" dxfId="9" priority="3" operator="equal">
      <formula>"Q"</formula>
    </cfRule>
    <cfRule type="cellIs" dxfId="8" priority="4" operator="equal">
      <formula>"K"</formula>
    </cfRule>
    <cfRule type="cellIs" dxfId="7" priority="5" operator="equal">
      <formula>"A"</formula>
    </cfRule>
    <cfRule type="cellIs" dxfId="6" priority="6" operator="equal">
      <formula>"M5"</formula>
    </cfRule>
    <cfRule type="cellIs" dxfId="5" priority="7" operator="equal">
      <formula>"M4"</formula>
    </cfRule>
    <cfRule type="cellIs" dxfId="4" priority="8" operator="equal">
      <formula>"M3"</formula>
    </cfRule>
    <cfRule type="cellIs" dxfId="3" priority="9" operator="equal">
      <formula>"M1"</formula>
    </cfRule>
    <cfRule type="cellIs" dxfId="2" priority="10" stopIfTrue="1" operator="equal">
      <formula>"M2"</formula>
    </cfRule>
    <cfRule type="cellIs" dxfId="1" priority="11" stopIfTrue="1" operator="equal">
      <formula>"WW"</formula>
    </cfRule>
    <cfRule type="cellIs" dxfId="0" priority="12" stopIfTrue="1" operator="between">
      <formula>"C1"</formula>
      <formula>"C2"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12"/>
  <sheetViews>
    <sheetView tabSelected="1" topLeftCell="A696" zoomScale="70" zoomScaleNormal="70" workbookViewId="0">
      <selection activeCell="P711" sqref="P711"/>
    </sheetView>
  </sheetViews>
  <sheetFormatPr defaultRowHeight="16.2" x14ac:dyDescent="0.3"/>
  <cols>
    <col min="1" max="1" width="27.109375" customWidth="1"/>
    <col min="7" max="7" width="12.88671875" customWidth="1"/>
    <col min="8" max="8" width="12.21875" customWidth="1"/>
    <col min="9" max="9" width="11.5546875" customWidth="1"/>
    <col min="10" max="10" width="15.109375" customWidth="1"/>
    <col min="11" max="11" width="27.77734375" customWidth="1"/>
    <col min="13" max="13" width="19" customWidth="1"/>
    <col min="14" max="14" width="17.109375" customWidth="1"/>
    <col min="15" max="15" width="20.33203125" customWidth="1"/>
    <col min="16" max="16" width="32.109375" customWidth="1"/>
    <col min="17" max="17" width="27.88671875" customWidth="1"/>
  </cols>
  <sheetData>
    <row r="1" spans="1:17" ht="16.8" thickBot="1" x14ac:dyDescent="0.35">
      <c r="A1" s="125" t="s">
        <v>282</v>
      </c>
    </row>
    <row r="2" spans="1:17" ht="16.8" thickBot="1" x14ac:dyDescent="0.35">
      <c r="A2" s="95" t="s">
        <v>280</v>
      </c>
      <c r="B2" s="142">
        <f>PRODUCT('Free Spins Symbol'!V18:Z18)</f>
        <v>344064000</v>
      </c>
      <c r="C2" s="142"/>
      <c r="D2" s="142"/>
      <c r="E2" s="142"/>
      <c r="F2" s="142"/>
      <c r="G2" s="7"/>
      <c r="H2" s="106"/>
      <c r="I2" s="107" t="s">
        <v>281</v>
      </c>
      <c r="J2" s="108">
        <f>SUM(J4:J38)</f>
        <v>0.42821893601190464</v>
      </c>
      <c r="K2" s="126">
        <f>SUM(K4:K39)</f>
        <v>7.8334821428571427E-2</v>
      </c>
    </row>
    <row r="3" spans="1:17" ht="33" thickBot="1" x14ac:dyDescent="0.35">
      <c r="A3" s="109" t="s">
        <v>233</v>
      </c>
      <c r="B3" s="110" t="s">
        <v>234</v>
      </c>
      <c r="C3" s="110" t="s">
        <v>235</v>
      </c>
      <c r="D3" s="110" t="s">
        <v>236</v>
      </c>
      <c r="E3" s="110" t="s">
        <v>237</v>
      </c>
      <c r="F3" s="110" t="s">
        <v>238</v>
      </c>
      <c r="G3" s="111" t="s">
        <v>239</v>
      </c>
      <c r="H3" s="112" t="s">
        <v>240</v>
      </c>
      <c r="I3" s="113" t="s">
        <v>241</v>
      </c>
      <c r="J3" s="114" t="s">
        <v>242</v>
      </c>
      <c r="K3" s="115" t="s">
        <v>243</v>
      </c>
      <c r="M3">
        <f>20000000</f>
        <v>20000000</v>
      </c>
    </row>
    <row r="4" spans="1:17" x14ac:dyDescent="0.3">
      <c r="A4" s="116" t="s">
        <v>244</v>
      </c>
      <c r="B4" s="117">
        <f>VLOOKUP(MID($A4,1,2),'Free Spins Symbol'!$T$2:$Z$29,3,0)</f>
        <v>18</v>
      </c>
      <c r="C4" s="117">
        <f>VLOOKUP(MID($A4,4,2),'Free Spins Symbol'!$T$2:$Z$29,4,0)</f>
        <v>0</v>
      </c>
      <c r="D4" s="117">
        <f>VLOOKUP(MID($A4,7,2),'Free Spins Symbol'!$T$2:$Z$29,5,0)</f>
        <v>0</v>
      </c>
      <c r="E4" s="117">
        <f>VLOOKUP(MID($A4,10,2),'Free Spins Symbol'!$T$2:$Z$29,6,0)</f>
        <v>0</v>
      </c>
      <c r="F4" s="117">
        <f>VLOOKUP(MID($A4,13,2),'Free Spins Symbol'!$T$2:$Z$29,7,0)</f>
        <v>0</v>
      </c>
      <c r="G4" s="100">
        <f>B4*C4*D4*E4*F4</f>
        <v>0</v>
      </c>
      <c r="H4" s="118" t="e">
        <f>B$2/G4</f>
        <v>#DIV/0!</v>
      </c>
      <c r="I4" s="100">
        <v>500</v>
      </c>
      <c r="J4" s="119">
        <f t="shared" ref="J4:J39" si="0">K4*I4</f>
        <v>0</v>
      </c>
      <c r="K4" s="120">
        <f>G4/B$2</f>
        <v>0</v>
      </c>
      <c r="M4" s="145">
        <f>135516/$M$3</f>
        <v>6.7758000000000002E-3</v>
      </c>
      <c r="N4" s="145">
        <f>135931/$M$3</f>
        <v>6.7965500000000002E-3</v>
      </c>
      <c r="O4" s="145">
        <f>136248/$M$3</f>
        <v>6.8123999999999997E-3</v>
      </c>
      <c r="P4">
        <f>SUM(M4:O4)/3</f>
        <v>6.794916666666667E-3</v>
      </c>
    </row>
    <row r="5" spans="1:17" x14ac:dyDescent="0.3">
      <c r="A5" s="116" t="s">
        <v>245</v>
      </c>
      <c r="B5" s="117">
        <f>VLOOKUP(MID($A5,1,2),'Free Spins Symbol'!$T$2:$Z$29,3,0)</f>
        <v>20</v>
      </c>
      <c r="C5" s="117">
        <f>VLOOKUP(MID($A5,4,2),'Free Spins Symbol'!$T$2:$Z$29,4,0)</f>
        <v>2</v>
      </c>
      <c r="D5" s="117">
        <f>VLOOKUP(MID($A5,7,2),'Free Spins Symbol'!$T$2:$Z$29,5,0)</f>
        <v>2</v>
      </c>
      <c r="E5" s="117">
        <f>VLOOKUP(MID($A5,10,2),'Free Spins Symbol'!$T$2:$Z$29,6,0)</f>
        <v>1</v>
      </c>
      <c r="F5" s="117">
        <f>VLOOKUP(MID($A5,13,2),'Free Spins Symbol'!$T$2:$Z$29,7,0)</f>
        <v>1</v>
      </c>
      <c r="G5" s="100">
        <f>B5*C5*D5*E5*F5-G4</f>
        <v>80</v>
      </c>
      <c r="H5" s="118">
        <f t="shared" ref="H5:H39" si="1">B$2/G5</f>
        <v>4300800</v>
      </c>
      <c r="I5" s="100">
        <v>250</v>
      </c>
      <c r="J5" s="119">
        <f t="shared" si="0"/>
        <v>5.8128720238095235E-5</v>
      </c>
      <c r="K5" s="120">
        <f t="shared" ref="K5:K39" si="2">G5/B$2</f>
        <v>2.3251488095238095E-7</v>
      </c>
      <c r="M5" s="145">
        <f>29259/$M$3</f>
        <v>1.46295E-3</v>
      </c>
      <c r="N5" s="145">
        <f>29954/$M$3</f>
        <v>1.4977E-3</v>
      </c>
      <c r="O5" s="145">
        <f>29588/$M$3</f>
        <v>1.4794000000000001E-3</v>
      </c>
      <c r="P5">
        <f>SUM(M5:O5)/3</f>
        <v>1.4800166666666668E-3</v>
      </c>
    </row>
    <row r="6" spans="1:17" x14ac:dyDescent="0.3">
      <c r="A6" s="116" t="s">
        <v>246</v>
      </c>
      <c r="B6" s="117">
        <f>VLOOKUP(MID($A6,1,2),'Free Spins Symbol'!$T$2:$Z$29,3,0)</f>
        <v>22</v>
      </c>
      <c r="C6" s="117">
        <f>VLOOKUP(MID($A6,4,2),'Free Spins Symbol'!$T$2:$Z$29,4,0)</f>
        <v>2</v>
      </c>
      <c r="D6" s="117">
        <f>VLOOKUP(MID($A6,7,2),'Free Spins Symbol'!$T$2:$Z$29,5,0)</f>
        <v>3</v>
      </c>
      <c r="E6" s="117">
        <f>VLOOKUP(MID($A6,10,2),'Free Spins Symbol'!$T$2:$Z$29,6,0)</f>
        <v>1</v>
      </c>
      <c r="F6" s="117">
        <f>VLOOKUP(MID($A6,13,2),'Free Spins Symbol'!$T$2:$Z$29,7,0)</f>
        <v>1</v>
      </c>
      <c r="G6" s="100">
        <f>B6*C6*D6*E6*F6-G4</f>
        <v>132</v>
      </c>
      <c r="H6" s="118">
        <f t="shared" si="1"/>
        <v>2606545.4545454546</v>
      </c>
      <c r="I6" s="100">
        <v>250</v>
      </c>
      <c r="J6" s="119">
        <f t="shared" si="0"/>
        <v>9.5912388392857141E-5</v>
      </c>
      <c r="K6" s="152">
        <f t="shared" si="2"/>
        <v>3.8364955357142859E-7</v>
      </c>
      <c r="M6" s="145">
        <f>3/$M$3</f>
        <v>1.4999999999999999E-7</v>
      </c>
      <c r="N6" s="145">
        <f>9/$M$3</f>
        <v>4.4999999999999998E-7</v>
      </c>
      <c r="O6" s="145">
        <f>7/$M$3</f>
        <v>3.4999999999999998E-7</v>
      </c>
      <c r="P6" s="150">
        <f>SUM(M6:O6)/3</f>
        <v>3.1666666666666667E-7</v>
      </c>
    </row>
    <row r="7" spans="1:17" x14ac:dyDescent="0.3">
      <c r="A7" s="116" t="s">
        <v>247</v>
      </c>
      <c r="B7" s="117">
        <f>VLOOKUP(MID($A7,1,2),'Free Spins Symbol'!$T$2:$Z$29,3,0)</f>
        <v>24</v>
      </c>
      <c r="C7" s="117">
        <f>VLOOKUP(MID($A7,4,2),'Free Spins Symbol'!$T$2:$Z$29,4,0)</f>
        <v>4</v>
      </c>
      <c r="D7" s="117">
        <f>VLOOKUP(MID($A7,7,2),'Free Spins Symbol'!$T$2:$Z$29,5,0)</f>
        <v>2</v>
      </c>
      <c r="E7" s="117">
        <f>VLOOKUP(MID($A7,10,2),'Free Spins Symbol'!$T$2:$Z$29,6,0)</f>
        <v>1</v>
      </c>
      <c r="F7" s="117">
        <f>VLOOKUP(MID($A7,13,2),'Free Spins Symbol'!$T$2:$Z$29,7,0)</f>
        <v>5</v>
      </c>
      <c r="G7" s="100">
        <f>B7*C7*D7*E7*F7-G4</f>
        <v>960</v>
      </c>
      <c r="H7" s="118">
        <f t="shared" si="1"/>
        <v>358400</v>
      </c>
      <c r="I7" s="100">
        <v>150</v>
      </c>
      <c r="J7" s="119">
        <f t="shared" si="0"/>
        <v>4.1852678571428569E-4</v>
      </c>
      <c r="K7" s="120">
        <f t="shared" si="2"/>
        <v>2.7901785714285714E-6</v>
      </c>
      <c r="M7" s="145"/>
      <c r="N7" s="145"/>
      <c r="P7" s="150"/>
    </row>
    <row r="8" spans="1:17" x14ac:dyDescent="0.3">
      <c r="A8" s="116" t="s">
        <v>248</v>
      </c>
      <c r="B8" s="117">
        <f>VLOOKUP(MID($A8,1,2),'Free Spins Symbol'!$T$2:$Z$29,3,0)</f>
        <v>24</v>
      </c>
      <c r="C8" s="117">
        <f>VLOOKUP(MID($A8,4,2),'Free Spins Symbol'!$T$2:$Z$29,4,0)</f>
        <v>4</v>
      </c>
      <c r="D8" s="117">
        <f>VLOOKUP(MID($A8,7,2),'Free Spins Symbol'!$T$2:$Z$29,5,0)</f>
        <v>2</v>
      </c>
      <c r="E8" s="117">
        <f>VLOOKUP(MID($A8,10,2),'Free Spins Symbol'!$T$2:$Z$29,6,0)</f>
        <v>1</v>
      </c>
      <c r="F8" s="117">
        <f>VLOOKUP(MID($A8,13,2),'Free Spins Symbol'!$T$2:$Z$29,7,0)</f>
        <v>5</v>
      </c>
      <c r="G8" s="100">
        <f>B8*C8*D8*E8*F8-G4</f>
        <v>960</v>
      </c>
      <c r="H8" s="118">
        <f t="shared" si="1"/>
        <v>358400</v>
      </c>
      <c r="I8" s="100">
        <v>150</v>
      </c>
      <c r="J8" s="119">
        <f t="shared" si="0"/>
        <v>4.1852678571428569E-4</v>
      </c>
      <c r="K8" s="120">
        <f t="shared" si="2"/>
        <v>2.7901785714285714E-6</v>
      </c>
      <c r="M8" s="145"/>
      <c r="N8" s="145"/>
      <c r="P8" s="150"/>
    </row>
    <row r="9" spans="1:17" x14ac:dyDescent="0.3">
      <c r="A9" s="116" t="s">
        <v>254</v>
      </c>
      <c r="B9" s="117">
        <f>VLOOKUP(MID($A9,1,2),'Free Spins Symbol'!$T$2:$Z$29,3,0)</f>
        <v>18</v>
      </c>
      <c r="C9" s="117">
        <f>VLOOKUP(MID($A9,4,2),'Free Spins Symbol'!$T$2:$Z$29,4,0)</f>
        <v>0</v>
      </c>
      <c r="D9" s="117">
        <f>VLOOKUP(MID($A9,7,2),'Free Spins Symbol'!$T$2:$Z$29,5,0)</f>
        <v>0</v>
      </c>
      <c r="E9" s="117">
        <f>VLOOKUP(MID($A9,10,2),'Free Spins Symbol'!$T$2:$Z$29,6,0)</f>
        <v>0</v>
      </c>
      <c r="F9" s="117">
        <f>VLOOKUP(MID($A9,13,2),'Free Spins Symbol'!$T$2:$Z$29,7,0)</f>
        <v>48</v>
      </c>
      <c r="G9" s="100">
        <f>B9*C9*D9*E9*(F9-F8-F7-F6-F5+3*F4)</f>
        <v>0</v>
      </c>
      <c r="H9" s="118" t="e">
        <f t="shared" si="1"/>
        <v>#DIV/0!</v>
      </c>
      <c r="I9" s="100">
        <v>100</v>
      </c>
      <c r="J9" s="119">
        <f>K9*I9</f>
        <v>0</v>
      </c>
      <c r="K9" s="120">
        <f>G9/B$2</f>
        <v>0</v>
      </c>
      <c r="M9" s="145"/>
      <c r="N9" s="145"/>
      <c r="P9" s="150"/>
    </row>
    <row r="10" spans="1:17" x14ac:dyDescent="0.3">
      <c r="A10" s="116" t="s">
        <v>249</v>
      </c>
      <c r="B10" s="117">
        <f>VLOOKUP(MID($A10,1,2),'Free Spins Symbol'!$T$2:$Z$29,3,0)</f>
        <v>38</v>
      </c>
      <c r="C10" s="117">
        <f>VLOOKUP(MID($A10,4,2),'Free Spins Symbol'!$T$2:$Z$29,4,0)</f>
        <v>13</v>
      </c>
      <c r="D10" s="117">
        <f>VLOOKUP(MID($A10,7,2),'Free Spins Symbol'!$T$2:$Z$29,5,0)</f>
        <v>1</v>
      </c>
      <c r="E10" s="117">
        <f>VLOOKUP(MID($A10,10,2),'Free Spins Symbol'!$T$2:$Z$29,6,0)</f>
        <v>7</v>
      </c>
      <c r="F10" s="117">
        <f>VLOOKUP(MID($A10,13,2),'Free Spins Symbol'!$T$2:$Z$29,7,0)</f>
        <v>2</v>
      </c>
      <c r="G10" s="100">
        <f>B10*C10*D10*E10*F10-G4</f>
        <v>6916</v>
      </c>
      <c r="H10" s="118">
        <f t="shared" si="1"/>
        <v>49748.987854251012</v>
      </c>
      <c r="I10" s="100">
        <v>100</v>
      </c>
      <c r="J10" s="119">
        <f t="shared" si="0"/>
        <v>2.0100911458333331E-3</v>
      </c>
      <c r="K10" s="151">
        <f t="shared" si="2"/>
        <v>2.0100911458333332E-5</v>
      </c>
      <c r="M10" s="145">
        <f>395/$M$3</f>
        <v>1.9749999999999999E-5</v>
      </c>
      <c r="N10" s="145">
        <f>358/$M$3</f>
        <v>1.7900000000000001E-5</v>
      </c>
      <c r="O10" s="145">
        <f>372/$M$3</f>
        <v>1.8600000000000001E-5</v>
      </c>
      <c r="P10" s="150">
        <f t="shared" ref="P7:P10" si="3">SUM(M10:O10)/3</f>
        <v>1.8749999999999998E-5</v>
      </c>
      <c r="Q10" s="149">
        <f>1073/50000000</f>
        <v>2.1460000000000001E-5</v>
      </c>
    </row>
    <row r="11" spans="1:17" x14ac:dyDescent="0.3">
      <c r="A11" s="116" t="s">
        <v>250</v>
      </c>
      <c r="B11" s="117">
        <f>VLOOKUP(MID($A11,1,2),'Free Spins Symbol'!$T$2:$Z$29,3,0)</f>
        <v>35</v>
      </c>
      <c r="C11" s="117">
        <f>VLOOKUP(MID($A11,4,2),'Free Spins Symbol'!$T$2:$Z$29,4,0)</f>
        <v>1</v>
      </c>
      <c r="D11" s="117">
        <f>VLOOKUP(MID($A11,7,2),'Free Spins Symbol'!$T$2:$Z$29,5,0)</f>
        <v>9</v>
      </c>
      <c r="E11" s="117">
        <f>VLOOKUP(MID($A11,10,2),'Free Spins Symbol'!$T$2:$Z$29,6,0)</f>
        <v>1</v>
      </c>
      <c r="F11" s="117">
        <f>VLOOKUP(MID($A11,13,2),'Free Spins Symbol'!$T$2:$Z$29,7,0)</f>
        <v>11</v>
      </c>
      <c r="G11" s="100">
        <f>B11*C11*D11*E11*F11-G4</f>
        <v>3465</v>
      </c>
      <c r="H11" s="118">
        <f t="shared" si="1"/>
        <v>99296.969696969696</v>
      </c>
      <c r="I11" s="100">
        <v>100</v>
      </c>
      <c r="J11" s="119">
        <f t="shared" si="0"/>
        <v>1.007080078125E-3</v>
      </c>
      <c r="K11" s="120">
        <f t="shared" si="2"/>
        <v>1.007080078125E-5</v>
      </c>
      <c r="M11" s="145"/>
      <c r="N11" s="145"/>
    </row>
    <row r="12" spans="1:17" x14ac:dyDescent="0.3">
      <c r="A12" s="116" t="s">
        <v>251</v>
      </c>
      <c r="B12" s="117">
        <f>VLOOKUP(MID($A12,1,2),'Free Spins Symbol'!$T$2:$Z$29,3,0)</f>
        <v>28</v>
      </c>
      <c r="C12" s="117">
        <f>VLOOKUP(MID($A12,4,2),'Free Spins Symbol'!$T$2:$Z$29,4,0)</f>
        <v>13</v>
      </c>
      <c r="D12" s="117">
        <f>VLOOKUP(MID($A12,7,2),'Free Spins Symbol'!$T$2:$Z$29,5,0)</f>
        <v>9</v>
      </c>
      <c r="E12" s="117">
        <f>VLOOKUP(MID($A12,10,2),'Free Spins Symbol'!$T$2:$Z$29,6,0)</f>
        <v>1</v>
      </c>
      <c r="F12" s="117">
        <f>VLOOKUP(MID($A12,13,2),'Free Spins Symbol'!$T$2:$Z$29,7,0)</f>
        <v>1</v>
      </c>
      <c r="G12" s="100">
        <f>B12*C12*D12*E12*F12-G4</f>
        <v>3276</v>
      </c>
      <c r="H12" s="118">
        <f t="shared" si="1"/>
        <v>105025.64102564103</v>
      </c>
      <c r="I12" s="100">
        <v>100</v>
      </c>
      <c r="J12" s="119">
        <f t="shared" si="0"/>
        <v>9.5214843749999998E-4</v>
      </c>
      <c r="K12" s="120">
        <f t="shared" si="2"/>
        <v>9.521484375E-6</v>
      </c>
      <c r="M12" s="145"/>
      <c r="N12" s="145"/>
    </row>
    <row r="13" spans="1:17" x14ac:dyDescent="0.3">
      <c r="A13" s="116" t="s">
        <v>252</v>
      </c>
      <c r="B13" s="117">
        <f>VLOOKUP(MID($A13,1,2),'Free Spins Symbol'!$T$2:$Z$29,3,0)</f>
        <v>34</v>
      </c>
      <c r="C13" s="117">
        <f>VLOOKUP(MID($A13,4,2),'Free Spins Symbol'!$T$2:$Z$29,4,0)</f>
        <v>13</v>
      </c>
      <c r="D13" s="117">
        <f>VLOOKUP(MID($A13,7,2),'Free Spins Symbol'!$T$2:$Z$29,5,0)</f>
        <v>1</v>
      </c>
      <c r="E13" s="117">
        <f>VLOOKUP(MID($A13,10,2),'Free Spins Symbol'!$T$2:$Z$29,6,0)</f>
        <v>8</v>
      </c>
      <c r="F13" s="117">
        <f>VLOOKUP(MID($A13,13,2),'Free Spins Symbol'!$T$2:$Z$29,7,0)</f>
        <v>11</v>
      </c>
      <c r="G13" s="100">
        <f>(B13*C13*D13*E13-B9*C9*D9*E9)*F13</f>
        <v>38896</v>
      </c>
      <c r="H13" s="118">
        <f t="shared" si="1"/>
        <v>8845.742492801317</v>
      </c>
      <c r="I13" s="100">
        <v>100</v>
      </c>
      <c r="J13" s="119">
        <f t="shared" si="0"/>
        <v>1.1304873511904762E-2</v>
      </c>
      <c r="K13" s="120">
        <f t="shared" si="2"/>
        <v>1.1304873511904762E-4</v>
      </c>
      <c r="M13" s="145"/>
      <c r="N13" s="145"/>
    </row>
    <row r="14" spans="1:17" x14ac:dyDescent="0.3">
      <c r="A14" s="116" t="s">
        <v>253</v>
      </c>
      <c r="B14" s="117">
        <f>VLOOKUP(MID($A14,1,2),'Free Spins Symbol'!$T$2:$Z$29,3,0)</f>
        <v>19</v>
      </c>
      <c r="C14" s="117">
        <f>VLOOKUP(MID($A14,4,2),'Free Spins Symbol'!$T$2:$Z$29,4,0)</f>
        <v>2</v>
      </c>
      <c r="D14" s="117">
        <f>VLOOKUP(MID($A14,7,2),'Free Spins Symbol'!$T$2:$Z$29,5,0)</f>
        <v>10</v>
      </c>
      <c r="E14" s="117">
        <f>VLOOKUP(MID($A14,10,2),'Free Spins Symbol'!$T$2:$Z$29,6,0)</f>
        <v>7</v>
      </c>
      <c r="F14" s="117">
        <f>VLOOKUP(MID($A14,13,2),'Free Spins Symbol'!$T$2:$Z$29,7,0)</f>
        <v>11</v>
      </c>
      <c r="G14" s="100">
        <f>B14*C14*D14*E14*F14-G4</f>
        <v>29260</v>
      </c>
      <c r="H14" s="118">
        <f t="shared" si="1"/>
        <v>11758.851674641148</v>
      </c>
      <c r="I14" s="100">
        <v>100</v>
      </c>
      <c r="J14" s="119">
        <f t="shared" si="0"/>
        <v>8.5042317708333339E-3</v>
      </c>
      <c r="K14" s="120">
        <f t="shared" si="2"/>
        <v>8.5042317708333332E-5</v>
      </c>
      <c r="M14" s="145"/>
      <c r="N14" s="145"/>
    </row>
    <row r="15" spans="1:17" x14ac:dyDescent="0.3">
      <c r="A15" s="116" t="s">
        <v>255</v>
      </c>
      <c r="B15" s="117">
        <f>VLOOKUP(MID($A15,1,2),'Free Spins Symbol'!$T$2:$Z$29,3,0)</f>
        <v>20</v>
      </c>
      <c r="C15" s="117">
        <f>VLOOKUP(MID($A15,4,2),'Free Spins Symbol'!$T$2:$Z$29,4,0)</f>
        <v>2</v>
      </c>
      <c r="D15" s="117">
        <f>VLOOKUP(MID($A15,7,2),'Free Spins Symbol'!$T$2:$Z$29,5,0)</f>
        <v>2</v>
      </c>
      <c r="E15" s="117">
        <f>VLOOKUP(MID($A15,10,2),'Free Spins Symbol'!$T$2:$Z$29,6,0)</f>
        <v>1</v>
      </c>
      <c r="F15" s="117">
        <f>VLOOKUP(MID($A15,13,2),'Free Spins Symbol'!$T$2:$Z$29,7,0)</f>
        <v>48</v>
      </c>
      <c r="G15" s="100">
        <f>(B15*C15*D15*E15-B9*C9*D9*E9)*(F15-F5)</f>
        <v>3760</v>
      </c>
      <c r="H15" s="118">
        <f t="shared" si="1"/>
        <v>91506.382978723399</v>
      </c>
      <c r="I15" s="100">
        <v>50</v>
      </c>
      <c r="J15" s="119">
        <f t="shared" si="0"/>
        <v>5.4640997023809525E-4</v>
      </c>
      <c r="K15" s="120">
        <f t="shared" si="2"/>
        <v>1.0928199404761904E-5</v>
      </c>
      <c r="M15" s="145"/>
      <c r="N15" s="145"/>
    </row>
    <row r="16" spans="1:17" x14ac:dyDescent="0.3">
      <c r="A16" s="116" t="s">
        <v>256</v>
      </c>
      <c r="B16" s="117">
        <f>VLOOKUP(MID($A16,1,2),'Free Spins Symbol'!$T$2:$Z$29,3,0)</f>
        <v>22</v>
      </c>
      <c r="C16" s="117">
        <f>VLOOKUP(MID($A16,4,2),'Free Spins Symbol'!$T$2:$Z$29,4,0)</f>
        <v>2</v>
      </c>
      <c r="D16" s="117">
        <f>VLOOKUP(MID($A16,7,2),'Free Spins Symbol'!$T$2:$Z$29,5,0)</f>
        <v>3</v>
      </c>
      <c r="E16" s="117">
        <f>VLOOKUP(MID($A16,10,2),'Free Spins Symbol'!$T$2:$Z$29,6,0)</f>
        <v>1</v>
      </c>
      <c r="F16" s="117">
        <f>VLOOKUP(MID($A16,13,2),'Free Spins Symbol'!$T$2:$Z$29,7,0)</f>
        <v>48</v>
      </c>
      <c r="G16" s="100">
        <f>(B16*C16*D16*E16-B9*C9*D9*E9)*(F16-F6)</f>
        <v>6204</v>
      </c>
      <c r="H16" s="118">
        <f t="shared" si="1"/>
        <v>55458.41392649903</v>
      </c>
      <c r="I16" s="100">
        <v>50</v>
      </c>
      <c r="J16" s="119">
        <f t="shared" si="0"/>
        <v>9.0157645089285719E-4</v>
      </c>
      <c r="K16" s="120">
        <f t="shared" si="2"/>
        <v>1.8031529017857143E-5</v>
      </c>
      <c r="M16" s="145"/>
      <c r="N16" s="145"/>
    </row>
    <row r="17" spans="1:14" x14ac:dyDescent="0.3">
      <c r="A17" s="116" t="s">
        <v>257</v>
      </c>
      <c r="B17" s="117">
        <f>VLOOKUP(MID($A17,1,2),'Free Spins Symbol'!$T$2:$Z$29,3,0)</f>
        <v>24</v>
      </c>
      <c r="C17" s="117">
        <f>VLOOKUP(MID($A17,4,2),'Free Spins Symbol'!$T$2:$Z$29,4,0)</f>
        <v>4</v>
      </c>
      <c r="D17" s="117">
        <f>VLOOKUP(MID($A17,7,2),'Free Spins Symbol'!$T$2:$Z$29,5,0)</f>
        <v>2</v>
      </c>
      <c r="E17" s="117">
        <f>VLOOKUP(MID($A17,10,2),'Free Spins Symbol'!$T$2:$Z$29,6,0)</f>
        <v>1</v>
      </c>
      <c r="F17" s="117">
        <f>VLOOKUP(MID($A17,13,2),'Free Spins Symbol'!$T$2:$Z$29,7,0)</f>
        <v>48</v>
      </c>
      <c r="G17" s="100">
        <f>(B17*C17*D17*E17-B9*C9*D9*E9)*(F17-F7)</f>
        <v>8256</v>
      </c>
      <c r="H17" s="118">
        <f t="shared" si="1"/>
        <v>41674.41860465116</v>
      </c>
      <c r="I17" s="100">
        <v>30</v>
      </c>
      <c r="J17" s="119">
        <f t="shared" si="0"/>
        <v>7.1986607142857139E-4</v>
      </c>
      <c r="K17" s="120">
        <f t="shared" si="2"/>
        <v>2.3995535714285713E-5</v>
      </c>
      <c r="M17" s="145"/>
      <c r="N17" s="145"/>
    </row>
    <row r="18" spans="1:14" x14ac:dyDescent="0.3">
      <c r="A18" s="116" t="s">
        <v>258</v>
      </c>
      <c r="B18" s="117">
        <f>VLOOKUP(MID($A18,1,2),'Free Spins Symbol'!$T$2:$Z$29,3,0)</f>
        <v>24</v>
      </c>
      <c r="C18" s="117">
        <f>VLOOKUP(MID($A18,4,2),'Free Spins Symbol'!$T$2:$Z$29,4,0)</f>
        <v>4</v>
      </c>
      <c r="D18" s="117">
        <f>VLOOKUP(MID($A18,7,2),'Free Spins Symbol'!$T$2:$Z$29,5,0)</f>
        <v>2</v>
      </c>
      <c r="E18" s="117">
        <f>VLOOKUP(MID($A18,10,2),'Free Spins Symbol'!$T$2:$Z$29,6,0)</f>
        <v>1</v>
      </c>
      <c r="F18" s="117">
        <f>VLOOKUP(MID($A18,13,2),'Free Spins Symbol'!$T$2:$Z$29,7,0)</f>
        <v>48</v>
      </c>
      <c r="G18" s="100">
        <f>(B18*C18*D18*E18-B9*C9*D9*E9)*(F18-F8)</f>
        <v>8256</v>
      </c>
      <c r="H18" s="118">
        <f t="shared" si="1"/>
        <v>41674.41860465116</v>
      </c>
      <c r="I18" s="100">
        <v>30</v>
      </c>
      <c r="J18" s="119">
        <f t="shared" si="0"/>
        <v>7.1986607142857139E-4</v>
      </c>
      <c r="K18" s="120">
        <f t="shared" si="2"/>
        <v>2.3995535714285713E-5</v>
      </c>
      <c r="M18" s="145"/>
      <c r="N18" s="145"/>
    </row>
    <row r="19" spans="1:14" x14ac:dyDescent="0.3">
      <c r="A19" s="116" t="s">
        <v>264</v>
      </c>
      <c r="B19" s="117">
        <f>VLOOKUP(MID($A19,1,2),'Free Spins Symbol'!$T$2:$Z$29,3,0)</f>
        <v>18</v>
      </c>
      <c r="C19" s="117">
        <f>VLOOKUP(MID($A19,4,2),'Free Spins Symbol'!$T$2:$Z$29,4,0)</f>
        <v>0</v>
      </c>
      <c r="D19" s="117">
        <f>VLOOKUP(MID($A19,7,2),'Free Spins Symbol'!$T$2:$Z$29,5,0)</f>
        <v>0</v>
      </c>
      <c r="E19" s="117">
        <f>VLOOKUP(MID($A19,10,2),'Free Spins Symbol'!$T$2:$Z$29,6,0)</f>
        <v>32</v>
      </c>
      <c r="F19" s="117">
        <f>VLOOKUP(MID($A19,13,2),'Free Spins Symbol'!$T$2:$Z$29,7,0)</f>
        <v>48</v>
      </c>
      <c r="G19" s="100">
        <f>(B19*C19*D19)*(E19*F19-(E18+E17+E16+E15-3*E9)*F9-(E14-E9)*F14-(E13-E9)*F13-(E12-E9)*F12-(E11-E9)*F11-(E10-E9)*F10)</f>
        <v>0</v>
      </c>
      <c r="H19" s="118" t="e">
        <f t="shared" si="1"/>
        <v>#DIV/0!</v>
      </c>
      <c r="I19" s="100">
        <v>20</v>
      </c>
      <c r="J19" s="119">
        <f>K19*I19</f>
        <v>0</v>
      </c>
      <c r="K19" s="120">
        <f>G19/B$2</f>
        <v>0</v>
      </c>
      <c r="M19" s="145"/>
      <c r="N19" s="145"/>
    </row>
    <row r="20" spans="1:14" x14ac:dyDescent="0.3">
      <c r="A20" s="116" t="s">
        <v>259</v>
      </c>
      <c r="B20" s="117">
        <f>VLOOKUP(MID($A20,1,2),'Free Spins Symbol'!$T$2:$Z$29,3,0)</f>
        <v>38</v>
      </c>
      <c r="C20" s="117">
        <f>VLOOKUP(MID($A20,4,2),'Free Spins Symbol'!$T$2:$Z$29,4,0)</f>
        <v>13</v>
      </c>
      <c r="D20" s="117">
        <f>VLOOKUP(MID($A20,7,2),'Free Spins Symbol'!$T$2:$Z$29,5,0)</f>
        <v>1</v>
      </c>
      <c r="E20" s="117">
        <f>VLOOKUP(MID($A20,10,2),'Free Spins Symbol'!$T$2:$Z$29,6,0)</f>
        <v>7</v>
      </c>
      <c r="F20" s="117">
        <f>VLOOKUP(MID($A20,13,2),'Free Spins Symbol'!$T$2:$Z$29,7,0)</f>
        <v>48</v>
      </c>
      <c r="G20" s="100">
        <f>B20*C20*D20*E20*(F20-F10)</f>
        <v>159068</v>
      </c>
      <c r="H20" s="118">
        <f t="shared" si="1"/>
        <v>2162.9994719239571</v>
      </c>
      <c r="I20" s="100">
        <v>20</v>
      </c>
      <c r="J20" s="119">
        <f t="shared" si="0"/>
        <v>9.2464192708333337E-3</v>
      </c>
      <c r="K20" s="120">
        <f t="shared" si="2"/>
        <v>4.6232096354166665E-4</v>
      </c>
      <c r="M20" s="145"/>
      <c r="N20" s="145"/>
    </row>
    <row r="21" spans="1:14" x14ac:dyDescent="0.3">
      <c r="A21" s="116" t="s">
        <v>260</v>
      </c>
      <c r="B21" s="117">
        <f>VLOOKUP(MID($A21,1,2),'Free Spins Symbol'!$T$2:$Z$29,3,0)</f>
        <v>35</v>
      </c>
      <c r="C21" s="117">
        <f>VLOOKUP(MID($A21,4,2),'Free Spins Symbol'!$T$2:$Z$29,4,0)</f>
        <v>1</v>
      </c>
      <c r="D21" s="117">
        <f>VLOOKUP(MID($A21,7,2),'Free Spins Symbol'!$T$2:$Z$29,5,0)</f>
        <v>9</v>
      </c>
      <c r="E21" s="117">
        <f>VLOOKUP(MID($A21,10,2),'Free Spins Symbol'!$T$2:$Z$29,6,0)</f>
        <v>1</v>
      </c>
      <c r="F21" s="117">
        <f>VLOOKUP(MID($A21,13,2),'Free Spins Symbol'!$T$2:$Z$29,7,0)</f>
        <v>48</v>
      </c>
      <c r="G21" s="100">
        <f t="shared" ref="G21:G24" si="4">B21*C21*D21*E21*(F21-F11)</f>
        <v>11655</v>
      </c>
      <c r="H21" s="118">
        <f t="shared" si="1"/>
        <v>29520.720720720721</v>
      </c>
      <c r="I21" s="100">
        <v>20</v>
      </c>
      <c r="J21" s="119">
        <f t="shared" si="0"/>
        <v>6.7749023437500009E-4</v>
      </c>
      <c r="K21" s="120">
        <f t="shared" si="2"/>
        <v>3.3874511718750003E-5</v>
      </c>
      <c r="M21" s="145"/>
      <c r="N21" s="145"/>
    </row>
    <row r="22" spans="1:14" x14ac:dyDescent="0.3">
      <c r="A22" s="116" t="s">
        <v>261</v>
      </c>
      <c r="B22" s="117">
        <f>VLOOKUP(MID($A22,1,2),'Free Spins Symbol'!$T$2:$Z$29,3,0)</f>
        <v>28</v>
      </c>
      <c r="C22" s="117">
        <f>VLOOKUP(MID($A22,4,2),'Free Spins Symbol'!$T$2:$Z$29,4,0)</f>
        <v>13</v>
      </c>
      <c r="D22" s="117">
        <f>VLOOKUP(MID($A22,7,2),'Free Spins Symbol'!$T$2:$Z$29,5,0)</f>
        <v>9</v>
      </c>
      <c r="E22" s="117">
        <f>VLOOKUP(MID($A22,10,2),'Free Spins Symbol'!$T$2:$Z$29,6,0)</f>
        <v>1</v>
      </c>
      <c r="F22" s="117">
        <f>VLOOKUP(MID($A22,13,2),'Free Spins Symbol'!$T$2:$Z$29,7,0)</f>
        <v>48</v>
      </c>
      <c r="G22" s="100">
        <f t="shared" si="4"/>
        <v>153972</v>
      </c>
      <c r="H22" s="118">
        <f t="shared" si="1"/>
        <v>2234.5881069285324</v>
      </c>
      <c r="I22" s="100">
        <v>20</v>
      </c>
      <c r="J22" s="119">
        <f t="shared" si="0"/>
        <v>8.9501953124999992E-3</v>
      </c>
      <c r="K22" s="120">
        <f t="shared" si="2"/>
        <v>4.4750976562499999E-4</v>
      </c>
      <c r="M22" s="145"/>
      <c r="N22" s="145"/>
    </row>
    <row r="23" spans="1:14" x14ac:dyDescent="0.3">
      <c r="A23" s="116" t="s">
        <v>262</v>
      </c>
      <c r="B23" s="117">
        <f>VLOOKUP(MID($A23,1,2),'Free Spins Symbol'!$T$2:$Z$29,3,0)</f>
        <v>34</v>
      </c>
      <c r="C23" s="117">
        <f>VLOOKUP(MID($A23,4,2),'Free Spins Symbol'!$T$2:$Z$29,4,0)</f>
        <v>13</v>
      </c>
      <c r="D23" s="117">
        <f>VLOOKUP(MID($A23,7,2),'Free Spins Symbol'!$T$2:$Z$29,5,0)</f>
        <v>1</v>
      </c>
      <c r="E23" s="117">
        <f>VLOOKUP(MID($A23,10,2),'Free Spins Symbol'!$T$2:$Z$29,6,0)</f>
        <v>8</v>
      </c>
      <c r="F23" s="117">
        <f>VLOOKUP(MID($A23,13,2),'Free Spins Symbol'!$T$2:$Z$29,7,0)</f>
        <v>48</v>
      </c>
      <c r="G23" s="100">
        <f t="shared" si="4"/>
        <v>130832</v>
      </c>
      <c r="H23" s="118">
        <f t="shared" si="1"/>
        <v>2629.8153356976886</v>
      </c>
      <c r="I23" s="100">
        <v>20</v>
      </c>
      <c r="J23" s="119">
        <f t="shared" si="0"/>
        <v>7.6050967261904762E-3</v>
      </c>
      <c r="K23" s="120">
        <f t="shared" si="2"/>
        <v>3.8025483630952381E-4</v>
      </c>
      <c r="M23" s="145"/>
      <c r="N23" s="145"/>
    </row>
    <row r="24" spans="1:14" x14ac:dyDescent="0.3">
      <c r="A24" s="116" t="s">
        <v>263</v>
      </c>
      <c r="B24" s="117">
        <f>VLOOKUP(MID($A24,1,2),'Free Spins Symbol'!$T$2:$Z$29,3,0)</f>
        <v>19</v>
      </c>
      <c r="C24" s="117">
        <f>VLOOKUP(MID($A24,4,2),'Free Spins Symbol'!$T$2:$Z$29,4,0)</f>
        <v>2</v>
      </c>
      <c r="D24" s="117">
        <f>VLOOKUP(MID($A24,7,2),'Free Spins Symbol'!$T$2:$Z$29,5,0)</f>
        <v>10</v>
      </c>
      <c r="E24" s="117">
        <f>VLOOKUP(MID($A24,10,2),'Free Spins Symbol'!$T$2:$Z$29,6,0)</f>
        <v>7</v>
      </c>
      <c r="F24" s="117">
        <f>VLOOKUP(MID($A24,13,2),'Free Spins Symbol'!$T$2:$Z$29,7,0)</f>
        <v>48</v>
      </c>
      <c r="G24" s="100">
        <f t="shared" si="4"/>
        <v>98420</v>
      </c>
      <c r="H24" s="118">
        <f t="shared" si="1"/>
        <v>3495.8748221906117</v>
      </c>
      <c r="I24" s="100">
        <v>20</v>
      </c>
      <c r="J24" s="119">
        <f t="shared" si="0"/>
        <v>5.7210286458333334E-3</v>
      </c>
      <c r="K24" s="120">
        <f t="shared" si="2"/>
        <v>2.8605143229166666E-4</v>
      </c>
      <c r="M24" s="145"/>
      <c r="N24" s="145"/>
    </row>
    <row r="25" spans="1:14" x14ac:dyDescent="0.3">
      <c r="A25" s="116" t="s">
        <v>265</v>
      </c>
      <c r="B25" s="117">
        <f>VLOOKUP(MID($A25,1,2),'Free Spins Symbol'!$T$2:$Z$29,3,0)</f>
        <v>20</v>
      </c>
      <c r="C25" s="117">
        <f>VLOOKUP(MID($A25,4,2),'Free Spins Symbol'!$T$2:$Z$29,4,0)</f>
        <v>2</v>
      </c>
      <c r="D25" s="117">
        <f>VLOOKUP(MID($A25,7,2),'Free Spins Symbol'!$T$2:$Z$29,5,0)</f>
        <v>2</v>
      </c>
      <c r="E25" s="117">
        <f>VLOOKUP(MID($A25,10,2),'Free Spins Symbol'!$T$2:$Z$29,6,0)</f>
        <v>32</v>
      </c>
      <c r="F25" s="117">
        <f>VLOOKUP(MID($A25,13,2),'Free Spins Symbol'!$T$2:$Z$29,7,0)</f>
        <v>48</v>
      </c>
      <c r="G25" s="100">
        <f>(B25*C25*D25)*(E25-E15)*F25</f>
        <v>119040</v>
      </c>
      <c r="H25" s="118">
        <f t="shared" si="1"/>
        <v>2890.3225806451615</v>
      </c>
      <c r="I25" s="100">
        <v>20</v>
      </c>
      <c r="J25" s="119">
        <f t="shared" si="0"/>
        <v>6.9196428571428568E-3</v>
      </c>
      <c r="K25" s="120">
        <f t="shared" si="2"/>
        <v>3.4598214285714283E-4</v>
      </c>
      <c r="M25" s="145"/>
      <c r="N25" s="145"/>
    </row>
    <row r="26" spans="1:14" x14ac:dyDescent="0.3">
      <c r="A26" s="116" t="s">
        <v>266</v>
      </c>
      <c r="B26" s="117">
        <f>VLOOKUP(MID($A26,1,2),'Free Spins Symbol'!$T$2:$Z$29,3,0)</f>
        <v>22</v>
      </c>
      <c r="C26" s="117">
        <f>VLOOKUP(MID($A26,4,2),'Free Spins Symbol'!$T$2:$Z$29,4,0)</f>
        <v>2</v>
      </c>
      <c r="D26" s="117">
        <f>VLOOKUP(MID($A26,7,2),'Free Spins Symbol'!$T$2:$Z$29,5,0)</f>
        <v>3</v>
      </c>
      <c r="E26" s="117">
        <f>VLOOKUP(MID($A26,10,2),'Free Spins Symbol'!$T$2:$Z$29,6,0)</f>
        <v>32</v>
      </c>
      <c r="F26" s="117">
        <f>VLOOKUP(MID($A26,13,2),'Free Spins Symbol'!$T$2:$Z$29,7,0)</f>
        <v>48</v>
      </c>
      <c r="G26" s="100">
        <f>(B26*C26*D26)*(E26-E16)*F26</f>
        <v>196416</v>
      </c>
      <c r="H26" s="118">
        <f t="shared" si="1"/>
        <v>1751.7106549364614</v>
      </c>
      <c r="I26" s="100">
        <v>20</v>
      </c>
      <c r="J26" s="119">
        <f t="shared" si="0"/>
        <v>1.1417410714285713E-2</v>
      </c>
      <c r="K26" s="120">
        <f t="shared" si="2"/>
        <v>5.7087053571428566E-4</v>
      </c>
      <c r="M26" s="145"/>
      <c r="N26" s="145"/>
    </row>
    <row r="27" spans="1:14" x14ac:dyDescent="0.3">
      <c r="A27" s="116" t="s">
        <v>267</v>
      </c>
      <c r="B27" s="117">
        <f>VLOOKUP(MID($A27,1,2),'Free Spins Symbol'!$T$2:$Z$29,3,0)</f>
        <v>24</v>
      </c>
      <c r="C27" s="117">
        <f>VLOOKUP(MID($A27,4,2),'Free Spins Symbol'!$T$2:$Z$29,4,0)</f>
        <v>4</v>
      </c>
      <c r="D27" s="117">
        <f>VLOOKUP(MID($A27,7,2),'Free Spins Symbol'!$T$2:$Z$29,5,0)</f>
        <v>2</v>
      </c>
      <c r="E27" s="117">
        <f>VLOOKUP(MID($A27,10,2),'Free Spins Symbol'!$T$2:$Z$29,6,0)</f>
        <v>32</v>
      </c>
      <c r="F27" s="117">
        <f>VLOOKUP(MID($A27,13,2),'Free Spins Symbol'!$T$2:$Z$29,7,0)</f>
        <v>48</v>
      </c>
      <c r="G27" s="100">
        <f>(B27*C27*D27-B19*C19*D19)*(E27-E17)*F27</f>
        <v>285696</v>
      </c>
      <c r="H27" s="118">
        <f t="shared" si="1"/>
        <v>1204.3010752688172</v>
      </c>
      <c r="I27" s="100">
        <v>10</v>
      </c>
      <c r="J27" s="119">
        <f t="shared" si="0"/>
        <v>8.3035714285714293E-3</v>
      </c>
      <c r="K27" s="120">
        <f t="shared" si="2"/>
        <v>8.3035714285714288E-4</v>
      </c>
      <c r="M27" s="145"/>
      <c r="N27" s="145"/>
    </row>
    <row r="28" spans="1:14" x14ac:dyDescent="0.3">
      <c r="A28" s="116" t="s">
        <v>268</v>
      </c>
      <c r="B28" s="117">
        <f>VLOOKUP(MID($A28,1,2),'Free Spins Symbol'!$T$2:$Z$29,3,0)</f>
        <v>24</v>
      </c>
      <c r="C28" s="117">
        <f>VLOOKUP(MID($A28,4,2),'Free Spins Symbol'!$T$2:$Z$29,4,0)</f>
        <v>4</v>
      </c>
      <c r="D28" s="117">
        <f>VLOOKUP(MID($A28,7,2),'Free Spins Symbol'!$T$2:$Z$29,5,0)</f>
        <v>2</v>
      </c>
      <c r="E28" s="117">
        <f>VLOOKUP(MID($A28,10,2),'Free Spins Symbol'!$T$2:$Z$29,6,0)</f>
        <v>32</v>
      </c>
      <c r="F28" s="117">
        <f>VLOOKUP(MID($A28,13,2),'Free Spins Symbol'!$T$2:$Z$29,7,0)</f>
        <v>48</v>
      </c>
      <c r="G28" s="100">
        <f>(B28*C28*D28-B19*C19*D19)*(E28-E18)*F28</f>
        <v>285696</v>
      </c>
      <c r="H28" s="118">
        <f t="shared" si="1"/>
        <v>1204.3010752688172</v>
      </c>
      <c r="I28" s="100">
        <v>10</v>
      </c>
      <c r="J28" s="119">
        <f t="shared" si="0"/>
        <v>8.3035714285714293E-3</v>
      </c>
      <c r="K28" s="120">
        <f t="shared" si="2"/>
        <v>8.3035714285714288E-4</v>
      </c>
      <c r="M28" s="145"/>
      <c r="N28" s="145"/>
    </row>
    <row r="29" spans="1:14" x14ac:dyDescent="0.3">
      <c r="A29" s="116" t="s">
        <v>269</v>
      </c>
      <c r="B29" s="117">
        <f>VLOOKUP(MID($A29,1,2),'Free Spins Symbol'!$T$2:$Z$29,3,0)</f>
        <v>38</v>
      </c>
      <c r="C29" s="117">
        <f>VLOOKUP(MID($A29,4,2),'Free Spins Symbol'!$T$2:$Z$29,4,0)</f>
        <v>13</v>
      </c>
      <c r="D29" s="117">
        <f>VLOOKUP(MID($A29,7,2),'Free Spins Symbol'!$T$2:$Z$29,5,0)</f>
        <v>1</v>
      </c>
      <c r="E29" s="117">
        <f>VLOOKUP(MID($A29,10,2),'Free Spins Symbol'!$T$2:$Z$29,6,0)</f>
        <v>32</v>
      </c>
      <c r="F29" s="117">
        <f>VLOOKUP(MID($A29,13,2),'Free Spins Symbol'!$T$2:$Z$29,7,0)</f>
        <v>48</v>
      </c>
      <c r="G29" s="100">
        <f>(B29*C29*D29-B19*C19*D19)*(E29-E20)*F29</f>
        <v>592800</v>
      </c>
      <c r="H29" s="118">
        <f t="shared" si="1"/>
        <v>580.40485829959516</v>
      </c>
      <c r="I29" s="100">
        <v>5</v>
      </c>
      <c r="J29" s="119">
        <f t="shared" si="0"/>
        <v>8.614676339285714E-3</v>
      </c>
      <c r="K29" s="120">
        <f t="shared" si="2"/>
        <v>1.7229352678571428E-3</v>
      </c>
      <c r="M29" s="145"/>
      <c r="N29" s="145"/>
    </row>
    <row r="30" spans="1:14" x14ac:dyDescent="0.3">
      <c r="A30" s="116" t="s">
        <v>270</v>
      </c>
      <c r="B30" s="117">
        <f>VLOOKUP(MID($A30,1,2),'Free Spins Symbol'!$T$2:$Z$29,3,0)</f>
        <v>35</v>
      </c>
      <c r="C30" s="117">
        <f>VLOOKUP(MID($A30,4,2),'Free Spins Symbol'!$T$2:$Z$29,4,0)</f>
        <v>1</v>
      </c>
      <c r="D30" s="117">
        <f>VLOOKUP(MID($A30,7,2),'Free Spins Symbol'!$T$2:$Z$29,5,0)</f>
        <v>9</v>
      </c>
      <c r="E30" s="117">
        <f>VLOOKUP(MID($A30,10,2),'Free Spins Symbol'!$T$2:$Z$29,6,0)</f>
        <v>32</v>
      </c>
      <c r="F30" s="117">
        <f>VLOOKUP(MID($A30,13,2),'Free Spins Symbol'!$T$2:$Z$29,7,0)</f>
        <v>48</v>
      </c>
      <c r="G30" s="100">
        <f>(B30*C30*D30-B19*C19*D19)*(E30-E21)*F30</f>
        <v>468720</v>
      </c>
      <c r="H30" s="118">
        <f t="shared" si="1"/>
        <v>734.05017921146953</v>
      </c>
      <c r="I30" s="100">
        <v>5</v>
      </c>
      <c r="J30" s="119">
        <f t="shared" si="0"/>
        <v>6.8115234374999997E-3</v>
      </c>
      <c r="K30" s="120">
        <f t="shared" si="2"/>
        <v>1.3623046875E-3</v>
      </c>
      <c r="M30" s="145"/>
      <c r="N30" s="145"/>
    </row>
    <row r="31" spans="1:14" x14ac:dyDescent="0.3">
      <c r="A31" s="116" t="s">
        <v>271</v>
      </c>
      <c r="B31" s="117">
        <f>VLOOKUP(MID($A31,1,2),'Free Spins Symbol'!$T$2:$Z$29,3,0)</f>
        <v>28</v>
      </c>
      <c r="C31" s="117">
        <f>VLOOKUP(MID($A31,4,2),'Free Spins Symbol'!$T$2:$Z$29,4,0)</f>
        <v>13</v>
      </c>
      <c r="D31" s="117">
        <f>VLOOKUP(MID($A31,7,2),'Free Spins Symbol'!$T$2:$Z$29,5,0)</f>
        <v>9</v>
      </c>
      <c r="E31" s="117">
        <f>VLOOKUP(MID($A31,10,2),'Free Spins Symbol'!$T$2:$Z$29,6,0)</f>
        <v>32</v>
      </c>
      <c r="F31" s="117">
        <f>VLOOKUP(MID($A31,13,2),'Free Spins Symbol'!$T$2:$Z$29,7,0)</f>
        <v>48</v>
      </c>
      <c r="G31" s="100">
        <f>(B31*C31*D31-B19*C19*D19)*(E31-E22)*F31</f>
        <v>4874688</v>
      </c>
      <c r="H31" s="118">
        <f t="shared" si="1"/>
        <v>70.581748001102838</v>
      </c>
      <c r="I31" s="100">
        <v>5</v>
      </c>
      <c r="J31" s="119">
        <f t="shared" si="0"/>
        <v>7.0839843749999992E-2</v>
      </c>
      <c r="K31" s="120">
        <f t="shared" si="2"/>
        <v>1.4167968749999999E-2</v>
      </c>
      <c r="M31" s="145"/>
      <c r="N31" s="145"/>
    </row>
    <row r="32" spans="1:14" x14ac:dyDescent="0.3">
      <c r="A32" s="116" t="s">
        <v>272</v>
      </c>
      <c r="B32" s="117">
        <f>VLOOKUP(MID($A32,1,2),'Free Spins Symbol'!$T$2:$Z$29,3,0)</f>
        <v>34</v>
      </c>
      <c r="C32" s="117">
        <f>VLOOKUP(MID($A32,4,2),'Free Spins Symbol'!$T$2:$Z$29,4,0)</f>
        <v>13</v>
      </c>
      <c r="D32" s="117">
        <f>VLOOKUP(MID($A32,7,2),'Free Spins Symbol'!$T$2:$Z$29,5,0)</f>
        <v>1</v>
      </c>
      <c r="E32" s="117">
        <f>VLOOKUP(MID($A32,10,2),'Free Spins Symbol'!$T$2:$Z$29,6,0)</f>
        <v>32</v>
      </c>
      <c r="F32" s="117">
        <f>VLOOKUP(MID($A32,13,2),'Free Spins Symbol'!$T$2:$Z$29,7,0)</f>
        <v>48</v>
      </c>
      <c r="G32" s="100">
        <f>(B32*C32*D32-B19*C19*D19)*(E32-E23)*F32</f>
        <v>509184</v>
      </c>
      <c r="H32" s="118">
        <f t="shared" si="1"/>
        <v>675.71644042232276</v>
      </c>
      <c r="I32" s="100">
        <v>5</v>
      </c>
      <c r="J32" s="119">
        <f t="shared" si="0"/>
        <v>7.3995535714285708E-3</v>
      </c>
      <c r="K32" s="120">
        <f t="shared" si="2"/>
        <v>1.4799107142857142E-3</v>
      </c>
      <c r="M32" s="145"/>
      <c r="N32" s="145"/>
    </row>
    <row r="33" spans="1:14" x14ac:dyDescent="0.3">
      <c r="A33" s="116" t="s">
        <v>273</v>
      </c>
      <c r="B33" s="117">
        <f>VLOOKUP(MID($A33,1,2),'Free Spins Symbol'!$T$2:$Z$29,3,0)</f>
        <v>19</v>
      </c>
      <c r="C33" s="117">
        <f>VLOOKUP(MID($A33,4,2),'Free Spins Symbol'!$T$2:$Z$29,4,0)</f>
        <v>2</v>
      </c>
      <c r="D33" s="117">
        <f>VLOOKUP(MID($A33,7,2),'Free Spins Symbol'!$T$2:$Z$29,5,0)</f>
        <v>10</v>
      </c>
      <c r="E33" s="117">
        <f>VLOOKUP(MID($A33,10,2),'Free Spins Symbol'!$T$2:$Z$29,6,0)</f>
        <v>32</v>
      </c>
      <c r="F33" s="117">
        <f>VLOOKUP(MID($A33,13,2),'Free Spins Symbol'!$T$2:$Z$29,7,0)</f>
        <v>48</v>
      </c>
      <c r="G33" s="100">
        <f>(B33*C33*D33-B19*C19*D19)*(E33-E24)*F33</f>
        <v>456000</v>
      </c>
      <c r="H33" s="118">
        <f t="shared" si="1"/>
        <v>754.52631578947364</v>
      </c>
      <c r="I33" s="100">
        <v>5</v>
      </c>
      <c r="J33" s="119">
        <f t="shared" si="0"/>
        <v>6.6266741071428579E-3</v>
      </c>
      <c r="K33" s="120">
        <f t="shared" si="2"/>
        <v>1.3253348214285715E-3</v>
      </c>
      <c r="M33" s="145"/>
      <c r="N33" s="145"/>
    </row>
    <row r="34" spans="1:14" x14ac:dyDescent="0.3">
      <c r="A34" s="116" t="s">
        <v>274</v>
      </c>
      <c r="B34" s="117">
        <f>VLOOKUP(MID($A34,1,2),'Free Spins Symbol'!$T$2:$Z$29,3,0)</f>
        <v>18</v>
      </c>
      <c r="C34" s="117">
        <f>VLOOKUP(MID($A34,4,2),'Free Spins Symbol'!$T$2:$Z$29,4,0)</f>
        <v>0</v>
      </c>
      <c r="D34" s="117">
        <f>VLOOKUP(MID($A34,7,2),'Free Spins Symbol'!$T$2:$Z$29,5,0)</f>
        <v>40</v>
      </c>
      <c r="E34" s="117">
        <f>VLOOKUP(MID($A34,10,2),'Free Spins Symbol'!$T$2:$Z$29,6,0)</f>
        <v>32</v>
      </c>
      <c r="F34" s="117">
        <f>VLOOKUP(MID($A34,13,2),'Free Spins Symbol'!$T$2:$Z$29,7,0)</f>
        <v>48</v>
      </c>
      <c r="G34" s="100">
        <f>B34*C34*(D34-D33-D32-D31-D30-D29-D28-D27-D26-D25+8*D19)*E34*F34</f>
        <v>0</v>
      </c>
      <c r="H34" s="118" t="e">
        <f t="shared" si="1"/>
        <v>#DIV/0!</v>
      </c>
      <c r="I34" s="100">
        <v>5</v>
      </c>
      <c r="J34" s="119">
        <f t="shared" si="0"/>
        <v>0</v>
      </c>
      <c r="K34" s="120">
        <f t="shared" si="2"/>
        <v>0</v>
      </c>
      <c r="M34" s="145"/>
      <c r="N34" s="145"/>
    </row>
    <row r="35" spans="1:14" x14ac:dyDescent="0.3">
      <c r="A35" s="116" t="s">
        <v>275</v>
      </c>
      <c r="B35" s="117">
        <f>VLOOKUP(MID($A35,1,2),'Free Spins Symbol'!$T$2:$Z$29,3,0)</f>
        <v>20</v>
      </c>
      <c r="C35" s="117">
        <f>VLOOKUP(MID($A35,4,2),'Free Spins Symbol'!$T$2:$Z$29,4,0)</f>
        <v>2</v>
      </c>
      <c r="D35" s="117">
        <f>VLOOKUP(MID($A35,7,2),'Free Spins Symbol'!$T$2:$Z$29,5,0)</f>
        <v>40</v>
      </c>
      <c r="E35" s="117">
        <f>VLOOKUP(MID($A35,10,2),'Free Spins Symbol'!$T$2:$Z$29,6,0)</f>
        <v>32</v>
      </c>
      <c r="F35" s="117">
        <f>VLOOKUP(MID($A35,13,2),'Free Spins Symbol'!$T$2:$Z$29,7,0)</f>
        <v>48</v>
      </c>
      <c r="G35" s="100">
        <f>(B35*C35-B34*C34)*(D35-D25)*E35*F35</f>
        <v>2334720</v>
      </c>
      <c r="H35" s="118">
        <f t="shared" si="1"/>
        <v>147.36842105263159</v>
      </c>
      <c r="I35" s="100">
        <v>5</v>
      </c>
      <c r="J35" s="119">
        <f t="shared" si="0"/>
        <v>3.3928571428571426E-2</v>
      </c>
      <c r="K35" s="120">
        <f t="shared" si="2"/>
        <v>6.7857142857142855E-3</v>
      </c>
      <c r="M35" s="145"/>
      <c r="N35" s="145"/>
    </row>
    <row r="36" spans="1:14" x14ac:dyDescent="0.3">
      <c r="A36" s="116" t="s">
        <v>276</v>
      </c>
      <c r="B36" s="117">
        <f>VLOOKUP(MID($A36,1,2),'Free Spins Symbol'!$T$2:$Z$29,3,0)</f>
        <v>22</v>
      </c>
      <c r="C36" s="117">
        <f>VLOOKUP(MID($A36,4,2),'Free Spins Symbol'!$T$2:$Z$29,4,0)</f>
        <v>2</v>
      </c>
      <c r="D36" s="117">
        <f>VLOOKUP(MID($A36,7,2),'Free Spins Symbol'!$T$2:$Z$29,5,0)</f>
        <v>40</v>
      </c>
      <c r="E36" s="117">
        <f>VLOOKUP(MID($A36,10,2),'Free Spins Symbol'!$T$2:$Z$29,6,0)</f>
        <v>32</v>
      </c>
      <c r="F36" s="117">
        <f>VLOOKUP(MID($A36,13,2),'Free Spins Symbol'!$T$2:$Z$29,7,0)</f>
        <v>48</v>
      </c>
      <c r="G36" s="100">
        <f>(B36*C36-B34*C34)*(D36-D26)*E36*F36</f>
        <v>2500608</v>
      </c>
      <c r="H36" s="118">
        <f t="shared" si="1"/>
        <v>137.59213759213759</v>
      </c>
      <c r="I36" s="100">
        <v>5</v>
      </c>
      <c r="J36" s="119">
        <f t="shared" si="0"/>
        <v>3.6339285714285713E-2</v>
      </c>
      <c r="K36" s="120">
        <f t="shared" si="2"/>
        <v>7.2678571428571427E-3</v>
      </c>
    </row>
    <row r="37" spans="1:14" x14ac:dyDescent="0.3">
      <c r="A37" s="116" t="s">
        <v>277</v>
      </c>
      <c r="B37" s="117">
        <f>VLOOKUP(MID($A37,1,2),'Free Spins Symbol'!$T$2:$Z$29,3,0)</f>
        <v>24</v>
      </c>
      <c r="C37" s="117">
        <f>VLOOKUP(MID($A37,4,2),'Free Spins Symbol'!$T$2:$Z$29,4,0)</f>
        <v>4</v>
      </c>
      <c r="D37" s="117">
        <f>VLOOKUP(MID($A37,7,2),'Free Spins Symbol'!$T$2:$Z$29,5,0)</f>
        <v>40</v>
      </c>
      <c r="E37" s="117">
        <f>VLOOKUP(MID($A37,10,2),'Free Spins Symbol'!$T$2:$Z$29,6,0)</f>
        <v>32</v>
      </c>
      <c r="F37" s="117">
        <f>VLOOKUP(MID($A37,13,2),'Free Spins Symbol'!$T$2:$Z$29,7,0)</f>
        <v>48</v>
      </c>
      <c r="G37" s="100">
        <f>(B37*C37-B34*C34)*(D37-D27)*E37*F37</f>
        <v>5603328</v>
      </c>
      <c r="H37" s="118">
        <f t="shared" si="1"/>
        <v>61.403508771929822</v>
      </c>
      <c r="I37" s="100">
        <v>5</v>
      </c>
      <c r="J37" s="119">
        <f t="shared" si="0"/>
        <v>8.1428571428571433E-2</v>
      </c>
      <c r="K37" s="120">
        <f t="shared" si="2"/>
        <v>1.6285714285714285E-2</v>
      </c>
    </row>
    <row r="38" spans="1:14" x14ac:dyDescent="0.3">
      <c r="A38" s="116" t="s">
        <v>278</v>
      </c>
      <c r="B38" s="117">
        <f>VLOOKUP(MID($A38,1,2),'Free Spins Symbol'!$T$2:$Z$29,3,0)</f>
        <v>24</v>
      </c>
      <c r="C38" s="117">
        <f>VLOOKUP(MID($A38,4,2),'Free Spins Symbol'!$T$2:$Z$29,4,0)</f>
        <v>4</v>
      </c>
      <c r="D38" s="117">
        <f>VLOOKUP(MID($A38,7,2),'Free Spins Symbol'!$T$2:$Z$29,5,0)</f>
        <v>40</v>
      </c>
      <c r="E38" s="117">
        <f>VLOOKUP(MID($A38,10,2),'Free Spins Symbol'!$T$2:$Z$29,6,0)</f>
        <v>32</v>
      </c>
      <c r="F38" s="117">
        <f>VLOOKUP(MID($A38,13,2),'Free Spins Symbol'!$T$2:$Z$29,7,0)</f>
        <v>48</v>
      </c>
      <c r="G38" s="100">
        <f>(B38*C38-B34*C34)*(D38-D28)*E38*F38</f>
        <v>5603328</v>
      </c>
      <c r="H38" s="118">
        <f t="shared" si="1"/>
        <v>61.403508771929822</v>
      </c>
      <c r="I38" s="100">
        <v>5</v>
      </c>
      <c r="J38" s="119">
        <f t="shared" si="0"/>
        <v>8.1428571428571433E-2</v>
      </c>
      <c r="K38" s="120">
        <f t="shared" si="2"/>
        <v>1.6285714285714285E-2</v>
      </c>
    </row>
    <row r="39" spans="1:14" x14ac:dyDescent="0.3">
      <c r="A39" s="122" t="s">
        <v>279</v>
      </c>
      <c r="B39" s="117">
        <f>VLOOKUP(MID($A39,1,2),'Free Spins Symbol'!$T$2:$Z$29,3,0)</f>
        <v>100</v>
      </c>
      <c r="C39" s="117">
        <f>VLOOKUP(MID($A39,4,2),'Free Spins Symbol'!$T$2:$Z$29,4,0)</f>
        <v>8</v>
      </c>
      <c r="D39" s="117">
        <f>VLOOKUP(MID($A39,7,2),'Free Spins Symbol'!$T$2:$Z$29,5,0)</f>
        <v>4</v>
      </c>
      <c r="E39" s="117">
        <f>VLOOKUP(MID($A39,10,2),'Free Spins Symbol'!$T$2:$Z$29,6,0)</f>
        <v>16</v>
      </c>
      <c r="F39" s="117">
        <f>VLOOKUP(MID($A39,13,2),'Free Spins Symbol'!$T$2:$Z$29,7,0)</f>
        <v>48</v>
      </c>
      <c r="G39" s="100">
        <f>B39*C39*D39*E39*F39</f>
        <v>2457600</v>
      </c>
      <c r="H39" s="118">
        <f t="shared" si="1"/>
        <v>140</v>
      </c>
      <c r="I39" s="123">
        <v>2</v>
      </c>
      <c r="J39" s="124">
        <f t="shared" si="0"/>
        <v>1.4285714285714285E-2</v>
      </c>
      <c r="K39" s="120">
        <f t="shared" si="2"/>
        <v>7.1428571428571426E-3</v>
      </c>
    </row>
    <row r="41" spans="1:14" ht="16.8" thickBot="1" x14ac:dyDescent="0.35"/>
    <row r="42" spans="1:14" ht="16.8" thickBot="1" x14ac:dyDescent="0.35">
      <c r="A42" s="125" t="s">
        <v>283</v>
      </c>
    </row>
    <row r="43" spans="1:14" ht="16.8" thickBot="1" x14ac:dyDescent="0.35">
      <c r="A43" s="95" t="s">
        <v>280</v>
      </c>
      <c r="B43" s="142">
        <f>$B2</f>
        <v>344064000</v>
      </c>
      <c r="C43" s="142"/>
      <c r="D43" s="142"/>
      <c r="E43" s="142"/>
      <c r="F43" s="142"/>
      <c r="G43" s="7"/>
      <c r="H43" s="106"/>
      <c r="I43" s="107" t="s">
        <v>281</v>
      </c>
      <c r="J43" s="108">
        <f>SUM(J45:J79)</f>
        <v>1.7381882440476188</v>
      </c>
      <c r="K43" s="127">
        <f>SUM(K45:K80)</f>
        <v>0.29821428571428565</v>
      </c>
    </row>
    <row r="44" spans="1:14" ht="33" thickBot="1" x14ac:dyDescent="0.35">
      <c r="A44" s="109" t="s">
        <v>233</v>
      </c>
      <c r="B44" s="110" t="s">
        <v>234</v>
      </c>
      <c r="C44" s="110" t="s">
        <v>235</v>
      </c>
      <c r="D44" s="110" t="s">
        <v>236</v>
      </c>
      <c r="E44" s="110" t="s">
        <v>237</v>
      </c>
      <c r="F44" s="110" t="s">
        <v>238</v>
      </c>
      <c r="G44" s="111" t="s">
        <v>239</v>
      </c>
      <c r="H44" s="112" t="s">
        <v>240</v>
      </c>
      <c r="I44" s="113" t="s">
        <v>241</v>
      </c>
      <c r="J44" s="114" t="s">
        <v>242</v>
      </c>
      <c r="K44" s="115" t="s">
        <v>243</v>
      </c>
    </row>
    <row r="45" spans="1:14" x14ac:dyDescent="0.3">
      <c r="A45" s="116" t="s">
        <v>244</v>
      </c>
      <c r="B45" s="129">
        <f>'Free Spins Symbol'!$V$18</f>
        <v>100</v>
      </c>
      <c r="C45" s="117">
        <f>VLOOKUP(MID($A45,4,2),'Free Spins Symbol'!$T$2:$Z$29,4,0)</f>
        <v>0</v>
      </c>
      <c r="D45" s="117">
        <f>VLOOKUP(MID($A45,7,2),'Free Spins Symbol'!$T$2:$Z$29,5,0)</f>
        <v>0</v>
      </c>
      <c r="E45" s="117">
        <f>VLOOKUP(MID($A45,10,2),'Free Spins Symbol'!$T$2:$Z$29,6,0)</f>
        <v>0</v>
      </c>
      <c r="F45" s="117">
        <f>VLOOKUP(MID($A45,13,2),'Free Spins Symbol'!$T$2:$Z$29,7,0)</f>
        <v>0</v>
      </c>
      <c r="G45" s="100">
        <f>B45*C45*D45*E45*F45</f>
        <v>0</v>
      </c>
      <c r="H45" s="118" t="e">
        <f>B$2/G45</f>
        <v>#DIV/0!</v>
      </c>
      <c r="I45" s="100">
        <v>500</v>
      </c>
      <c r="J45" s="119">
        <f t="shared" ref="J45:J49" si="5">K45*I45</f>
        <v>0</v>
      </c>
      <c r="K45" s="120">
        <f>G45/B$2</f>
        <v>0</v>
      </c>
    </row>
    <row r="46" spans="1:14" x14ac:dyDescent="0.3">
      <c r="A46" s="116" t="s">
        <v>245</v>
      </c>
      <c r="B46" s="129">
        <f>'Free Spins Symbol'!$V$18</f>
        <v>100</v>
      </c>
      <c r="C46" s="117">
        <f>VLOOKUP(MID($A46,4,2),'Free Spins Symbol'!$T$2:$Z$29,4,0)</f>
        <v>2</v>
      </c>
      <c r="D46" s="117">
        <f>VLOOKUP(MID($A46,7,2),'Free Spins Symbol'!$T$2:$Z$29,5,0)</f>
        <v>2</v>
      </c>
      <c r="E46" s="117">
        <f>VLOOKUP(MID($A46,10,2),'Free Spins Symbol'!$T$2:$Z$29,6,0)</f>
        <v>1</v>
      </c>
      <c r="F46" s="117">
        <f>VLOOKUP(MID($A46,13,2),'Free Spins Symbol'!$T$2:$Z$29,7,0)</f>
        <v>1</v>
      </c>
      <c r="G46" s="100">
        <f>B46*C46*D46*E46*F46-G45</f>
        <v>400</v>
      </c>
      <c r="H46" s="118">
        <f t="shared" ref="H46:H80" si="6">B$2/G46</f>
        <v>860160</v>
      </c>
      <c r="I46" s="100">
        <v>250</v>
      </c>
      <c r="J46" s="119">
        <f t="shared" si="5"/>
        <v>2.9064360119047624E-4</v>
      </c>
      <c r="K46" s="120">
        <f t="shared" ref="K46:K49" si="7">G46/B$2</f>
        <v>1.1625744047619049E-6</v>
      </c>
    </row>
    <row r="47" spans="1:14" x14ac:dyDescent="0.3">
      <c r="A47" s="116" t="s">
        <v>246</v>
      </c>
      <c r="B47" s="129">
        <f>'Free Spins Symbol'!$V$18</f>
        <v>100</v>
      </c>
      <c r="C47" s="117">
        <f>VLOOKUP(MID($A47,4,2),'Free Spins Symbol'!$T$2:$Z$29,4,0)</f>
        <v>2</v>
      </c>
      <c r="D47" s="117">
        <f>VLOOKUP(MID($A47,7,2),'Free Spins Symbol'!$T$2:$Z$29,5,0)</f>
        <v>3</v>
      </c>
      <c r="E47" s="117">
        <f>VLOOKUP(MID($A47,10,2),'Free Spins Symbol'!$T$2:$Z$29,6,0)</f>
        <v>1</v>
      </c>
      <c r="F47" s="117">
        <f>VLOOKUP(MID($A47,13,2),'Free Spins Symbol'!$T$2:$Z$29,7,0)</f>
        <v>1</v>
      </c>
      <c r="G47" s="100">
        <f>B47*C47*D47*E47*F47-G45</f>
        <v>600</v>
      </c>
      <c r="H47" s="118">
        <f t="shared" si="6"/>
        <v>573440</v>
      </c>
      <c r="I47" s="100">
        <v>250</v>
      </c>
      <c r="J47" s="119">
        <f t="shared" si="5"/>
        <v>4.3596540178571425E-4</v>
      </c>
      <c r="K47" s="120">
        <f t="shared" si="7"/>
        <v>1.7438616071428571E-6</v>
      </c>
    </row>
    <row r="48" spans="1:14" x14ac:dyDescent="0.3">
      <c r="A48" s="116" t="s">
        <v>247</v>
      </c>
      <c r="B48" s="129">
        <f>'Free Spins Symbol'!$V$18</f>
        <v>100</v>
      </c>
      <c r="C48" s="117">
        <f>VLOOKUP(MID($A48,4,2),'Free Spins Symbol'!$T$2:$Z$29,4,0)</f>
        <v>4</v>
      </c>
      <c r="D48" s="117">
        <f>VLOOKUP(MID($A48,7,2),'Free Spins Symbol'!$T$2:$Z$29,5,0)</f>
        <v>2</v>
      </c>
      <c r="E48" s="117">
        <f>VLOOKUP(MID($A48,10,2),'Free Spins Symbol'!$T$2:$Z$29,6,0)</f>
        <v>1</v>
      </c>
      <c r="F48" s="117">
        <f>VLOOKUP(MID($A48,13,2),'Free Spins Symbol'!$T$2:$Z$29,7,0)</f>
        <v>5</v>
      </c>
      <c r="G48" s="100">
        <f>B48*C48*D48*E48*F48-G45</f>
        <v>4000</v>
      </c>
      <c r="H48" s="118">
        <f t="shared" si="6"/>
        <v>86016</v>
      </c>
      <c r="I48" s="100">
        <v>150</v>
      </c>
      <c r="J48" s="119">
        <f t="shared" si="5"/>
        <v>1.743861607142857E-3</v>
      </c>
      <c r="K48" s="120">
        <f t="shared" si="7"/>
        <v>1.1625744047619047E-5</v>
      </c>
    </row>
    <row r="49" spans="1:11" x14ac:dyDescent="0.3">
      <c r="A49" s="116" t="s">
        <v>248</v>
      </c>
      <c r="B49" s="129">
        <f>'Free Spins Symbol'!$V$18</f>
        <v>100</v>
      </c>
      <c r="C49" s="117">
        <f>VLOOKUP(MID($A49,4,2),'Free Spins Symbol'!$T$2:$Z$29,4,0)</f>
        <v>4</v>
      </c>
      <c r="D49" s="117">
        <f>VLOOKUP(MID($A49,7,2),'Free Spins Symbol'!$T$2:$Z$29,5,0)</f>
        <v>2</v>
      </c>
      <c r="E49" s="117">
        <f>VLOOKUP(MID($A49,10,2),'Free Spins Symbol'!$T$2:$Z$29,6,0)</f>
        <v>1</v>
      </c>
      <c r="F49" s="117">
        <f>VLOOKUP(MID($A49,13,2),'Free Spins Symbol'!$T$2:$Z$29,7,0)</f>
        <v>5</v>
      </c>
      <c r="G49" s="100">
        <f>B49*C49*D49*E49*F49-G45</f>
        <v>4000</v>
      </c>
      <c r="H49" s="118">
        <f t="shared" si="6"/>
        <v>86016</v>
      </c>
      <c r="I49" s="100">
        <v>150</v>
      </c>
      <c r="J49" s="119">
        <f t="shared" si="5"/>
        <v>1.743861607142857E-3</v>
      </c>
      <c r="K49" s="120">
        <f t="shared" si="7"/>
        <v>1.1625744047619047E-5</v>
      </c>
    </row>
    <row r="50" spans="1:11" x14ac:dyDescent="0.3">
      <c r="A50" s="116" t="s">
        <v>254</v>
      </c>
      <c r="B50" s="129">
        <f>'Free Spins Symbol'!$V$18</f>
        <v>100</v>
      </c>
      <c r="C50" s="117">
        <f>VLOOKUP(MID($A50,4,2),'Free Spins Symbol'!$T$2:$Z$29,4,0)</f>
        <v>0</v>
      </c>
      <c r="D50" s="117">
        <f>VLOOKUP(MID($A50,7,2),'Free Spins Symbol'!$T$2:$Z$29,5,0)</f>
        <v>0</v>
      </c>
      <c r="E50" s="117">
        <f>VLOOKUP(MID($A50,10,2),'Free Spins Symbol'!$T$2:$Z$29,6,0)</f>
        <v>0</v>
      </c>
      <c r="F50" s="117">
        <f>VLOOKUP(MID($A50,13,2),'Free Spins Symbol'!$T$2:$Z$29,7,0)</f>
        <v>48</v>
      </c>
      <c r="G50" s="100">
        <f>B50*C50*D50*E50*(F50-F49-F48-F47-F46+3*F45)</f>
        <v>0</v>
      </c>
      <c r="H50" s="118" t="e">
        <f t="shared" si="6"/>
        <v>#DIV/0!</v>
      </c>
      <c r="I50" s="100">
        <v>100</v>
      </c>
      <c r="J50" s="119">
        <f>K50*I50</f>
        <v>0</v>
      </c>
      <c r="K50" s="120">
        <f>G50/B$2</f>
        <v>0</v>
      </c>
    </row>
    <row r="51" spans="1:11" x14ac:dyDescent="0.3">
      <c r="A51" s="116" t="s">
        <v>249</v>
      </c>
      <c r="B51" s="129">
        <f>'Free Spins Symbol'!$V$18</f>
        <v>100</v>
      </c>
      <c r="C51" s="117">
        <f>VLOOKUP(MID($A51,4,2),'Free Spins Symbol'!$T$2:$Z$29,4,0)</f>
        <v>13</v>
      </c>
      <c r="D51" s="117">
        <f>VLOOKUP(MID($A51,7,2),'Free Spins Symbol'!$T$2:$Z$29,5,0)</f>
        <v>1</v>
      </c>
      <c r="E51" s="117">
        <f>VLOOKUP(MID($A51,10,2),'Free Spins Symbol'!$T$2:$Z$29,6,0)</f>
        <v>7</v>
      </c>
      <c r="F51" s="117">
        <f>VLOOKUP(MID($A51,13,2),'Free Spins Symbol'!$T$2:$Z$29,7,0)</f>
        <v>2</v>
      </c>
      <c r="G51" s="100">
        <f>B51*C51*D51*E51*F51-G45</f>
        <v>18200</v>
      </c>
      <c r="H51" s="118">
        <f t="shared" si="6"/>
        <v>18904.615384615383</v>
      </c>
      <c r="I51" s="100">
        <v>100</v>
      </c>
      <c r="J51" s="119">
        <f t="shared" ref="J51:J59" si="8">K51*I51</f>
        <v>5.289713541666667E-3</v>
      </c>
      <c r="K51" s="120">
        <f t="shared" ref="K51:K59" si="9">G51/B$2</f>
        <v>5.2897135416666668E-5</v>
      </c>
    </row>
    <row r="52" spans="1:11" x14ac:dyDescent="0.3">
      <c r="A52" s="116" t="s">
        <v>250</v>
      </c>
      <c r="B52" s="129">
        <f>'Free Spins Symbol'!$V$18</f>
        <v>100</v>
      </c>
      <c r="C52" s="117">
        <f>VLOOKUP(MID($A52,4,2),'Free Spins Symbol'!$T$2:$Z$29,4,0)</f>
        <v>1</v>
      </c>
      <c r="D52" s="117">
        <f>VLOOKUP(MID($A52,7,2),'Free Spins Symbol'!$T$2:$Z$29,5,0)</f>
        <v>9</v>
      </c>
      <c r="E52" s="117">
        <f>VLOOKUP(MID($A52,10,2),'Free Spins Symbol'!$T$2:$Z$29,6,0)</f>
        <v>1</v>
      </c>
      <c r="F52" s="117">
        <f>VLOOKUP(MID($A52,13,2),'Free Spins Symbol'!$T$2:$Z$29,7,0)</f>
        <v>11</v>
      </c>
      <c r="G52" s="100">
        <f>B52*C52*D52*E52*F52-G45</f>
        <v>9900</v>
      </c>
      <c r="H52" s="118">
        <f t="shared" si="6"/>
        <v>34753.939393939392</v>
      </c>
      <c r="I52" s="100">
        <v>100</v>
      </c>
      <c r="J52" s="119">
        <f t="shared" si="8"/>
        <v>2.877371651785714E-3</v>
      </c>
      <c r="K52" s="120">
        <f t="shared" si="9"/>
        <v>2.8773716517857142E-5</v>
      </c>
    </row>
    <row r="53" spans="1:11" x14ac:dyDescent="0.3">
      <c r="A53" s="116" t="s">
        <v>251</v>
      </c>
      <c r="B53" s="129">
        <f>'Free Spins Symbol'!$V$18</f>
        <v>100</v>
      </c>
      <c r="C53" s="117">
        <f>VLOOKUP(MID($A53,4,2),'Free Spins Symbol'!$T$2:$Z$29,4,0)</f>
        <v>13</v>
      </c>
      <c r="D53" s="117">
        <f>VLOOKUP(MID($A53,7,2),'Free Spins Symbol'!$T$2:$Z$29,5,0)</f>
        <v>9</v>
      </c>
      <c r="E53" s="117">
        <f>VLOOKUP(MID($A53,10,2),'Free Spins Symbol'!$T$2:$Z$29,6,0)</f>
        <v>1</v>
      </c>
      <c r="F53" s="117">
        <f>VLOOKUP(MID($A53,13,2),'Free Spins Symbol'!$T$2:$Z$29,7,0)</f>
        <v>1</v>
      </c>
      <c r="G53" s="100">
        <f>B53*C53*D53*E53*F53-G45</f>
        <v>11700</v>
      </c>
      <c r="H53" s="118">
        <f t="shared" si="6"/>
        <v>29407.179487179488</v>
      </c>
      <c r="I53" s="100">
        <v>100</v>
      </c>
      <c r="J53" s="119">
        <f t="shared" si="8"/>
        <v>3.4005301339285715E-3</v>
      </c>
      <c r="K53" s="120">
        <f t="shared" si="9"/>
        <v>3.4005301339285715E-5</v>
      </c>
    </row>
    <row r="54" spans="1:11" x14ac:dyDescent="0.3">
      <c r="A54" s="116" t="s">
        <v>252</v>
      </c>
      <c r="B54" s="129">
        <f>'Free Spins Symbol'!$V$18</f>
        <v>100</v>
      </c>
      <c r="C54" s="117">
        <f>VLOOKUP(MID($A54,4,2),'Free Spins Symbol'!$T$2:$Z$29,4,0)</f>
        <v>13</v>
      </c>
      <c r="D54" s="117">
        <f>VLOOKUP(MID($A54,7,2),'Free Spins Symbol'!$T$2:$Z$29,5,0)</f>
        <v>1</v>
      </c>
      <c r="E54" s="117">
        <f>VLOOKUP(MID($A54,10,2),'Free Spins Symbol'!$T$2:$Z$29,6,0)</f>
        <v>8</v>
      </c>
      <c r="F54" s="117">
        <f>VLOOKUP(MID($A54,13,2),'Free Spins Symbol'!$T$2:$Z$29,7,0)</f>
        <v>11</v>
      </c>
      <c r="G54" s="100">
        <f>(B54*C54*D54*E54-B50*C50*D50*E50)*F54</f>
        <v>114400</v>
      </c>
      <c r="H54" s="118">
        <f t="shared" si="6"/>
        <v>3007.5524475524476</v>
      </c>
      <c r="I54" s="100">
        <v>100</v>
      </c>
      <c r="J54" s="119">
        <f t="shared" si="8"/>
        <v>3.3249627976190479E-2</v>
      </c>
      <c r="K54" s="120">
        <f t="shared" si="9"/>
        <v>3.3249627976190477E-4</v>
      </c>
    </row>
    <row r="55" spans="1:11" x14ac:dyDescent="0.3">
      <c r="A55" s="116" t="s">
        <v>253</v>
      </c>
      <c r="B55" s="129">
        <f>'Free Spins Symbol'!$V$18</f>
        <v>100</v>
      </c>
      <c r="C55" s="117">
        <f>VLOOKUP(MID($A55,4,2),'Free Spins Symbol'!$T$2:$Z$29,4,0)</f>
        <v>2</v>
      </c>
      <c r="D55" s="117">
        <f>VLOOKUP(MID($A55,7,2),'Free Spins Symbol'!$T$2:$Z$29,5,0)</f>
        <v>10</v>
      </c>
      <c r="E55" s="117">
        <f>VLOOKUP(MID($A55,10,2),'Free Spins Symbol'!$T$2:$Z$29,6,0)</f>
        <v>7</v>
      </c>
      <c r="F55" s="117">
        <f>VLOOKUP(MID($A55,13,2),'Free Spins Symbol'!$T$2:$Z$29,7,0)</f>
        <v>11</v>
      </c>
      <c r="G55" s="100">
        <f>B55*C55*D55*E55*F55-G45</f>
        <v>154000</v>
      </c>
      <c r="H55" s="118">
        <f t="shared" si="6"/>
        <v>2234.181818181818</v>
      </c>
      <c r="I55" s="100">
        <v>100</v>
      </c>
      <c r="J55" s="119">
        <f t="shared" si="8"/>
        <v>4.4759114583333329E-2</v>
      </c>
      <c r="K55" s="120">
        <f t="shared" si="9"/>
        <v>4.4759114583333332E-4</v>
      </c>
    </row>
    <row r="56" spans="1:11" x14ac:dyDescent="0.3">
      <c r="A56" s="116" t="s">
        <v>255</v>
      </c>
      <c r="B56" s="129">
        <f>'Free Spins Symbol'!$V$18</f>
        <v>100</v>
      </c>
      <c r="C56" s="117">
        <f>VLOOKUP(MID($A56,4,2),'Free Spins Symbol'!$T$2:$Z$29,4,0)</f>
        <v>2</v>
      </c>
      <c r="D56" s="117">
        <f>VLOOKUP(MID($A56,7,2),'Free Spins Symbol'!$T$2:$Z$29,5,0)</f>
        <v>2</v>
      </c>
      <c r="E56" s="117">
        <f>VLOOKUP(MID($A56,10,2),'Free Spins Symbol'!$T$2:$Z$29,6,0)</f>
        <v>1</v>
      </c>
      <c r="F56" s="117">
        <f>VLOOKUP(MID($A56,13,2),'Free Spins Symbol'!$T$2:$Z$29,7,0)</f>
        <v>48</v>
      </c>
      <c r="G56" s="100">
        <f>(B56*C56*D56*E56-B50*C50*D50*E50)*(F56-F46)</f>
        <v>18800</v>
      </c>
      <c r="H56" s="118">
        <f t="shared" si="6"/>
        <v>18301.276595744679</v>
      </c>
      <c r="I56" s="100">
        <v>50</v>
      </c>
      <c r="J56" s="119">
        <f t="shared" si="8"/>
        <v>2.7320498511904765E-3</v>
      </c>
      <c r="K56" s="120">
        <f t="shared" si="9"/>
        <v>5.4640997023809526E-5</v>
      </c>
    </row>
    <row r="57" spans="1:11" x14ac:dyDescent="0.3">
      <c r="A57" s="116" t="s">
        <v>256</v>
      </c>
      <c r="B57" s="129">
        <f>'Free Spins Symbol'!$V$18</f>
        <v>100</v>
      </c>
      <c r="C57" s="117">
        <f>VLOOKUP(MID($A57,4,2),'Free Spins Symbol'!$T$2:$Z$29,4,0)</f>
        <v>2</v>
      </c>
      <c r="D57" s="117">
        <f>VLOOKUP(MID($A57,7,2),'Free Spins Symbol'!$T$2:$Z$29,5,0)</f>
        <v>3</v>
      </c>
      <c r="E57" s="117">
        <f>VLOOKUP(MID($A57,10,2),'Free Spins Symbol'!$T$2:$Z$29,6,0)</f>
        <v>1</v>
      </c>
      <c r="F57" s="117">
        <f>VLOOKUP(MID($A57,13,2),'Free Spins Symbol'!$T$2:$Z$29,7,0)</f>
        <v>48</v>
      </c>
      <c r="G57" s="100">
        <f>(B57*C57*D57*E57-B50*C50*D50*E50)*(F57-F47)</f>
        <v>28200</v>
      </c>
      <c r="H57" s="118">
        <f t="shared" si="6"/>
        <v>12200.851063829787</v>
      </c>
      <c r="I57" s="100">
        <v>50</v>
      </c>
      <c r="J57" s="119">
        <f t="shared" si="8"/>
        <v>4.098074776785714E-3</v>
      </c>
      <c r="K57" s="120">
        <f t="shared" si="9"/>
        <v>8.1961495535714279E-5</v>
      </c>
    </row>
    <row r="58" spans="1:11" x14ac:dyDescent="0.3">
      <c r="A58" s="116" t="s">
        <v>257</v>
      </c>
      <c r="B58" s="129">
        <f>'Free Spins Symbol'!$V$18</f>
        <v>100</v>
      </c>
      <c r="C58" s="117">
        <f>VLOOKUP(MID($A58,4,2),'Free Spins Symbol'!$T$2:$Z$29,4,0)</f>
        <v>4</v>
      </c>
      <c r="D58" s="117">
        <f>VLOOKUP(MID($A58,7,2),'Free Spins Symbol'!$T$2:$Z$29,5,0)</f>
        <v>2</v>
      </c>
      <c r="E58" s="117">
        <f>VLOOKUP(MID($A58,10,2),'Free Spins Symbol'!$T$2:$Z$29,6,0)</f>
        <v>1</v>
      </c>
      <c r="F58" s="117">
        <f>VLOOKUP(MID($A58,13,2),'Free Spins Symbol'!$T$2:$Z$29,7,0)</f>
        <v>48</v>
      </c>
      <c r="G58" s="100">
        <f>(B58*C58*D58*E58-B50*C50*D50*E50)*(F58-F48)</f>
        <v>34400</v>
      </c>
      <c r="H58" s="118">
        <f t="shared" si="6"/>
        <v>10001.860465116279</v>
      </c>
      <c r="I58" s="100">
        <v>30</v>
      </c>
      <c r="J58" s="119">
        <f t="shared" si="8"/>
        <v>2.999441964285714E-3</v>
      </c>
      <c r="K58" s="120">
        <f t="shared" si="9"/>
        <v>9.9981398809523807E-5</v>
      </c>
    </row>
    <row r="59" spans="1:11" x14ac:dyDescent="0.3">
      <c r="A59" s="116" t="s">
        <v>258</v>
      </c>
      <c r="B59" s="129">
        <f>'Free Spins Symbol'!$V$18</f>
        <v>100</v>
      </c>
      <c r="C59" s="117">
        <f>VLOOKUP(MID($A59,4,2),'Free Spins Symbol'!$T$2:$Z$29,4,0)</f>
        <v>4</v>
      </c>
      <c r="D59" s="117">
        <f>VLOOKUP(MID($A59,7,2),'Free Spins Symbol'!$T$2:$Z$29,5,0)</f>
        <v>2</v>
      </c>
      <c r="E59" s="117">
        <f>VLOOKUP(MID($A59,10,2),'Free Spins Symbol'!$T$2:$Z$29,6,0)</f>
        <v>1</v>
      </c>
      <c r="F59" s="117">
        <f>VLOOKUP(MID($A59,13,2),'Free Spins Symbol'!$T$2:$Z$29,7,0)</f>
        <v>48</v>
      </c>
      <c r="G59" s="100">
        <f>(B59*C59*D59*E59-B50*C50*D50*E50)*(F59-F49)</f>
        <v>34400</v>
      </c>
      <c r="H59" s="118">
        <f t="shared" si="6"/>
        <v>10001.860465116279</v>
      </c>
      <c r="I59" s="100">
        <v>30</v>
      </c>
      <c r="J59" s="119">
        <f t="shared" si="8"/>
        <v>2.999441964285714E-3</v>
      </c>
      <c r="K59" s="120">
        <f t="shared" si="9"/>
        <v>9.9981398809523807E-5</v>
      </c>
    </row>
    <row r="60" spans="1:11" x14ac:dyDescent="0.3">
      <c r="A60" s="116" t="s">
        <v>264</v>
      </c>
      <c r="B60" s="129">
        <f>'Free Spins Symbol'!$V$18</f>
        <v>100</v>
      </c>
      <c r="C60" s="117">
        <f>VLOOKUP(MID($A60,4,2),'Free Spins Symbol'!$T$2:$Z$29,4,0)</f>
        <v>0</v>
      </c>
      <c r="D60" s="117">
        <f>VLOOKUP(MID($A60,7,2),'Free Spins Symbol'!$T$2:$Z$29,5,0)</f>
        <v>0</v>
      </c>
      <c r="E60" s="117">
        <f>VLOOKUP(MID($A60,10,2),'Free Spins Symbol'!$T$2:$Z$29,6,0)</f>
        <v>32</v>
      </c>
      <c r="F60" s="117">
        <f>VLOOKUP(MID($A60,13,2),'Free Spins Symbol'!$T$2:$Z$29,7,0)</f>
        <v>48</v>
      </c>
      <c r="G60" s="100">
        <f>(B60*C60*D60)*(E60*F60-(E59+E58+E57+E56-3*E50)*F50-(E55-E50)*F55-(E54-E50)*F54-(E53-E50)*F53-(E52-E50)*F52-(E51-E50)*F51)</f>
        <v>0</v>
      </c>
      <c r="H60" s="118" t="e">
        <f t="shared" si="6"/>
        <v>#DIV/0!</v>
      </c>
      <c r="I60" s="100">
        <v>20</v>
      </c>
      <c r="J60" s="119">
        <f>K60*I60</f>
        <v>0</v>
      </c>
      <c r="K60" s="120">
        <f>G60/B$2</f>
        <v>0</v>
      </c>
    </row>
    <row r="61" spans="1:11" x14ac:dyDescent="0.3">
      <c r="A61" s="116" t="s">
        <v>259</v>
      </c>
      <c r="B61" s="129">
        <f>'Free Spins Symbol'!$V$18</f>
        <v>100</v>
      </c>
      <c r="C61" s="117">
        <f>VLOOKUP(MID($A61,4,2),'Free Spins Symbol'!$T$2:$Z$29,4,0)</f>
        <v>13</v>
      </c>
      <c r="D61" s="117">
        <f>VLOOKUP(MID($A61,7,2),'Free Spins Symbol'!$T$2:$Z$29,5,0)</f>
        <v>1</v>
      </c>
      <c r="E61" s="117">
        <f>VLOOKUP(MID($A61,10,2),'Free Spins Symbol'!$T$2:$Z$29,6,0)</f>
        <v>7</v>
      </c>
      <c r="F61" s="117">
        <f>VLOOKUP(MID($A61,13,2),'Free Spins Symbol'!$T$2:$Z$29,7,0)</f>
        <v>48</v>
      </c>
      <c r="G61" s="100">
        <f>B61*C61*D61*E61*(F61-F51)</f>
        <v>418600</v>
      </c>
      <c r="H61" s="118">
        <f t="shared" si="6"/>
        <v>821.9397993311037</v>
      </c>
      <c r="I61" s="100">
        <v>20</v>
      </c>
      <c r="J61" s="119">
        <f t="shared" ref="J61:J80" si="10">K61*I61</f>
        <v>2.4332682291666668E-2</v>
      </c>
      <c r="K61" s="120">
        <f t="shared" ref="K61:K80" si="11">G61/B$2</f>
        <v>1.2166341145833333E-3</v>
      </c>
    </row>
    <row r="62" spans="1:11" x14ac:dyDescent="0.3">
      <c r="A62" s="116" t="s">
        <v>260</v>
      </c>
      <c r="B62" s="129">
        <f>'Free Spins Symbol'!$V$18</f>
        <v>100</v>
      </c>
      <c r="C62" s="117">
        <f>VLOOKUP(MID($A62,4,2),'Free Spins Symbol'!$T$2:$Z$29,4,0)</f>
        <v>1</v>
      </c>
      <c r="D62" s="117">
        <f>VLOOKUP(MID($A62,7,2),'Free Spins Symbol'!$T$2:$Z$29,5,0)</f>
        <v>9</v>
      </c>
      <c r="E62" s="117">
        <f>VLOOKUP(MID($A62,10,2),'Free Spins Symbol'!$T$2:$Z$29,6,0)</f>
        <v>1</v>
      </c>
      <c r="F62" s="117">
        <f>VLOOKUP(MID($A62,13,2),'Free Spins Symbol'!$T$2:$Z$29,7,0)</f>
        <v>48</v>
      </c>
      <c r="G62" s="100">
        <f t="shared" ref="G62:G65" si="12">B62*C62*D62*E62*(F62-F52)</f>
        <v>33300</v>
      </c>
      <c r="H62" s="118">
        <f t="shared" si="6"/>
        <v>10332.252252252252</v>
      </c>
      <c r="I62" s="100">
        <v>20</v>
      </c>
      <c r="J62" s="119">
        <f t="shared" si="10"/>
        <v>1.9356863839285713E-3</v>
      </c>
      <c r="K62" s="120">
        <f t="shared" si="11"/>
        <v>9.6784319196428566E-5</v>
      </c>
    </row>
    <row r="63" spans="1:11" x14ac:dyDescent="0.3">
      <c r="A63" s="116" t="s">
        <v>261</v>
      </c>
      <c r="B63" s="129">
        <f>'Free Spins Symbol'!$V$18</f>
        <v>100</v>
      </c>
      <c r="C63" s="117">
        <f>VLOOKUP(MID($A63,4,2),'Free Spins Symbol'!$T$2:$Z$29,4,0)</f>
        <v>13</v>
      </c>
      <c r="D63" s="117">
        <f>VLOOKUP(MID($A63,7,2),'Free Spins Symbol'!$T$2:$Z$29,5,0)</f>
        <v>9</v>
      </c>
      <c r="E63" s="117">
        <f>VLOOKUP(MID($A63,10,2),'Free Spins Symbol'!$T$2:$Z$29,6,0)</f>
        <v>1</v>
      </c>
      <c r="F63" s="117">
        <f>VLOOKUP(MID($A63,13,2),'Free Spins Symbol'!$T$2:$Z$29,7,0)</f>
        <v>48</v>
      </c>
      <c r="G63" s="100">
        <f t="shared" si="12"/>
        <v>549900</v>
      </c>
      <c r="H63" s="118">
        <f t="shared" si="6"/>
        <v>625.68466993998913</v>
      </c>
      <c r="I63" s="100">
        <v>20</v>
      </c>
      <c r="J63" s="119">
        <f t="shared" si="10"/>
        <v>3.1964983258928575E-2</v>
      </c>
      <c r="K63" s="120">
        <f t="shared" si="11"/>
        <v>1.5982491629464286E-3</v>
      </c>
    </row>
    <row r="64" spans="1:11" x14ac:dyDescent="0.3">
      <c r="A64" s="116" t="s">
        <v>262</v>
      </c>
      <c r="B64" s="129">
        <f>'Free Spins Symbol'!$V$18</f>
        <v>100</v>
      </c>
      <c r="C64" s="117">
        <f>VLOOKUP(MID($A64,4,2),'Free Spins Symbol'!$T$2:$Z$29,4,0)</f>
        <v>13</v>
      </c>
      <c r="D64" s="117">
        <f>VLOOKUP(MID($A64,7,2),'Free Spins Symbol'!$T$2:$Z$29,5,0)</f>
        <v>1</v>
      </c>
      <c r="E64" s="117">
        <f>VLOOKUP(MID($A64,10,2),'Free Spins Symbol'!$T$2:$Z$29,6,0)</f>
        <v>8</v>
      </c>
      <c r="F64" s="117">
        <f>VLOOKUP(MID($A64,13,2),'Free Spins Symbol'!$T$2:$Z$29,7,0)</f>
        <v>48</v>
      </c>
      <c r="G64" s="100">
        <f t="shared" si="12"/>
        <v>384800</v>
      </c>
      <c r="H64" s="118">
        <f t="shared" si="6"/>
        <v>894.13721413721419</v>
      </c>
      <c r="I64" s="100">
        <v>20</v>
      </c>
      <c r="J64" s="119">
        <f t="shared" si="10"/>
        <v>2.2367931547619048E-2</v>
      </c>
      <c r="K64" s="120">
        <f t="shared" si="11"/>
        <v>1.1183965773809523E-3</v>
      </c>
    </row>
    <row r="65" spans="1:11" x14ac:dyDescent="0.3">
      <c r="A65" s="116" t="s">
        <v>263</v>
      </c>
      <c r="B65" s="129">
        <f>'Free Spins Symbol'!$V$18</f>
        <v>100</v>
      </c>
      <c r="C65" s="117">
        <f>VLOOKUP(MID($A65,4,2),'Free Spins Symbol'!$T$2:$Z$29,4,0)</f>
        <v>2</v>
      </c>
      <c r="D65" s="117">
        <f>VLOOKUP(MID($A65,7,2),'Free Spins Symbol'!$T$2:$Z$29,5,0)</f>
        <v>10</v>
      </c>
      <c r="E65" s="117">
        <f>VLOOKUP(MID($A65,10,2),'Free Spins Symbol'!$T$2:$Z$29,6,0)</f>
        <v>7</v>
      </c>
      <c r="F65" s="117">
        <f>VLOOKUP(MID($A65,13,2),'Free Spins Symbol'!$T$2:$Z$29,7,0)</f>
        <v>48</v>
      </c>
      <c r="G65" s="100">
        <f t="shared" si="12"/>
        <v>518000</v>
      </c>
      <c r="H65" s="118">
        <f t="shared" si="6"/>
        <v>664.21621621621625</v>
      </c>
      <c r="I65" s="100">
        <v>20</v>
      </c>
      <c r="J65" s="119">
        <f t="shared" si="10"/>
        <v>3.0110677083333336E-2</v>
      </c>
      <c r="K65" s="120">
        <f t="shared" si="11"/>
        <v>1.5055338541666667E-3</v>
      </c>
    </row>
    <row r="66" spans="1:11" x14ac:dyDescent="0.3">
      <c r="A66" s="116" t="s">
        <v>265</v>
      </c>
      <c r="B66" s="129">
        <f>'Free Spins Symbol'!$V$18</f>
        <v>100</v>
      </c>
      <c r="C66" s="117">
        <f>VLOOKUP(MID($A66,4,2),'Free Spins Symbol'!$T$2:$Z$29,4,0)</f>
        <v>2</v>
      </c>
      <c r="D66" s="117">
        <f>VLOOKUP(MID($A66,7,2),'Free Spins Symbol'!$T$2:$Z$29,5,0)</f>
        <v>2</v>
      </c>
      <c r="E66" s="117">
        <f>VLOOKUP(MID($A66,10,2),'Free Spins Symbol'!$T$2:$Z$29,6,0)</f>
        <v>32</v>
      </c>
      <c r="F66" s="117">
        <f>VLOOKUP(MID($A66,13,2),'Free Spins Symbol'!$T$2:$Z$29,7,0)</f>
        <v>48</v>
      </c>
      <c r="G66" s="100">
        <f>(B66*C66*D66)*(E66-E56)*F66</f>
        <v>595200</v>
      </c>
      <c r="H66" s="118">
        <f t="shared" si="6"/>
        <v>578.06451612903231</v>
      </c>
      <c r="I66" s="100">
        <v>20</v>
      </c>
      <c r="J66" s="119">
        <f t="shared" si="10"/>
        <v>3.4598214285714288E-2</v>
      </c>
      <c r="K66" s="120">
        <f t="shared" si="11"/>
        <v>1.7299107142857142E-3</v>
      </c>
    </row>
    <row r="67" spans="1:11" x14ac:dyDescent="0.3">
      <c r="A67" s="116" t="s">
        <v>266</v>
      </c>
      <c r="B67" s="129">
        <f>'Free Spins Symbol'!$V$18</f>
        <v>100</v>
      </c>
      <c r="C67" s="117">
        <f>VLOOKUP(MID($A67,4,2),'Free Spins Symbol'!$T$2:$Z$29,4,0)</f>
        <v>2</v>
      </c>
      <c r="D67" s="117">
        <f>VLOOKUP(MID($A67,7,2),'Free Spins Symbol'!$T$2:$Z$29,5,0)</f>
        <v>3</v>
      </c>
      <c r="E67" s="117">
        <f>VLOOKUP(MID($A67,10,2),'Free Spins Symbol'!$T$2:$Z$29,6,0)</f>
        <v>32</v>
      </c>
      <c r="F67" s="117">
        <f>VLOOKUP(MID($A67,13,2),'Free Spins Symbol'!$T$2:$Z$29,7,0)</f>
        <v>48</v>
      </c>
      <c r="G67" s="100">
        <f>(B67*C67*D67)*(E67-E57)*F67</f>
        <v>892800</v>
      </c>
      <c r="H67" s="118">
        <f t="shared" si="6"/>
        <v>385.3763440860215</v>
      </c>
      <c r="I67" s="100">
        <v>20</v>
      </c>
      <c r="J67" s="119">
        <f t="shared" si="10"/>
        <v>5.1897321428571425E-2</v>
      </c>
      <c r="K67" s="120">
        <f t="shared" si="11"/>
        <v>2.5948660714285713E-3</v>
      </c>
    </row>
    <row r="68" spans="1:11" x14ac:dyDescent="0.3">
      <c r="A68" s="116" t="s">
        <v>267</v>
      </c>
      <c r="B68" s="129">
        <f>'Free Spins Symbol'!$V$18</f>
        <v>100</v>
      </c>
      <c r="C68" s="117">
        <f>VLOOKUP(MID($A68,4,2),'Free Spins Symbol'!$T$2:$Z$29,4,0)</f>
        <v>4</v>
      </c>
      <c r="D68" s="117">
        <f>VLOOKUP(MID($A68,7,2),'Free Spins Symbol'!$T$2:$Z$29,5,0)</f>
        <v>2</v>
      </c>
      <c r="E68" s="117">
        <f>VLOOKUP(MID($A68,10,2),'Free Spins Symbol'!$T$2:$Z$29,6,0)</f>
        <v>32</v>
      </c>
      <c r="F68" s="117">
        <f>VLOOKUP(MID($A68,13,2),'Free Spins Symbol'!$T$2:$Z$29,7,0)</f>
        <v>48</v>
      </c>
      <c r="G68" s="100">
        <f>(B68*C68*D68-B60*C60*D60)*(E68-E58)*F68</f>
        <v>1190400</v>
      </c>
      <c r="H68" s="118">
        <f t="shared" si="6"/>
        <v>289.03225806451616</v>
      </c>
      <c r="I68" s="100">
        <v>10</v>
      </c>
      <c r="J68" s="119">
        <f t="shared" si="10"/>
        <v>3.4598214285714288E-2</v>
      </c>
      <c r="K68" s="120">
        <f t="shared" si="11"/>
        <v>3.4598214285714284E-3</v>
      </c>
    </row>
    <row r="69" spans="1:11" x14ac:dyDescent="0.3">
      <c r="A69" s="116" t="s">
        <v>268</v>
      </c>
      <c r="B69" s="129">
        <f>'Free Spins Symbol'!$V$18</f>
        <v>100</v>
      </c>
      <c r="C69" s="117">
        <f>VLOOKUP(MID($A69,4,2),'Free Spins Symbol'!$T$2:$Z$29,4,0)</f>
        <v>4</v>
      </c>
      <c r="D69" s="117">
        <f>VLOOKUP(MID($A69,7,2),'Free Spins Symbol'!$T$2:$Z$29,5,0)</f>
        <v>2</v>
      </c>
      <c r="E69" s="117">
        <f>VLOOKUP(MID($A69,10,2),'Free Spins Symbol'!$T$2:$Z$29,6,0)</f>
        <v>32</v>
      </c>
      <c r="F69" s="117">
        <f>VLOOKUP(MID($A69,13,2),'Free Spins Symbol'!$T$2:$Z$29,7,0)</f>
        <v>48</v>
      </c>
      <c r="G69" s="100">
        <f>(B69*C69*D69-B60*C60*D60)*(E69-E59)*F69</f>
        <v>1190400</v>
      </c>
      <c r="H69" s="118">
        <f t="shared" si="6"/>
        <v>289.03225806451616</v>
      </c>
      <c r="I69" s="100">
        <v>10</v>
      </c>
      <c r="J69" s="119">
        <f t="shared" si="10"/>
        <v>3.4598214285714288E-2</v>
      </c>
      <c r="K69" s="120">
        <f t="shared" si="11"/>
        <v>3.4598214285714284E-3</v>
      </c>
    </row>
    <row r="70" spans="1:11" x14ac:dyDescent="0.3">
      <c r="A70" s="116" t="s">
        <v>269</v>
      </c>
      <c r="B70" s="129">
        <f>'Free Spins Symbol'!$V$18</f>
        <v>100</v>
      </c>
      <c r="C70" s="117">
        <f>VLOOKUP(MID($A70,4,2),'Free Spins Symbol'!$T$2:$Z$29,4,0)</f>
        <v>13</v>
      </c>
      <c r="D70" s="117">
        <f>VLOOKUP(MID($A70,7,2),'Free Spins Symbol'!$T$2:$Z$29,5,0)</f>
        <v>1</v>
      </c>
      <c r="E70" s="117">
        <f>VLOOKUP(MID($A70,10,2),'Free Spins Symbol'!$T$2:$Z$29,6,0)</f>
        <v>32</v>
      </c>
      <c r="F70" s="117">
        <f>VLOOKUP(MID($A70,13,2),'Free Spins Symbol'!$T$2:$Z$29,7,0)</f>
        <v>48</v>
      </c>
      <c r="G70" s="100">
        <f>(B70*C70*D70-B60*C60*D60)*(E70-E61)*F70</f>
        <v>1560000</v>
      </c>
      <c r="H70" s="118">
        <f t="shared" si="6"/>
        <v>220.55384615384617</v>
      </c>
      <c r="I70" s="100">
        <v>5</v>
      </c>
      <c r="J70" s="119">
        <f t="shared" si="10"/>
        <v>2.2670200892857144E-2</v>
      </c>
      <c r="K70" s="120">
        <f t="shared" si="11"/>
        <v>4.5340401785714289E-3</v>
      </c>
    </row>
    <row r="71" spans="1:11" x14ac:dyDescent="0.3">
      <c r="A71" s="116" t="s">
        <v>270</v>
      </c>
      <c r="B71" s="129">
        <f>'Free Spins Symbol'!$V$18</f>
        <v>100</v>
      </c>
      <c r="C71" s="117">
        <f>VLOOKUP(MID($A71,4,2),'Free Spins Symbol'!$T$2:$Z$29,4,0)</f>
        <v>1</v>
      </c>
      <c r="D71" s="117">
        <f>VLOOKUP(MID($A71,7,2),'Free Spins Symbol'!$T$2:$Z$29,5,0)</f>
        <v>9</v>
      </c>
      <c r="E71" s="117">
        <f>VLOOKUP(MID($A71,10,2),'Free Spins Symbol'!$T$2:$Z$29,6,0)</f>
        <v>32</v>
      </c>
      <c r="F71" s="117">
        <f>VLOOKUP(MID($A71,13,2),'Free Spins Symbol'!$T$2:$Z$29,7,0)</f>
        <v>48</v>
      </c>
      <c r="G71" s="100">
        <f>(B71*C71*D71-B60*C60*D60)*(E71-E62)*F71</f>
        <v>1339200</v>
      </c>
      <c r="H71" s="118">
        <f t="shared" si="6"/>
        <v>256.91756272401432</v>
      </c>
      <c r="I71" s="100">
        <v>5</v>
      </c>
      <c r="J71" s="119">
        <f t="shared" si="10"/>
        <v>1.9461495535714288E-2</v>
      </c>
      <c r="K71" s="120">
        <f t="shared" si="11"/>
        <v>3.8922991071428572E-3</v>
      </c>
    </row>
    <row r="72" spans="1:11" x14ac:dyDescent="0.3">
      <c r="A72" s="116" t="s">
        <v>271</v>
      </c>
      <c r="B72" s="129">
        <f>'Free Spins Symbol'!$V$18</f>
        <v>100</v>
      </c>
      <c r="C72" s="117">
        <f>VLOOKUP(MID($A72,4,2),'Free Spins Symbol'!$T$2:$Z$29,4,0)</f>
        <v>13</v>
      </c>
      <c r="D72" s="117">
        <f>VLOOKUP(MID($A72,7,2),'Free Spins Symbol'!$T$2:$Z$29,5,0)</f>
        <v>9</v>
      </c>
      <c r="E72" s="117">
        <f>VLOOKUP(MID($A72,10,2),'Free Spins Symbol'!$T$2:$Z$29,6,0)</f>
        <v>32</v>
      </c>
      <c r="F72" s="117">
        <f>VLOOKUP(MID($A72,13,2),'Free Spins Symbol'!$T$2:$Z$29,7,0)</f>
        <v>48</v>
      </c>
      <c r="G72" s="100">
        <f>(B72*C72*D72-B60*C60*D60)*(E72-E63)*F72</f>
        <v>17409600</v>
      </c>
      <c r="H72" s="118">
        <f t="shared" si="6"/>
        <v>19.762889440308797</v>
      </c>
      <c r="I72" s="100">
        <v>5</v>
      </c>
      <c r="J72" s="119">
        <f t="shared" si="10"/>
        <v>0.2529994419642857</v>
      </c>
      <c r="K72" s="120">
        <f t="shared" si="11"/>
        <v>5.0599888392857145E-2</v>
      </c>
    </row>
    <row r="73" spans="1:11" x14ac:dyDescent="0.3">
      <c r="A73" s="116" t="s">
        <v>272</v>
      </c>
      <c r="B73" s="129">
        <f>'Free Spins Symbol'!$V$18</f>
        <v>100</v>
      </c>
      <c r="C73" s="117">
        <f>VLOOKUP(MID($A73,4,2),'Free Spins Symbol'!$T$2:$Z$29,4,0)</f>
        <v>13</v>
      </c>
      <c r="D73" s="117">
        <f>VLOOKUP(MID($A73,7,2),'Free Spins Symbol'!$T$2:$Z$29,5,0)</f>
        <v>1</v>
      </c>
      <c r="E73" s="117">
        <f>VLOOKUP(MID($A73,10,2),'Free Spins Symbol'!$T$2:$Z$29,6,0)</f>
        <v>32</v>
      </c>
      <c r="F73" s="117">
        <f>VLOOKUP(MID($A73,13,2),'Free Spins Symbol'!$T$2:$Z$29,7,0)</f>
        <v>48</v>
      </c>
      <c r="G73" s="100">
        <f>(B73*C73*D73-B60*C60*D60)*(E73-E64)*F73</f>
        <v>1497600</v>
      </c>
      <c r="H73" s="118">
        <f t="shared" si="6"/>
        <v>229.74358974358975</v>
      </c>
      <c r="I73" s="100">
        <v>5</v>
      </c>
      <c r="J73" s="119">
        <f t="shared" si="10"/>
        <v>2.1763392857142856E-2</v>
      </c>
      <c r="K73" s="120">
        <f t="shared" si="11"/>
        <v>4.3526785714285716E-3</v>
      </c>
    </row>
    <row r="74" spans="1:11" x14ac:dyDescent="0.3">
      <c r="A74" s="116" t="s">
        <v>273</v>
      </c>
      <c r="B74" s="129">
        <f>'Free Spins Symbol'!$V$18</f>
        <v>100</v>
      </c>
      <c r="C74" s="117">
        <f>VLOOKUP(MID($A74,4,2),'Free Spins Symbol'!$T$2:$Z$29,4,0)</f>
        <v>2</v>
      </c>
      <c r="D74" s="117">
        <f>VLOOKUP(MID($A74,7,2),'Free Spins Symbol'!$T$2:$Z$29,5,0)</f>
        <v>10</v>
      </c>
      <c r="E74" s="117">
        <f>VLOOKUP(MID($A74,10,2),'Free Spins Symbol'!$T$2:$Z$29,6,0)</f>
        <v>32</v>
      </c>
      <c r="F74" s="117">
        <f>VLOOKUP(MID($A74,13,2),'Free Spins Symbol'!$T$2:$Z$29,7,0)</f>
        <v>48</v>
      </c>
      <c r="G74" s="100">
        <f>(B74*C74*D74-B60*C60*D60)*(E74-E65)*F74</f>
        <v>2400000</v>
      </c>
      <c r="H74" s="118">
        <f t="shared" si="6"/>
        <v>143.36000000000001</v>
      </c>
      <c r="I74" s="100">
        <v>5</v>
      </c>
      <c r="J74" s="119">
        <f t="shared" si="10"/>
        <v>3.4877232142857144E-2</v>
      </c>
      <c r="K74" s="120">
        <f t="shared" si="11"/>
        <v>6.9754464285714289E-3</v>
      </c>
    </row>
    <row r="75" spans="1:11" x14ac:dyDescent="0.3">
      <c r="A75" s="116" t="s">
        <v>274</v>
      </c>
      <c r="B75" s="129">
        <f>'Free Spins Symbol'!$V$18</f>
        <v>100</v>
      </c>
      <c r="C75" s="117">
        <f>VLOOKUP(MID($A75,4,2),'Free Spins Symbol'!$T$2:$Z$29,4,0)</f>
        <v>0</v>
      </c>
      <c r="D75" s="117">
        <f>VLOOKUP(MID($A75,7,2),'Free Spins Symbol'!$T$2:$Z$29,5,0)</f>
        <v>40</v>
      </c>
      <c r="E75" s="117">
        <f>VLOOKUP(MID($A75,10,2),'Free Spins Symbol'!$T$2:$Z$29,6,0)</f>
        <v>32</v>
      </c>
      <c r="F75" s="117">
        <f>VLOOKUP(MID($A75,13,2),'Free Spins Symbol'!$T$2:$Z$29,7,0)</f>
        <v>48</v>
      </c>
      <c r="G75" s="100">
        <f>B75*C75*(D75-D74-D73-D72-D71-D70-D69-D68-D67-D66+8*D60)*E75*F75</f>
        <v>0</v>
      </c>
      <c r="H75" s="118" t="e">
        <f t="shared" si="6"/>
        <v>#DIV/0!</v>
      </c>
      <c r="I75" s="100">
        <v>5</v>
      </c>
      <c r="J75" s="119">
        <f t="shared" si="10"/>
        <v>0</v>
      </c>
      <c r="K75" s="120">
        <f t="shared" si="11"/>
        <v>0</v>
      </c>
    </row>
    <row r="76" spans="1:11" x14ac:dyDescent="0.3">
      <c r="A76" s="116" t="s">
        <v>275</v>
      </c>
      <c r="B76" s="129">
        <f>'Free Spins Symbol'!$V$18</f>
        <v>100</v>
      </c>
      <c r="C76" s="117">
        <f>VLOOKUP(MID($A76,4,2),'Free Spins Symbol'!$T$2:$Z$29,4,0)</f>
        <v>2</v>
      </c>
      <c r="D76" s="117">
        <f>VLOOKUP(MID($A76,7,2),'Free Spins Symbol'!$T$2:$Z$29,5,0)</f>
        <v>40</v>
      </c>
      <c r="E76" s="117">
        <f>VLOOKUP(MID($A76,10,2),'Free Spins Symbol'!$T$2:$Z$29,6,0)</f>
        <v>32</v>
      </c>
      <c r="F76" s="117">
        <f>VLOOKUP(MID($A76,13,2),'Free Spins Symbol'!$T$2:$Z$29,7,0)</f>
        <v>48</v>
      </c>
      <c r="G76" s="100">
        <f>(B76*C76-B75*C75)*(D76-D66)*E76*F76</f>
        <v>11673600</v>
      </c>
      <c r="H76" s="118">
        <f t="shared" si="6"/>
        <v>29.473684210526315</v>
      </c>
      <c r="I76" s="100">
        <v>5</v>
      </c>
      <c r="J76" s="119">
        <f t="shared" si="10"/>
        <v>0.16964285714285712</v>
      </c>
      <c r="K76" s="120">
        <f t="shared" si="11"/>
        <v>3.3928571428571426E-2</v>
      </c>
    </row>
    <row r="77" spans="1:11" x14ac:dyDescent="0.3">
      <c r="A77" s="116" t="s">
        <v>276</v>
      </c>
      <c r="B77" s="129">
        <f>'Free Spins Symbol'!$V$18</f>
        <v>100</v>
      </c>
      <c r="C77" s="117">
        <f>VLOOKUP(MID($A77,4,2),'Free Spins Symbol'!$T$2:$Z$29,4,0)</f>
        <v>2</v>
      </c>
      <c r="D77" s="117">
        <f>VLOOKUP(MID($A77,7,2),'Free Spins Symbol'!$T$2:$Z$29,5,0)</f>
        <v>40</v>
      </c>
      <c r="E77" s="117">
        <f>VLOOKUP(MID($A77,10,2),'Free Spins Symbol'!$T$2:$Z$29,6,0)</f>
        <v>32</v>
      </c>
      <c r="F77" s="117">
        <f>VLOOKUP(MID($A77,13,2),'Free Spins Symbol'!$T$2:$Z$29,7,0)</f>
        <v>48</v>
      </c>
      <c r="G77" s="100">
        <f>(B77*C77-B75*C75)*(D77-D67)*E77*F77</f>
        <v>11366400</v>
      </c>
      <c r="H77" s="118">
        <f t="shared" si="6"/>
        <v>30.27027027027027</v>
      </c>
      <c r="I77" s="100">
        <v>5</v>
      </c>
      <c r="J77" s="119">
        <f t="shared" si="10"/>
        <v>0.16517857142857142</v>
      </c>
      <c r="K77" s="120">
        <f t="shared" si="11"/>
        <v>3.3035714285714286E-2</v>
      </c>
    </row>
    <row r="78" spans="1:11" x14ac:dyDescent="0.3">
      <c r="A78" s="116" t="s">
        <v>277</v>
      </c>
      <c r="B78" s="129">
        <f>'Free Spins Symbol'!$V$18</f>
        <v>100</v>
      </c>
      <c r="C78" s="117">
        <f>VLOOKUP(MID($A78,4,2),'Free Spins Symbol'!$T$2:$Z$29,4,0)</f>
        <v>4</v>
      </c>
      <c r="D78" s="117">
        <f>VLOOKUP(MID($A78,7,2),'Free Spins Symbol'!$T$2:$Z$29,5,0)</f>
        <v>40</v>
      </c>
      <c r="E78" s="117">
        <f>VLOOKUP(MID($A78,10,2),'Free Spins Symbol'!$T$2:$Z$29,6,0)</f>
        <v>32</v>
      </c>
      <c r="F78" s="117">
        <f>VLOOKUP(MID($A78,13,2),'Free Spins Symbol'!$T$2:$Z$29,7,0)</f>
        <v>48</v>
      </c>
      <c r="G78" s="100">
        <f>(B78*C78-B75*C75)*(D78-D68)*E78*F78</f>
        <v>23347200</v>
      </c>
      <c r="H78" s="118">
        <f t="shared" si="6"/>
        <v>14.736842105263158</v>
      </c>
      <c r="I78" s="100">
        <v>5</v>
      </c>
      <c r="J78" s="119">
        <f t="shared" si="10"/>
        <v>0.33928571428571425</v>
      </c>
      <c r="K78" s="120">
        <f t="shared" si="11"/>
        <v>6.7857142857142852E-2</v>
      </c>
    </row>
    <row r="79" spans="1:11" x14ac:dyDescent="0.3">
      <c r="A79" s="116" t="s">
        <v>278</v>
      </c>
      <c r="B79" s="129">
        <f>'Free Spins Symbol'!$V$18</f>
        <v>100</v>
      </c>
      <c r="C79" s="117">
        <f>VLOOKUP(MID($A79,4,2),'Free Spins Symbol'!$T$2:$Z$29,4,0)</f>
        <v>4</v>
      </c>
      <c r="D79" s="117">
        <f>VLOOKUP(MID($A79,7,2),'Free Spins Symbol'!$T$2:$Z$29,5,0)</f>
        <v>40</v>
      </c>
      <c r="E79" s="117">
        <f>VLOOKUP(MID($A79,10,2),'Free Spins Symbol'!$T$2:$Z$29,6,0)</f>
        <v>32</v>
      </c>
      <c r="F79" s="117">
        <f>VLOOKUP(MID($A79,13,2),'Free Spins Symbol'!$T$2:$Z$29,7,0)</f>
        <v>48</v>
      </c>
      <c r="G79" s="100">
        <f>(B79*C79-B75*C75)*(D79-D69)*E79*F79</f>
        <v>23347200</v>
      </c>
      <c r="H79" s="118">
        <f t="shared" si="6"/>
        <v>14.736842105263158</v>
      </c>
      <c r="I79" s="100">
        <v>5</v>
      </c>
      <c r="J79" s="119">
        <f t="shared" si="10"/>
        <v>0.33928571428571425</v>
      </c>
      <c r="K79" s="120">
        <f t="shared" si="11"/>
        <v>6.7857142857142852E-2</v>
      </c>
    </row>
    <row r="80" spans="1:11" x14ac:dyDescent="0.3">
      <c r="A80" s="122" t="s">
        <v>279</v>
      </c>
      <c r="B80" s="117">
        <f>VLOOKUP(MID($A80,1,2),'Free Spins Symbol'!$T$2:$Z$29,3,0)</f>
        <v>100</v>
      </c>
      <c r="C80" s="117">
        <f>VLOOKUP(MID($A80,4,2),'Free Spins Symbol'!$T$2:$Z$29,4,0)</f>
        <v>8</v>
      </c>
      <c r="D80" s="117">
        <f>VLOOKUP(MID($A80,7,2),'Free Spins Symbol'!$T$2:$Z$29,5,0)</f>
        <v>4</v>
      </c>
      <c r="E80" s="117">
        <f>VLOOKUP(MID($A80,10,2),'Free Spins Symbol'!$T$2:$Z$29,6,0)</f>
        <v>16</v>
      </c>
      <c r="F80" s="117">
        <f>VLOOKUP(MID($A80,13,2),'Free Spins Symbol'!$T$2:$Z$29,7,0)</f>
        <v>48</v>
      </c>
      <c r="G80" s="100">
        <f>B80*C80*D80*E80*F80</f>
        <v>2457600</v>
      </c>
      <c r="H80" s="118">
        <f t="shared" si="6"/>
        <v>140</v>
      </c>
      <c r="I80" s="123">
        <v>2</v>
      </c>
      <c r="J80" s="124">
        <f t="shared" si="10"/>
        <v>1.4285714285714285E-2</v>
      </c>
      <c r="K80" s="120">
        <f t="shared" si="11"/>
        <v>7.1428571428571426E-3</v>
      </c>
    </row>
    <row r="82" spans="1:11" ht="16.8" thickBot="1" x14ac:dyDescent="0.35"/>
    <row r="83" spans="1:11" ht="16.8" thickBot="1" x14ac:dyDescent="0.35">
      <c r="A83" s="125" t="s">
        <v>294</v>
      </c>
    </row>
    <row r="84" spans="1:11" ht="16.8" thickBot="1" x14ac:dyDescent="0.35">
      <c r="A84" s="95" t="s">
        <v>280</v>
      </c>
      <c r="B84" s="142">
        <f>$B2</f>
        <v>344064000</v>
      </c>
      <c r="C84" s="142"/>
      <c r="D84" s="142"/>
      <c r="E84" s="142"/>
      <c r="F84" s="142"/>
      <c r="G84" s="7"/>
      <c r="H84" s="106"/>
      <c r="I84" s="107" t="s">
        <v>281</v>
      </c>
      <c r="J84" s="108">
        <f>SUM(J86:J120)</f>
        <v>3.3015494791666669</v>
      </c>
      <c r="K84" s="128">
        <f>SUM(K86:K121)</f>
        <v>0.43939285714285709</v>
      </c>
    </row>
    <row r="85" spans="1:11" ht="33" thickBot="1" x14ac:dyDescent="0.35">
      <c r="A85" s="109" t="s">
        <v>233</v>
      </c>
      <c r="B85" s="110" t="s">
        <v>234</v>
      </c>
      <c r="C85" s="110" t="s">
        <v>235</v>
      </c>
      <c r="D85" s="110" t="s">
        <v>236</v>
      </c>
      <c r="E85" s="110" t="s">
        <v>237</v>
      </c>
      <c r="F85" s="110" t="s">
        <v>238</v>
      </c>
      <c r="G85" s="111" t="s">
        <v>239</v>
      </c>
      <c r="H85" s="112" t="s">
        <v>240</v>
      </c>
      <c r="I85" s="113" t="s">
        <v>241</v>
      </c>
      <c r="J85" s="114" t="s">
        <v>242</v>
      </c>
      <c r="K85" s="115" t="s">
        <v>243</v>
      </c>
    </row>
    <row r="86" spans="1:11" x14ac:dyDescent="0.3">
      <c r="A86" s="116" t="s">
        <v>244</v>
      </c>
      <c r="B86" s="117">
        <f>VLOOKUP(MID($A86,1,2),'Free Spins Symbol'!$T$2:$Z$29,3,0)</f>
        <v>18</v>
      </c>
      <c r="C86" s="129">
        <f>'Free Spins Symbol'!$W$18</f>
        <v>56</v>
      </c>
      <c r="D86" s="117">
        <f>VLOOKUP(MID($A86,7,2),'Free Spins Symbol'!$T$2:$Z$29,5,0)</f>
        <v>0</v>
      </c>
      <c r="E86" s="117">
        <f>VLOOKUP(MID($A86,10,2),'Free Spins Symbol'!$T$2:$Z$29,6,0)</f>
        <v>0</v>
      </c>
      <c r="F86" s="117">
        <f>VLOOKUP(MID($A86,13,2),'Free Spins Symbol'!$T$2:$Z$29,7,0)</f>
        <v>0</v>
      </c>
      <c r="G86" s="100">
        <f>B86*C86*D86*E86*F86</f>
        <v>0</v>
      </c>
      <c r="H86" s="118" t="e">
        <f>B$2/G86</f>
        <v>#DIV/0!</v>
      </c>
      <c r="I86" s="100">
        <v>500</v>
      </c>
      <c r="J86" s="119">
        <f t="shared" ref="J86:J90" si="13">K86*I86</f>
        <v>0</v>
      </c>
      <c r="K86" s="120">
        <f>G86/B$2</f>
        <v>0</v>
      </c>
    </row>
    <row r="87" spans="1:11" x14ac:dyDescent="0.3">
      <c r="A87" s="116" t="s">
        <v>245</v>
      </c>
      <c r="B87" s="117">
        <f>VLOOKUP(MID($A87,1,2),'Free Spins Symbol'!$T$2:$Z$29,3,0)</f>
        <v>20</v>
      </c>
      <c r="C87" s="129">
        <f>'Free Spins Symbol'!$W$18</f>
        <v>56</v>
      </c>
      <c r="D87" s="117">
        <f>VLOOKUP(MID($A87,7,2),'Free Spins Symbol'!$T$2:$Z$29,5,0)</f>
        <v>2</v>
      </c>
      <c r="E87" s="117">
        <f>VLOOKUP(MID($A87,10,2),'Free Spins Symbol'!$T$2:$Z$29,6,0)</f>
        <v>1</v>
      </c>
      <c r="F87" s="117">
        <f>VLOOKUP(MID($A87,13,2),'Free Spins Symbol'!$T$2:$Z$29,7,0)</f>
        <v>1</v>
      </c>
      <c r="G87" s="100">
        <f>B87*C87*D87*E87*F87-G86</f>
        <v>2240</v>
      </c>
      <c r="H87" s="118">
        <f t="shared" ref="H87:H121" si="14">B$2/G87</f>
        <v>153600</v>
      </c>
      <c r="I87" s="100">
        <v>250</v>
      </c>
      <c r="J87" s="119">
        <f t="shared" si="13"/>
        <v>1.6276041666666667E-3</v>
      </c>
      <c r="K87" s="120">
        <f t="shared" ref="K87:K90" si="15">G87/B$2</f>
        <v>6.5104166666666671E-6</v>
      </c>
    </row>
    <row r="88" spans="1:11" x14ac:dyDescent="0.3">
      <c r="A88" s="116" t="s">
        <v>246</v>
      </c>
      <c r="B88" s="117">
        <f>VLOOKUP(MID($A88,1,2),'Free Spins Symbol'!$T$2:$Z$29,3,0)</f>
        <v>22</v>
      </c>
      <c r="C88" s="129">
        <f>'Free Spins Symbol'!$W$18</f>
        <v>56</v>
      </c>
      <c r="D88" s="117">
        <f>VLOOKUP(MID($A88,7,2),'Free Spins Symbol'!$T$2:$Z$29,5,0)</f>
        <v>3</v>
      </c>
      <c r="E88" s="117">
        <f>VLOOKUP(MID($A88,10,2),'Free Spins Symbol'!$T$2:$Z$29,6,0)</f>
        <v>1</v>
      </c>
      <c r="F88" s="117">
        <f>VLOOKUP(MID($A88,13,2),'Free Spins Symbol'!$T$2:$Z$29,7,0)</f>
        <v>1</v>
      </c>
      <c r="G88" s="100">
        <f>B88*C88*D88*E88*F88-G86</f>
        <v>3696</v>
      </c>
      <c r="H88" s="118">
        <f t="shared" si="14"/>
        <v>93090.909090909088</v>
      </c>
      <c r="I88" s="100">
        <v>250</v>
      </c>
      <c r="J88" s="119">
        <f t="shared" si="13"/>
        <v>2.685546875E-3</v>
      </c>
      <c r="K88" s="120">
        <f t="shared" si="15"/>
        <v>1.0742187499999999E-5</v>
      </c>
    </row>
    <row r="89" spans="1:11" x14ac:dyDescent="0.3">
      <c r="A89" s="116" t="s">
        <v>247</v>
      </c>
      <c r="B89" s="117">
        <f>VLOOKUP(MID($A89,1,2),'Free Spins Symbol'!$T$2:$Z$29,3,0)</f>
        <v>24</v>
      </c>
      <c r="C89" s="129">
        <f>'Free Spins Symbol'!$W$18</f>
        <v>56</v>
      </c>
      <c r="D89" s="117">
        <f>VLOOKUP(MID($A89,7,2),'Free Spins Symbol'!$T$2:$Z$29,5,0)</f>
        <v>2</v>
      </c>
      <c r="E89" s="117">
        <f>VLOOKUP(MID($A89,10,2),'Free Spins Symbol'!$T$2:$Z$29,6,0)</f>
        <v>1</v>
      </c>
      <c r="F89" s="117">
        <f>VLOOKUP(MID($A89,13,2),'Free Spins Symbol'!$T$2:$Z$29,7,0)</f>
        <v>5</v>
      </c>
      <c r="G89" s="100">
        <f>B89*C89*D89*E89*F89-G86</f>
        <v>13440</v>
      </c>
      <c r="H89" s="118">
        <f t="shared" si="14"/>
        <v>25600</v>
      </c>
      <c r="I89" s="100">
        <v>150</v>
      </c>
      <c r="J89" s="119">
        <f t="shared" si="13"/>
        <v>5.859375E-3</v>
      </c>
      <c r="K89" s="120">
        <f t="shared" si="15"/>
        <v>3.9062500000000001E-5</v>
      </c>
    </row>
    <row r="90" spans="1:11" x14ac:dyDescent="0.3">
      <c r="A90" s="116" t="s">
        <v>248</v>
      </c>
      <c r="B90" s="117">
        <f>VLOOKUP(MID($A90,1,2),'Free Spins Symbol'!$T$2:$Z$29,3,0)</f>
        <v>24</v>
      </c>
      <c r="C90" s="129">
        <f>'Free Spins Symbol'!$W$18</f>
        <v>56</v>
      </c>
      <c r="D90" s="117">
        <f>VLOOKUP(MID($A90,7,2),'Free Spins Symbol'!$T$2:$Z$29,5,0)</f>
        <v>2</v>
      </c>
      <c r="E90" s="117">
        <f>VLOOKUP(MID($A90,10,2),'Free Spins Symbol'!$T$2:$Z$29,6,0)</f>
        <v>1</v>
      </c>
      <c r="F90" s="117">
        <f>VLOOKUP(MID($A90,13,2),'Free Spins Symbol'!$T$2:$Z$29,7,0)</f>
        <v>5</v>
      </c>
      <c r="G90" s="100">
        <f>B90*C90*D90*E90*F90-G86</f>
        <v>13440</v>
      </c>
      <c r="H90" s="118">
        <f t="shared" si="14"/>
        <v>25600</v>
      </c>
      <c r="I90" s="100">
        <v>150</v>
      </c>
      <c r="J90" s="119">
        <f t="shared" si="13"/>
        <v>5.859375E-3</v>
      </c>
      <c r="K90" s="120">
        <f t="shared" si="15"/>
        <v>3.9062500000000001E-5</v>
      </c>
    </row>
    <row r="91" spans="1:11" x14ac:dyDescent="0.3">
      <c r="A91" s="116" t="s">
        <v>254</v>
      </c>
      <c r="B91" s="117">
        <f>VLOOKUP(MID($A91,1,2),'Free Spins Symbol'!$T$2:$Z$29,3,0)</f>
        <v>18</v>
      </c>
      <c r="C91" s="129">
        <f>'Free Spins Symbol'!$W$18</f>
        <v>56</v>
      </c>
      <c r="D91" s="117">
        <f>VLOOKUP(MID($A91,7,2),'Free Spins Symbol'!$T$2:$Z$29,5,0)</f>
        <v>0</v>
      </c>
      <c r="E91" s="117">
        <f>VLOOKUP(MID($A91,10,2),'Free Spins Symbol'!$T$2:$Z$29,6,0)</f>
        <v>0</v>
      </c>
      <c r="F91" s="117">
        <f>VLOOKUP(MID($A91,13,2),'Free Spins Symbol'!$T$2:$Z$29,7,0)</f>
        <v>48</v>
      </c>
      <c r="G91" s="100">
        <f>B91*C91*D91*E91*(F91-F90-F89-F88-F87+3*F86)</f>
        <v>0</v>
      </c>
      <c r="H91" s="118" t="e">
        <f t="shared" si="14"/>
        <v>#DIV/0!</v>
      </c>
      <c r="I91" s="100">
        <v>100</v>
      </c>
      <c r="J91" s="119">
        <f>K91*I91</f>
        <v>0</v>
      </c>
      <c r="K91" s="120">
        <f>G91/B$2</f>
        <v>0</v>
      </c>
    </row>
    <row r="92" spans="1:11" x14ac:dyDescent="0.3">
      <c r="A92" s="116" t="s">
        <v>249</v>
      </c>
      <c r="B92" s="117">
        <f>VLOOKUP(MID($A92,1,2),'Free Spins Symbol'!$T$2:$Z$29,3,0)</f>
        <v>38</v>
      </c>
      <c r="C92" s="129">
        <f>'Free Spins Symbol'!$W$18</f>
        <v>56</v>
      </c>
      <c r="D92" s="117">
        <f>VLOOKUP(MID($A92,7,2),'Free Spins Symbol'!$T$2:$Z$29,5,0)</f>
        <v>1</v>
      </c>
      <c r="E92" s="117">
        <f>VLOOKUP(MID($A92,10,2),'Free Spins Symbol'!$T$2:$Z$29,6,0)</f>
        <v>7</v>
      </c>
      <c r="F92" s="117">
        <f>VLOOKUP(MID($A92,13,2),'Free Spins Symbol'!$T$2:$Z$29,7,0)</f>
        <v>2</v>
      </c>
      <c r="G92" s="100">
        <f>B92*C92*D92*E92*F92-G86</f>
        <v>29792</v>
      </c>
      <c r="H92" s="118">
        <f t="shared" si="14"/>
        <v>11548.872180451128</v>
      </c>
      <c r="I92" s="100">
        <v>100</v>
      </c>
      <c r="J92" s="119">
        <f t="shared" ref="J92:J100" si="16">K92*I92</f>
        <v>8.6588541666666671E-3</v>
      </c>
      <c r="K92" s="120">
        <f t="shared" ref="K92:K100" si="17">G92/B$2</f>
        <v>8.6588541666666671E-5</v>
      </c>
    </row>
    <row r="93" spans="1:11" x14ac:dyDescent="0.3">
      <c r="A93" s="116" t="s">
        <v>250</v>
      </c>
      <c r="B93" s="117">
        <f>VLOOKUP(MID($A93,1,2),'Free Spins Symbol'!$T$2:$Z$29,3,0)</f>
        <v>35</v>
      </c>
      <c r="C93" s="129">
        <f>'Free Spins Symbol'!$W$18</f>
        <v>56</v>
      </c>
      <c r="D93" s="117">
        <f>VLOOKUP(MID($A93,7,2),'Free Spins Symbol'!$T$2:$Z$29,5,0)</f>
        <v>9</v>
      </c>
      <c r="E93" s="117">
        <f>VLOOKUP(MID($A93,10,2),'Free Spins Symbol'!$T$2:$Z$29,6,0)</f>
        <v>1</v>
      </c>
      <c r="F93" s="117">
        <f>VLOOKUP(MID($A93,13,2),'Free Spins Symbol'!$T$2:$Z$29,7,0)</f>
        <v>11</v>
      </c>
      <c r="G93" s="100">
        <f>B93*C93*D93*E93*F93-G86</f>
        <v>194040</v>
      </c>
      <c r="H93" s="118">
        <f t="shared" si="14"/>
        <v>1773.1601731601731</v>
      </c>
      <c r="I93" s="100">
        <v>100</v>
      </c>
      <c r="J93" s="119">
        <f t="shared" si="16"/>
        <v>5.6396484375E-2</v>
      </c>
      <c r="K93" s="120">
        <f t="shared" si="17"/>
        <v>5.6396484375000001E-4</v>
      </c>
    </row>
    <row r="94" spans="1:11" x14ac:dyDescent="0.3">
      <c r="A94" s="116" t="s">
        <v>251</v>
      </c>
      <c r="B94" s="117">
        <f>VLOOKUP(MID($A94,1,2),'Free Spins Symbol'!$T$2:$Z$29,3,0)</f>
        <v>28</v>
      </c>
      <c r="C94" s="129">
        <f>'Free Spins Symbol'!$W$18</f>
        <v>56</v>
      </c>
      <c r="D94" s="117">
        <f>VLOOKUP(MID($A94,7,2),'Free Spins Symbol'!$T$2:$Z$29,5,0)</f>
        <v>9</v>
      </c>
      <c r="E94" s="117">
        <f>VLOOKUP(MID($A94,10,2),'Free Spins Symbol'!$T$2:$Z$29,6,0)</f>
        <v>1</v>
      </c>
      <c r="F94" s="117">
        <f>VLOOKUP(MID($A94,13,2),'Free Spins Symbol'!$T$2:$Z$29,7,0)</f>
        <v>1</v>
      </c>
      <c r="G94" s="100">
        <f>B94*C94*D94*E94*F94-G86</f>
        <v>14112</v>
      </c>
      <c r="H94" s="118">
        <f t="shared" si="14"/>
        <v>24380.952380952382</v>
      </c>
      <c r="I94" s="100">
        <v>100</v>
      </c>
      <c r="J94" s="119">
        <f t="shared" si="16"/>
        <v>4.1015625000000002E-3</v>
      </c>
      <c r="K94" s="120">
        <f t="shared" si="17"/>
        <v>4.1015625000000003E-5</v>
      </c>
    </row>
    <row r="95" spans="1:11" x14ac:dyDescent="0.3">
      <c r="A95" s="116" t="s">
        <v>252</v>
      </c>
      <c r="B95" s="117">
        <f>VLOOKUP(MID($A95,1,2),'Free Spins Symbol'!$T$2:$Z$29,3,0)</f>
        <v>34</v>
      </c>
      <c r="C95" s="129">
        <f>'Free Spins Symbol'!$W$18</f>
        <v>56</v>
      </c>
      <c r="D95" s="117">
        <f>VLOOKUP(MID($A95,7,2),'Free Spins Symbol'!$T$2:$Z$29,5,0)</f>
        <v>1</v>
      </c>
      <c r="E95" s="117">
        <f>VLOOKUP(MID($A95,10,2),'Free Spins Symbol'!$T$2:$Z$29,6,0)</f>
        <v>8</v>
      </c>
      <c r="F95" s="117">
        <f>VLOOKUP(MID($A95,13,2),'Free Spins Symbol'!$T$2:$Z$29,7,0)</f>
        <v>11</v>
      </c>
      <c r="G95" s="100">
        <f>(B95*C95*D95*E95-B91*C91*D91*E91)*F95</f>
        <v>167552</v>
      </c>
      <c r="H95" s="118">
        <f t="shared" si="14"/>
        <v>2053.475935828877</v>
      </c>
      <c r="I95" s="100">
        <v>100</v>
      </c>
      <c r="J95" s="119">
        <f t="shared" si="16"/>
        <v>4.8697916666666667E-2</v>
      </c>
      <c r="K95" s="120">
        <f t="shared" si="17"/>
        <v>4.8697916666666665E-4</v>
      </c>
    </row>
    <row r="96" spans="1:11" x14ac:dyDescent="0.3">
      <c r="A96" s="116" t="s">
        <v>253</v>
      </c>
      <c r="B96" s="117">
        <f>VLOOKUP(MID($A96,1,2),'Free Spins Symbol'!$T$2:$Z$29,3,0)</f>
        <v>19</v>
      </c>
      <c r="C96" s="129">
        <f>'Free Spins Symbol'!$W$18</f>
        <v>56</v>
      </c>
      <c r="D96" s="117">
        <f>VLOOKUP(MID($A96,7,2),'Free Spins Symbol'!$T$2:$Z$29,5,0)</f>
        <v>10</v>
      </c>
      <c r="E96" s="117">
        <f>VLOOKUP(MID($A96,10,2),'Free Spins Symbol'!$T$2:$Z$29,6,0)</f>
        <v>7</v>
      </c>
      <c r="F96" s="117">
        <f>VLOOKUP(MID($A96,13,2),'Free Spins Symbol'!$T$2:$Z$29,7,0)</f>
        <v>11</v>
      </c>
      <c r="G96" s="100">
        <f>B96*C96*D96*E96*F96-G86</f>
        <v>819280</v>
      </c>
      <c r="H96" s="118">
        <f t="shared" si="14"/>
        <v>419.95898838004103</v>
      </c>
      <c r="I96" s="100">
        <v>100</v>
      </c>
      <c r="J96" s="119">
        <f t="shared" si="16"/>
        <v>0.23811848958333334</v>
      </c>
      <c r="K96" s="120">
        <f t="shared" si="17"/>
        <v>2.3811848958333335E-3</v>
      </c>
    </row>
    <row r="97" spans="1:11" x14ac:dyDescent="0.3">
      <c r="A97" s="116" t="s">
        <v>255</v>
      </c>
      <c r="B97" s="117">
        <f>VLOOKUP(MID($A97,1,2),'Free Spins Symbol'!$T$2:$Z$29,3,0)</f>
        <v>20</v>
      </c>
      <c r="C97" s="129">
        <f>'Free Spins Symbol'!$W$18</f>
        <v>56</v>
      </c>
      <c r="D97" s="117">
        <f>VLOOKUP(MID($A97,7,2),'Free Spins Symbol'!$T$2:$Z$29,5,0)</f>
        <v>2</v>
      </c>
      <c r="E97" s="117">
        <f>VLOOKUP(MID($A97,10,2),'Free Spins Symbol'!$T$2:$Z$29,6,0)</f>
        <v>1</v>
      </c>
      <c r="F97" s="117">
        <f>VLOOKUP(MID($A97,13,2),'Free Spins Symbol'!$T$2:$Z$29,7,0)</f>
        <v>48</v>
      </c>
      <c r="G97" s="100">
        <f>(B97*C97*D97*E97-B91*C91*D91*E91)*(F97-F87)</f>
        <v>105280</v>
      </c>
      <c r="H97" s="118">
        <f t="shared" si="14"/>
        <v>3268.0851063829787</v>
      </c>
      <c r="I97" s="100">
        <v>50</v>
      </c>
      <c r="J97" s="119">
        <f t="shared" si="16"/>
        <v>1.5299479166666668E-2</v>
      </c>
      <c r="K97" s="120">
        <f t="shared" si="17"/>
        <v>3.0598958333333335E-4</v>
      </c>
    </row>
    <row r="98" spans="1:11" x14ac:dyDescent="0.3">
      <c r="A98" s="116" t="s">
        <v>256</v>
      </c>
      <c r="B98" s="117">
        <f>VLOOKUP(MID($A98,1,2),'Free Spins Symbol'!$T$2:$Z$29,3,0)</f>
        <v>22</v>
      </c>
      <c r="C98" s="129">
        <f>'Free Spins Symbol'!$W$18</f>
        <v>56</v>
      </c>
      <c r="D98" s="117">
        <f>VLOOKUP(MID($A98,7,2),'Free Spins Symbol'!$T$2:$Z$29,5,0)</f>
        <v>3</v>
      </c>
      <c r="E98" s="117">
        <f>VLOOKUP(MID($A98,10,2),'Free Spins Symbol'!$T$2:$Z$29,6,0)</f>
        <v>1</v>
      </c>
      <c r="F98" s="117">
        <f>VLOOKUP(MID($A98,13,2),'Free Spins Symbol'!$T$2:$Z$29,7,0)</f>
        <v>48</v>
      </c>
      <c r="G98" s="100">
        <f>(B98*C98*D98*E98-B91*C91*D91*E91)*(F98-F88)</f>
        <v>173712</v>
      </c>
      <c r="H98" s="118">
        <f t="shared" si="14"/>
        <v>1980.6576402321084</v>
      </c>
      <c r="I98" s="100">
        <v>50</v>
      </c>
      <c r="J98" s="119">
        <f t="shared" si="16"/>
        <v>2.5244140625000001E-2</v>
      </c>
      <c r="K98" s="120">
        <f t="shared" si="17"/>
        <v>5.0488281250000001E-4</v>
      </c>
    </row>
    <row r="99" spans="1:11" x14ac:dyDescent="0.3">
      <c r="A99" s="116" t="s">
        <v>257</v>
      </c>
      <c r="B99" s="117">
        <f>VLOOKUP(MID($A99,1,2),'Free Spins Symbol'!$T$2:$Z$29,3,0)</f>
        <v>24</v>
      </c>
      <c r="C99" s="129">
        <f>'Free Spins Symbol'!$W$18</f>
        <v>56</v>
      </c>
      <c r="D99" s="117">
        <f>VLOOKUP(MID($A99,7,2),'Free Spins Symbol'!$T$2:$Z$29,5,0)</f>
        <v>2</v>
      </c>
      <c r="E99" s="117">
        <f>VLOOKUP(MID($A99,10,2),'Free Spins Symbol'!$T$2:$Z$29,6,0)</f>
        <v>1</v>
      </c>
      <c r="F99" s="117">
        <f>VLOOKUP(MID($A99,13,2),'Free Spins Symbol'!$T$2:$Z$29,7,0)</f>
        <v>48</v>
      </c>
      <c r="G99" s="100">
        <f>(B99*C99*D99*E99-B91*C91*D91*E91)*(F99-F89)</f>
        <v>115584</v>
      </c>
      <c r="H99" s="118">
        <f t="shared" si="14"/>
        <v>2976.7441860465115</v>
      </c>
      <c r="I99" s="100">
        <v>30</v>
      </c>
      <c r="J99" s="119">
        <f t="shared" si="16"/>
        <v>1.0078124999999999E-2</v>
      </c>
      <c r="K99" s="120">
        <f t="shared" si="17"/>
        <v>3.3593749999999997E-4</v>
      </c>
    </row>
    <row r="100" spans="1:11" x14ac:dyDescent="0.3">
      <c r="A100" s="116" t="s">
        <v>258</v>
      </c>
      <c r="B100" s="117">
        <f>VLOOKUP(MID($A100,1,2),'Free Spins Symbol'!$T$2:$Z$29,3,0)</f>
        <v>24</v>
      </c>
      <c r="C100" s="129">
        <f>'Free Spins Symbol'!$W$18</f>
        <v>56</v>
      </c>
      <c r="D100" s="117">
        <f>VLOOKUP(MID($A100,7,2),'Free Spins Symbol'!$T$2:$Z$29,5,0)</f>
        <v>2</v>
      </c>
      <c r="E100" s="117">
        <f>VLOOKUP(MID($A100,10,2),'Free Spins Symbol'!$T$2:$Z$29,6,0)</f>
        <v>1</v>
      </c>
      <c r="F100" s="117">
        <f>VLOOKUP(MID($A100,13,2),'Free Spins Symbol'!$T$2:$Z$29,7,0)</f>
        <v>48</v>
      </c>
      <c r="G100" s="100">
        <f>(B100*C100*D100*E100-B91*C91*D91*E91)*(F100-F90)</f>
        <v>115584</v>
      </c>
      <c r="H100" s="118">
        <f t="shared" si="14"/>
        <v>2976.7441860465115</v>
      </c>
      <c r="I100" s="100">
        <v>30</v>
      </c>
      <c r="J100" s="119">
        <f t="shared" si="16"/>
        <v>1.0078124999999999E-2</v>
      </c>
      <c r="K100" s="120">
        <f t="shared" si="17"/>
        <v>3.3593749999999997E-4</v>
      </c>
    </row>
    <row r="101" spans="1:11" x14ac:dyDescent="0.3">
      <c r="A101" s="116" t="s">
        <v>264</v>
      </c>
      <c r="B101" s="117">
        <f>VLOOKUP(MID($A101,1,2),'Free Spins Symbol'!$T$2:$Z$29,3,0)</f>
        <v>18</v>
      </c>
      <c r="C101" s="129">
        <f>'Free Spins Symbol'!$W$18</f>
        <v>56</v>
      </c>
      <c r="D101" s="117">
        <f>VLOOKUP(MID($A101,7,2),'Free Spins Symbol'!$T$2:$Z$29,5,0)</f>
        <v>0</v>
      </c>
      <c r="E101" s="117">
        <f>VLOOKUP(MID($A101,10,2),'Free Spins Symbol'!$T$2:$Z$29,6,0)</f>
        <v>32</v>
      </c>
      <c r="F101" s="117">
        <f>VLOOKUP(MID($A101,13,2),'Free Spins Symbol'!$T$2:$Z$29,7,0)</f>
        <v>48</v>
      </c>
      <c r="G101" s="100">
        <f>(B101*C101*D101)*(E101*F101-(E100+E99+E98+E97-3*E91)*F91-(E96-E91)*F96-(E95-E91)*F95-(E94-E91)*F94-(E93-E91)*F93-(E92-E91)*F92)</f>
        <v>0</v>
      </c>
      <c r="H101" s="118" t="e">
        <f t="shared" si="14"/>
        <v>#DIV/0!</v>
      </c>
      <c r="I101" s="100">
        <v>20</v>
      </c>
      <c r="J101" s="119">
        <f>K101*I101</f>
        <v>0</v>
      </c>
      <c r="K101" s="120">
        <f>G101/B$2</f>
        <v>0</v>
      </c>
    </row>
    <row r="102" spans="1:11" x14ac:dyDescent="0.3">
      <c r="A102" s="116" t="s">
        <v>259</v>
      </c>
      <c r="B102" s="117">
        <f>VLOOKUP(MID($A102,1,2),'Free Spins Symbol'!$T$2:$Z$29,3,0)</f>
        <v>38</v>
      </c>
      <c r="C102" s="129">
        <f>'Free Spins Symbol'!$W$18</f>
        <v>56</v>
      </c>
      <c r="D102" s="117">
        <f>VLOOKUP(MID($A102,7,2),'Free Spins Symbol'!$T$2:$Z$29,5,0)</f>
        <v>1</v>
      </c>
      <c r="E102" s="117">
        <f>VLOOKUP(MID($A102,10,2),'Free Spins Symbol'!$T$2:$Z$29,6,0)</f>
        <v>7</v>
      </c>
      <c r="F102" s="117">
        <f>VLOOKUP(MID($A102,13,2),'Free Spins Symbol'!$T$2:$Z$29,7,0)</f>
        <v>48</v>
      </c>
      <c r="G102" s="100">
        <f>B102*C102*D102*E102*(F102-F92)</f>
        <v>685216</v>
      </c>
      <c r="H102" s="118">
        <f t="shared" si="14"/>
        <v>502.1248774109186</v>
      </c>
      <c r="I102" s="100">
        <v>20</v>
      </c>
      <c r="J102" s="119">
        <f t="shared" ref="J102:J121" si="18">K102*I102</f>
        <v>3.9830729166666669E-2</v>
      </c>
      <c r="K102" s="120">
        <f t="shared" ref="K102:K121" si="19">G102/B$2</f>
        <v>1.9915364583333334E-3</v>
      </c>
    </row>
    <row r="103" spans="1:11" x14ac:dyDescent="0.3">
      <c r="A103" s="116" t="s">
        <v>260</v>
      </c>
      <c r="B103" s="117">
        <f>VLOOKUP(MID($A103,1,2),'Free Spins Symbol'!$T$2:$Z$29,3,0)</f>
        <v>35</v>
      </c>
      <c r="C103" s="129">
        <f>'Free Spins Symbol'!$W$18</f>
        <v>56</v>
      </c>
      <c r="D103" s="117">
        <f>VLOOKUP(MID($A103,7,2),'Free Spins Symbol'!$T$2:$Z$29,5,0)</f>
        <v>9</v>
      </c>
      <c r="E103" s="117">
        <f>VLOOKUP(MID($A103,10,2),'Free Spins Symbol'!$T$2:$Z$29,6,0)</f>
        <v>1</v>
      </c>
      <c r="F103" s="117">
        <f>VLOOKUP(MID($A103,13,2),'Free Spins Symbol'!$T$2:$Z$29,7,0)</f>
        <v>48</v>
      </c>
      <c r="G103" s="100">
        <f t="shared" ref="G103:G106" si="20">B103*C103*D103*E103*(F103-F93)</f>
        <v>652680</v>
      </c>
      <c r="H103" s="118">
        <f t="shared" si="14"/>
        <v>527.15572715572716</v>
      </c>
      <c r="I103" s="100">
        <v>20</v>
      </c>
      <c r="J103" s="119">
        <f t="shared" si="18"/>
        <v>3.7939453124999994E-2</v>
      </c>
      <c r="K103" s="120">
        <f t="shared" si="19"/>
        <v>1.8969726562499999E-3</v>
      </c>
    </row>
    <row r="104" spans="1:11" x14ac:dyDescent="0.3">
      <c r="A104" s="116" t="s">
        <v>261</v>
      </c>
      <c r="B104" s="117">
        <f>VLOOKUP(MID($A104,1,2),'Free Spins Symbol'!$T$2:$Z$29,3,0)</f>
        <v>28</v>
      </c>
      <c r="C104" s="129">
        <f>'Free Spins Symbol'!$W$18</f>
        <v>56</v>
      </c>
      <c r="D104" s="117">
        <f>VLOOKUP(MID($A104,7,2),'Free Spins Symbol'!$T$2:$Z$29,5,0)</f>
        <v>9</v>
      </c>
      <c r="E104" s="117">
        <f>VLOOKUP(MID($A104,10,2),'Free Spins Symbol'!$T$2:$Z$29,6,0)</f>
        <v>1</v>
      </c>
      <c r="F104" s="117">
        <f>VLOOKUP(MID($A104,13,2),'Free Spins Symbol'!$T$2:$Z$29,7,0)</f>
        <v>48</v>
      </c>
      <c r="G104" s="100">
        <f t="shared" si="20"/>
        <v>663264</v>
      </c>
      <c r="H104" s="118">
        <f t="shared" si="14"/>
        <v>518.74366767983793</v>
      </c>
      <c r="I104" s="100">
        <v>20</v>
      </c>
      <c r="J104" s="119">
        <f t="shared" si="18"/>
        <v>3.8554687499999997E-2</v>
      </c>
      <c r="K104" s="120">
        <f t="shared" si="19"/>
        <v>1.927734375E-3</v>
      </c>
    </row>
    <row r="105" spans="1:11" x14ac:dyDescent="0.3">
      <c r="A105" s="116" t="s">
        <v>262</v>
      </c>
      <c r="B105" s="117">
        <f>VLOOKUP(MID($A105,1,2),'Free Spins Symbol'!$T$2:$Z$29,3,0)</f>
        <v>34</v>
      </c>
      <c r="C105" s="129">
        <f>'Free Spins Symbol'!$W$18</f>
        <v>56</v>
      </c>
      <c r="D105" s="117">
        <f>VLOOKUP(MID($A105,7,2),'Free Spins Symbol'!$T$2:$Z$29,5,0)</f>
        <v>1</v>
      </c>
      <c r="E105" s="117">
        <f>VLOOKUP(MID($A105,10,2),'Free Spins Symbol'!$T$2:$Z$29,6,0)</f>
        <v>8</v>
      </c>
      <c r="F105" s="117">
        <f>VLOOKUP(MID($A105,13,2),'Free Spins Symbol'!$T$2:$Z$29,7,0)</f>
        <v>48</v>
      </c>
      <c r="G105" s="100">
        <f t="shared" si="20"/>
        <v>563584</v>
      </c>
      <c r="H105" s="118">
        <f t="shared" si="14"/>
        <v>610.49284578696347</v>
      </c>
      <c r="I105" s="100">
        <v>20</v>
      </c>
      <c r="J105" s="119">
        <f t="shared" si="18"/>
        <v>3.2760416666666667E-2</v>
      </c>
      <c r="K105" s="120">
        <f t="shared" si="19"/>
        <v>1.6380208333333333E-3</v>
      </c>
    </row>
    <row r="106" spans="1:11" x14ac:dyDescent="0.3">
      <c r="A106" s="116" t="s">
        <v>263</v>
      </c>
      <c r="B106" s="117">
        <f>VLOOKUP(MID($A106,1,2),'Free Spins Symbol'!$T$2:$Z$29,3,0)</f>
        <v>19</v>
      </c>
      <c r="C106" s="129">
        <f>'Free Spins Symbol'!$W$18</f>
        <v>56</v>
      </c>
      <c r="D106" s="117">
        <f>VLOOKUP(MID($A106,7,2),'Free Spins Symbol'!$T$2:$Z$29,5,0)</f>
        <v>10</v>
      </c>
      <c r="E106" s="117">
        <f>VLOOKUP(MID($A106,10,2),'Free Spins Symbol'!$T$2:$Z$29,6,0)</f>
        <v>7</v>
      </c>
      <c r="F106" s="117">
        <f>VLOOKUP(MID($A106,13,2),'Free Spins Symbol'!$T$2:$Z$29,7,0)</f>
        <v>48</v>
      </c>
      <c r="G106" s="100">
        <f t="shared" si="20"/>
        <v>2755760</v>
      </c>
      <c r="H106" s="118">
        <f t="shared" si="14"/>
        <v>124.85267222109327</v>
      </c>
      <c r="I106" s="100">
        <v>20</v>
      </c>
      <c r="J106" s="119">
        <f t="shared" si="18"/>
        <v>0.16018880208333333</v>
      </c>
      <c r="K106" s="120">
        <f t="shared" si="19"/>
        <v>8.0094401041666662E-3</v>
      </c>
    </row>
    <row r="107" spans="1:11" x14ac:dyDescent="0.3">
      <c r="A107" s="116" t="s">
        <v>265</v>
      </c>
      <c r="B107" s="117">
        <f>VLOOKUP(MID($A107,1,2),'Free Spins Symbol'!$T$2:$Z$29,3,0)</f>
        <v>20</v>
      </c>
      <c r="C107" s="129">
        <f>'Free Spins Symbol'!$W$18</f>
        <v>56</v>
      </c>
      <c r="D107" s="117">
        <f>VLOOKUP(MID($A107,7,2),'Free Spins Symbol'!$T$2:$Z$29,5,0)</f>
        <v>2</v>
      </c>
      <c r="E107" s="117">
        <f>VLOOKUP(MID($A107,10,2),'Free Spins Symbol'!$T$2:$Z$29,6,0)</f>
        <v>32</v>
      </c>
      <c r="F107" s="117">
        <f>VLOOKUP(MID($A107,13,2),'Free Spins Symbol'!$T$2:$Z$29,7,0)</f>
        <v>48</v>
      </c>
      <c r="G107" s="100">
        <f>(B107*C107*D107)*(E107-E97)*F107</f>
        <v>3333120</v>
      </c>
      <c r="H107" s="118">
        <f t="shared" si="14"/>
        <v>103.2258064516129</v>
      </c>
      <c r="I107" s="100">
        <v>20</v>
      </c>
      <c r="J107" s="119">
        <f t="shared" si="18"/>
        <v>0.19375000000000001</v>
      </c>
      <c r="K107" s="120">
        <f t="shared" si="19"/>
        <v>9.6874999999999999E-3</v>
      </c>
    </row>
    <row r="108" spans="1:11" x14ac:dyDescent="0.3">
      <c r="A108" s="116" t="s">
        <v>266</v>
      </c>
      <c r="B108" s="117">
        <f>VLOOKUP(MID($A108,1,2),'Free Spins Symbol'!$T$2:$Z$29,3,0)</f>
        <v>22</v>
      </c>
      <c r="C108" s="129">
        <f>'Free Spins Symbol'!$W$18</f>
        <v>56</v>
      </c>
      <c r="D108" s="117">
        <f>VLOOKUP(MID($A108,7,2),'Free Spins Symbol'!$T$2:$Z$29,5,0)</f>
        <v>3</v>
      </c>
      <c r="E108" s="117">
        <f>VLOOKUP(MID($A108,10,2),'Free Spins Symbol'!$T$2:$Z$29,6,0)</f>
        <v>32</v>
      </c>
      <c r="F108" s="117">
        <f>VLOOKUP(MID($A108,13,2),'Free Spins Symbol'!$T$2:$Z$29,7,0)</f>
        <v>48</v>
      </c>
      <c r="G108" s="100">
        <f>(B108*C108*D108)*(E108-E98)*F108</f>
        <v>5499648</v>
      </c>
      <c r="H108" s="118">
        <f t="shared" si="14"/>
        <v>62.561094819159337</v>
      </c>
      <c r="I108" s="100">
        <v>20</v>
      </c>
      <c r="J108" s="119">
        <f t="shared" si="18"/>
        <v>0.31968749999999996</v>
      </c>
      <c r="K108" s="120">
        <f t="shared" si="19"/>
        <v>1.5984374999999999E-2</v>
      </c>
    </row>
    <row r="109" spans="1:11" x14ac:dyDescent="0.3">
      <c r="A109" s="116" t="s">
        <v>267</v>
      </c>
      <c r="B109" s="117">
        <f>VLOOKUP(MID($A109,1,2),'Free Spins Symbol'!$T$2:$Z$29,3,0)</f>
        <v>24</v>
      </c>
      <c r="C109" s="129">
        <f>'Free Spins Symbol'!$W$18</f>
        <v>56</v>
      </c>
      <c r="D109" s="117">
        <f>VLOOKUP(MID($A109,7,2),'Free Spins Symbol'!$T$2:$Z$29,5,0)</f>
        <v>2</v>
      </c>
      <c r="E109" s="117">
        <f>VLOOKUP(MID($A109,10,2),'Free Spins Symbol'!$T$2:$Z$29,6,0)</f>
        <v>32</v>
      </c>
      <c r="F109" s="117">
        <f>VLOOKUP(MID($A109,13,2),'Free Spins Symbol'!$T$2:$Z$29,7,0)</f>
        <v>48</v>
      </c>
      <c r="G109" s="100">
        <f>(B109*C109*D109-B101*C101*D101)*(E109-E99)*F109</f>
        <v>3999744</v>
      </c>
      <c r="H109" s="118">
        <f t="shared" si="14"/>
        <v>86.021505376344081</v>
      </c>
      <c r="I109" s="100">
        <v>10</v>
      </c>
      <c r="J109" s="119">
        <f t="shared" si="18"/>
        <v>0.11624999999999999</v>
      </c>
      <c r="K109" s="120">
        <f t="shared" si="19"/>
        <v>1.1625E-2</v>
      </c>
    </row>
    <row r="110" spans="1:11" x14ac:dyDescent="0.3">
      <c r="A110" s="116" t="s">
        <v>268</v>
      </c>
      <c r="B110" s="117">
        <f>VLOOKUP(MID($A110,1,2),'Free Spins Symbol'!$T$2:$Z$29,3,0)</f>
        <v>24</v>
      </c>
      <c r="C110" s="129">
        <f>'Free Spins Symbol'!$W$18</f>
        <v>56</v>
      </c>
      <c r="D110" s="117">
        <f>VLOOKUP(MID($A110,7,2),'Free Spins Symbol'!$T$2:$Z$29,5,0)</f>
        <v>2</v>
      </c>
      <c r="E110" s="117">
        <f>VLOOKUP(MID($A110,10,2),'Free Spins Symbol'!$T$2:$Z$29,6,0)</f>
        <v>32</v>
      </c>
      <c r="F110" s="117">
        <f>VLOOKUP(MID($A110,13,2),'Free Spins Symbol'!$T$2:$Z$29,7,0)</f>
        <v>48</v>
      </c>
      <c r="G110" s="100">
        <f>(B110*C110*D110-B101*C101*D101)*(E110-E100)*F110</f>
        <v>3999744</v>
      </c>
      <c r="H110" s="118">
        <f t="shared" si="14"/>
        <v>86.021505376344081</v>
      </c>
      <c r="I110" s="100">
        <v>10</v>
      </c>
      <c r="J110" s="119">
        <f t="shared" si="18"/>
        <v>0.11624999999999999</v>
      </c>
      <c r="K110" s="120">
        <f t="shared" si="19"/>
        <v>1.1625E-2</v>
      </c>
    </row>
    <row r="111" spans="1:11" x14ac:dyDescent="0.3">
      <c r="A111" s="116" t="s">
        <v>269</v>
      </c>
      <c r="B111" s="117">
        <f>VLOOKUP(MID($A111,1,2),'Free Spins Symbol'!$T$2:$Z$29,3,0)</f>
        <v>38</v>
      </c>
      <c r="C111" s="129">
        <f>'Free Spins Symbol'!$W$18</f>
        <v>56</v>
      </c>
      <c r="D111" s="117">
        <f>VLOOKUP(MID($A111,7,2),'Free Spins Symbol'!$T$2:$Z$29,5,0)</f>
        <v>1</v>
      </c>
      <c r="E111" s="117">
        <f>VLOOKUP(MID($A111,10,2),'Free Spins Symbol'!$T$2:$Z$29,6,0)</f>
        <v>32</v>
      </c>
      <c r="F111" s="117">
        <f>VLOOKUP(MID($A111,13,2),'Free Spins Symbol'!$T$2:$Z$29,7,0)</f>
        <v>48</v>
      </c>
      <c r="G111" s="100">
        <f>(B111*C111*D111-B101*C101*D101)*(E111-E102)*F111</f>
        <v>2553600</v>
      </c>
      <c r="H111" s="118">
        <f t="shared" si="14"/>
        <v>134.73684210526315</v>
      </c>
      <c r="I111" s="100">
        <v>5</v>
      </c>
      <c r="J111" s="119">
        <f t="shared" si="18"/>
        <v>3.7109375E-2</v>
      </c>
      <c r="K111" s="120">
        <f t="shared" si="19"/>
        <v>7.4218749999999997E-3</v>
      </c>
    </row>
    <row r="112" spans="1:11" x14ac:dyDescent="0.3">
      <c r="A112" s="116" t="s">
        <v>270</v>
      </c>
      <c r="B112" s="117">
        <f>VLOOKUP(MID($A112,1,2),'Free Spins Symbol'!$T$2:$Z$29,3,0)</f>
        <v>35</v>
      </c>
      <c r="C112" s="129">
        <f>'Free Spins Symbol'!$W$18</f>
        <v>56</v>
      </c>
      <c r="D112" s="117">
        <f>VLOOKUP(MID($A112,7,2),'Free Spins Symbol'!$T$2:$Z$29,5,0)</f>
        <v>9</v>
      </c>
      <c r="E112" s="117">
        <f>VLOOKUP(MID($A112,10,2),'Free Spins Symbol'!$T$2:$Z$29,6,0)</f>
        <v>32</v>
      </c>
      <c r="F112" s="117">
        <f>VLOOKUP(MID($A112,13,2),'Free Spins Symbol'!$T$2:$Z$29,7,0)</f>
        <v>48</v>
      </c>
      <c r="G112" s="100">
        <f>(B112*C112*D112-B101*C101*D101)*(E112-E103)*F112</f>
        <v>26248320</v>
      </c>
      <c r="H112" s="118">
        <f t="shared" si="14"/>
        <v>13.108038914490528</v>
      </c>
      <c r="I112" s="100">
        <v>5</v>
      </c>
      <c r="J112" s="119">
        <f t="shared" si="18"/>
        <v>0.38144531250000002</v>
      </c>
      <c r="K112" s="120">
        <f t="shared" si="19"/>
        <v>7.6289062500000004E-2</v>
      </c>
    </row>
    <row r="113" spans="1:11" x14ac:dyDescent="0.3">
      <c r="A113" s="116" t="s">
        <v>271</v>
      </c>
      <c r="B113" s="117">
        <f>VLOOKUP(MID($A113,1,2),'Free Spins Symbol'!$T$2:$Z$29,3,0)</f>
        <v>28</v>
      </c>
      <c r="C113" s="129">
        <f>'Free Spins Symbol'!$W$18</f>
        <v>56</v>
      </c>
      <c r="D113" s="117">
        <f>VLOOKUP(MID($A113,7,2),'Free Spins Symbol'!$T$2:$Z$29,5,0)</f>
        <v>9</v>
      </c>
      <c r="E113" s="117">
        <f>VLOOKUP(MID($A113,10,2),'Free Spins Symbol'!$T$2:$Z$29,6,0)</f>
        <v>32</v>
      </c>
      <c r="F113" s="117">
        <f>VLOOKUP(MID($A113,13,2),'Free Spins Symbol'!$T$2:$Z$29,7,0)</f>
        <v>48</v>
      </c>
      <c r="G113" s="100">
        <f>(B113*C113*D113-B101*C101*D101)*(E113-E104)*F113</f>
        <v>20998656</v>
      </c>
      <c r="H113" s="118">
        <f t="shared" si="14"/>
        <v>16.385048643113159</v>
      </c>
      <c r="I113" s="100">
        <v>5</v>
      </c>
      <c r="J113" s="119">
        <f t="shared" si="18"/>
        <v>0.30515625000000002</v>
      </c>
      <c r="K113" s="120">
        <f t="shared" si="19"/>
        <v>6.1031250000000002E-2</v>
      </c>
    </row>
    <row r="114" spans="1:11" x14ac:dyDescent="0.3">
      <c r="A114" s="116" t="s">
        <v>272</v>
      </c>
      <c r="B114" s="117">
        <f>VLOOKUP(MID($A114,1,2),'Free Spins Symbol'!$T$2:$Z$29,3,0)</f>
        <v>34</v>
      </c>
      <c r="C114" s="129">
        <f>'Free Spins Symbol'!$W$18</f>
        <v>56</v>
      </c>
      <c r="D114" s="117">
        <f>VLOOKUP(MID($A114,7,2),'Free Spins Symbol'!$T$2:$Z$29,5,0)</f>
        <v>1</v>
      </c>
      <c r="E114" s="117">
        <f>VLOOKUP(MID($A114,10,2),'Free Spins Symbol'!$T$2:$Z$29,6,0)</f>
        <v>32</v>
      </c>
      <c r="F114" s="117">
        <f>VLOOKUP(MID($A114,13,2),'Free Spins Symbol'!$T$2:$Z$29,7,0)</f>
        <v>48</v>
      </c>
      <c r="G114" s="100">
        <f>(B114*C114*D114-B101*C101*D101)*(E114-E105)*F114</f>
        <v>2193408</v>
      </c>
      <c r="H114" s="118">
        <f t="shared" si="14"/>
        <v>156.86274509803923</v>
      </c>
      <c r="I114" s="100">
        <v>5</v>
      </c>
      <c r="J114" s="119">
        <f t="shared" si="18"/>
        <v>3.1875000000000001E-2</v>
      </c>
      <c r="K114" s="120">
        <f t="shared" si="19"/>
        <v>6.3749999999999996E-3</v>
      </c>
    </row>
    <row r="115" spans="1:11" x14ac:dyDescent="0.3">
      <c r="A115" s="116" t="s">
        <v>273</v>
      </c>
      <c r="B115" s="117">
        <f>VLOOKUP(MID($A115,1,2),'Free Spins Symbol'!$T$2:$Z$29,3,0)</f>
        <v>19</v>
      </c>
      <c r="C115" s="129">
        <f>'Free Spins Symbol'!$W$18</f>
        <v>56</v>
      </c>
      <c r="D115" s="117">
        <f>VLOOKUP(MID($A115,7,2),'Free Spins Symbol'!$T$2:$Z$29,5,0)</f>
        <v>10</v>
      </c>
      <c r="E115" s="117">
        <f>VLOOKUP(MID($A115,10,2),'Free Spins Symbol'!$T$2:$Z$29,6,0)</f>
        <v>32</v>
      </c>
      <c r="F115" s="117">
        <f>VLOOKUP(MID($A115,13,2),'Free Spins Symbol'!$T$2:$Z$29,7,0)</f>
        <v>48</v>
      </c>
      <c r="G115" s="100">
        <f>(B115*C115*D115-B101*C101*D101)*(E115-E106)*F115</f>
        <v>12768000</v>
      </c>
      <c r="H115" s="118">
        <f t="shared" si="14"/>
        <v>26.94736842105263</v>
      </c>
      <c r="I115" s="100">
        <v>5</v>
      </c>
      <c r="J115" s="119">
        <f t="shared" si="18"/>
        <v>0.185546875</v>
      </c>
      <c r="K115" s="120">
        <f t="shared" si="19"/>
        <v>3.7109375E-2</v>
      </c>
    </row>
    <row r="116" spans="1:11" x14ac:dyDescent="0.3">
      <c r="A116" s="116" t="s">
        <v>274</v>
      </c>
      <c r="B116" s="117">
        <f>VLOOKUP(MID($A116,1,2),'Free Spins Symbol'!$T$2:$Z$29,3,0)</f>
        <v>18</v>
      </c>
      <c r="C116" s="129">
        <f>'Free Spins Symbol'!$W$18</f>
        <v>56</v>
      </c>
      <c r="D116" s="117">
        <f>VLOOKUP(MID($A116,7,2),'Free Spins Symbol'!$T$2:$Z$29,5,0)</f>
        <v>40</v>
      </c>
      <c r="E116" s="117">
        <f>VLOOKUP(MID($A116,10,2),'Free Spins Symbol'!$T$2:$Z$29,6,0)</f>
        <v>32</v>
      </c>
      <c r="F116" s="117">
        <f>VLOOKUP(MID($A116,13,2),'Free Spins Symbol'!$T$2:$Z$29,7,0)</f>
        <v>48</v>
      </c>
      <c r="G116" s="100">
        <f>B116*C116*(D116-D115-D114-D113-D112-D111-D110-D109-D108-D107+8*D101)*E116*F116</f>
        <v>1548288</v>
      </c>
      <c r="H116" s="118">
        <f t="shared" si="14"/>
        <v>222.22222222222223</v>
      </c>
      <c r="I116" s="100">
        <v>5</v>
      </c>
      <c r="J116" s="119">
        <f t="shared" si="18"/>
        <v>2.2499999999999999E-2</v>
      </c>
      <c r="K116" s="120">
        <f t="shared" si="19"/>
        <v>4.4999999999999997E-3</v>
      </c>
    </row>
    <row r="117" spans="1:11" x14ac:dyDescent="0.3">
      <c r="A117" s="116" t="s">
        <v>275</v>
      </c>
      <c r="B117" s="117">
        <f>VLOOKUP(MID($A117,1,2),'Free Spins Symbol'!$T$2:$Z$29,3,0)</f>
        <v>20</v>
      </c>
      <c r="C117" s="129">
        <f>'Free Spins Symbol'!$W$18</f>
        <v>56</v>
      </c>
      <c r="D117" s="117">
        <f>VLOOKUP(MID($A117,7,2),'Free Spins Symbol'!$T$2:$Z$29,5,0)</f>
        <v>40</v>
      </c>
      <c r="E117" s="117">
        <f>VLOOKUP(MID($A117,10,2),'Free Spins Symbol'!$T$2:$Z$29,6,0)</f>
        <v>32</v>
      </c>
      <c r="F117" s="117">
        <f>VLOOKUP(MID($A117,13,2),'Free Spins Symbol'!$T$2:$Z$29,7,0)</f>
        <v>48</v>
      </c>
      <c r="G117" s="100">
        <f>(B117*C117-B116*C116)*(D117-D107)*E117*F117</f>
        <v>6537216</v>
      </c>
      <c r="H117" s="118">
        <f t="shared" si="14"/>
        <v>52.631578947368418</v>
      </c>
      <c r="I117" s="100">
        <v>5</v>
      </c>
      <c r="J117" s="119">
        <f t="shared" si="18"/>
        <v>9.5000000000000001E-2</v>
      </c>
      <c r="K117" s="120">
        <f t="shared" si="19"/>
        <v>1.9E-2</v>
      </c>
    </row>
    <row r="118" spans="1:11" x14ac:dyDescent="0.3">
      <c r="A118" s="116" t="s">
        <v>276</v>
      </c>
      <c r="B118" s="117">
        <f>VLOOKUP(MID($A118,1,2),'Free Spins Symbol'!$T$2:$Z$29,3,0)</f>
        <v>22</v>
      </c>
      <c r="C118" s="129">
        <f>'Free Spins Symbol'!$W$18</f>
        <v>56</v>
      </c>
      <c r="D118" s="117">
        <f>VLOOKUP(MID($A118,7,2),'Free Spins Symbol'!$T$2:$Z$29,5,0)</f>
        <v>40</v>
      </c>
      <c r="E118" s="117">
        <f>VLOOKUP(MID($A118,10,2),'Free Spins Symbol'!$T$2:$Z$29,6,0)</f>
        <v>32</v>
      </c>
      <c r="F118" s="117">
        <f>VLOOKUP(MID($A118,13,2),'Free Spins Symbol'!$T$2:$Z$29,7,0)</f>
        <v>48</v>
      </c>
      <c r="G118" s="100">
        <f>(B118*C118-B116*C116)*(D118-D108)*E118*F118</f>
        <v>12730368</v>
      </c>
      <c r="H118" s="118">
        <f t="shared" si="14"/>
        <v>27.027027027027028</v>
      </c>
      <c r="I118" s="100">
        <v>5</v>
      </c>
      <c r="J118" s="119">
        <f t="shared" si="18"/>
        <v>0.185</v>
      </c>
      <c r="K118" s="120">
        <f t="shared" si="19"/>
        <v>3.6999999999999998E-2</v>
      </c>
    </row>
    <row r="119" spans="1:11" x14ac:dyDescent="0.3">
      <c r="A119" s="116" t="s">
        <v>277</v>
      </c>
      <c r="B119" s="117">
        <f>VLOOKUP(MID($A119,1,2),'Free Spins Symbol'!$T$2:$Z$29,3,0)</f>
        <v>24</v>
      </c>
      <c r="C119" s="129">
        <f>'Free Spins Symbol'!$W$18</f>
        <v>56</v>
      </c>
      <c r="D119" s="117">
        <f>VLOOKUP(MID($A119,7,2),'Free Spins Symbol'!$T$2:$Z$29,5,0)</f>
        <v>40</v>
      </c>
      <c r="E119" s="117">
        <f>VLOOKUP(MID($A119,10,2),'Free Spins Symbol'!$T$2:$Z$29,6,0)</f>
        <v>32</v>
      </c>
      <c r="F119" s="117">
        <f>VLOOKUP(MID($A119,13,2),'Free Spins Symbol'!$T$2:$Z$29,7,0)</f>
        <v>48</v>
      </c>
      <c r="G119" s="100">
        <f>(B119*C119-B116*C116)*(D119-D109)*E119*F119</f>
        <v>19611648</v>
      </c>
      <c r="H119" s="118">
        <f t="shared" si="14"/>
        <v>17.543859649122808</v>
      </c>
      <c r="I119" s="100">
        <v>5</v>
      </c>
      <c r="J119" s="119">
        <f t="shared" si="18"/>
        <v>0.28500000000000003</v>
      </c>
      <c r="K119" s="120">
        <f t="shared" si="19"/>
        <v>5.7000000000000002E-2</v>
      </c>
    </row>
    <row r="120" spans="1:11" x14ac:dyDescent="0.3">
      <c r="A120" s="116" t="s">
        <v>278</v>
      </c>
      <c r="B120" s="117">
        <f>VLOOKUP(MID($A120,1,2),'Free Spins Symbol'!$T$2:$Z$29,3,0)</f>
        <v>24</v>
      </c>
      <c r="C120" s="129">
        <f>'Free Spins Symbol'!$W$18</f>
        <v>56</v>
      </c>
      <c r="D120" s="117">
        <f>VLOOKUP(MID($A120,7,2),'Free Spins Symbol'!$T$2:$Z$29,5,0)</f>
        <v>40</v>
      </c>
      <c r="E120" s="117">
        <f>VLOOKUP(MID($A120,10,2),'Free Spins Symbol'!$T$2:$Z$29,6,0)</f>
        <v>32</v>
      </c>
      <c r="F120" s="117">
        <f>VLOOKUP(MID($A120,13,2),'Free Spins Symbol'!$T$2:$Z$29,7,0)</f>
        <v>48</v>
      </c>
      <c r="G120" s="100">
        <f>(B120*C120-B116*C116)*(D120-D110)*E120*F120</f>
        <v>19611648</v>
      </c>
      <c r="H120" s="118">
        <f t="shared" si="14"/>
        <v>17.543859649122808</v>
      </c>
      <c r="I120" s="100">
        <v>5</v>
      </c>
      <c r="J120" s="119">
        <f t="shared" si="18"/>
        <v>0.28500000000000003</v>
      </c>
      <c r="K120" s="120">
        <f t="shared" si="19"/>
        <v>5.7000000000000002E-2</v>
      </c>
    </row>
    <row r="121" spans="1:11" x14ac:dyDescent="0.3">
      <c r="A121" s="122" t="s">
        <v>279</v>
      </c>
      <c r="B121" s="117">
        <f>VLOOKUP(MID($A121,1,2),'Free Spins Symbol'!$T$2:$Z$29,3,0)</f>
        <v>100</v>
      </c>
      <c r="C121" s="117">
        <f>VLOOKUP(MID($A121,4,2),'Free Spins Symbol'!$T$2:$Z$29,4,0)</f>
        <v>8</v>
      </c>
      <c r="D121" s="117">
        <f>VLOOKUP(MID($A121,7,2),'Free Spins Symbol'!$T$2:$Z$29,5,0)</f>
        <v>4</v>
      </c>
      <c r="E121" s="117">
        <f>VLOOKUP(MID($A121,10,2),'Free Spins Symbol'!$T$2:$Z$29,6,0)</f>
        <v>16</v>
      </c>
      <c r="F121" s="117">
        <f>VLOOKUP(MID($A121,13,2),'Free Spins Symbol'!$T$2:$Z$29,7,0)</f>
        <v>48</v>
      </c>
      <c r="G121" s="100">
        <f>B121*C121*D121*E121*F121</f>
        <v>2457600</v>
      </c>
      <c r="H121" s="118">
        <f t="shared" si="14"/>
        <v>140</v>
      </c>
      <c r="I121" s="123">
        <v>2</v>
      </c>
      <c r="J121" s="124">
        <f t="shared" si="18"/>
        <v>1.4285714285714285E-2</v>
      </c>
      <c r="K121" s="120">
        <f t="shared" si="19"/>
        <v>7.1428571428571426E-3</v>
      </c>
    </row>
    <row r="123" spans="1:11" ht="16.8" thickBot="1" x14ac:dyDescent="0.35"/>
    <row r="124" spans="1:11" ht="16.8" thickBot="1" x14ac:dyDescent="0.35">
      <c r="A124" s="125" t="s">
        <v>295</v>
      </c>
    </row>
    <row r="125" spans="1:11" ht="16.8" thickBot="1" x14ac:dyDescent="0.35">
      <c r="A125" s="95" t="s">
        <v>280</v>
      </c>
      <c r="B125" s="142">
        <f>B2</f>
        <v>344064000</v>
      </c>
      <c r="C125" s="142"/>
      <c r="D125" s="142"/>
      <c r="E125" s="142"/>
      <c r="F125" s="142"/>
      <c r="G125" s="7"/>
      <c r="H125" s="106"/>
      <c r="I125" s="107" t="s">
        <v>281</v>
      </c>
      <c r="J125" s="108">
        <f>SUM(J127:J161)</f>
        <v>3.0209449404761908</v>
      </c>
      <c r="K125" s="127">
        <f>SUM(K127:K162)</f>
        <v>0.30160714285714285</v>
      </c>
    </row>
    <row r="126" spans="1:11" ht="33" thickBot="1" x14ac:dyDescent="0.35">
      <c r="A126" s="109" t="s">
        <v>233</v>
      </c>
      <c r="B126" s="110" t="s">
        <v>234</v>
      </c>
      <c r="C126" s="110" t="s">
        <v>235</v>
      </c>
      <c r="D126" s="110" t="s">
        <v>236</v>
      </c>
      <c r="E126" s="110" t="s">
        <v>237</v>
      </c>
      <c r="F126" s="110" t="s">
        <v>238</v>
      </c>
      <c r="G126" s="111" t="s">
        <v>239</v>
      </c>
      <c r="H126" s="112" t="s">
        <v>240</v>
      </c>
      <c r="I126" s="113" t="s">
        <v>241</v>
      </c>
      <c r="J126" s="114" t="s">
        <v>242</v>
      </c>
      <c r="K126" s="115" t="s">
        <v>243</v>
      </c>
    </row>
    <row r="127" spans="1:11" x14ac:dyDescent="0.3">
      <c r="A127" s="116" t="s">
        <v>244</v>
      </c>
      <c r="B127" s="117">
        <f>VLOOKUP(MID($A127,1,2),'Free Spins Symbol'!$T$2:$Z$29,3,0)</f>
        <v>18</v>
      </c>
      <c r="C127" s="117">
        <f>VLOOKUP(MID($A127,4,2),'Free Spins Symbol'!$T$2:$Z$29,4,0)</f>
        <v>0</v>
      </c>
      <c r="D127" s="129">
        <f>'Free Spins Symbol'!$X$18</f>
        <v>40</v>
      </c>
      <c r="E127" s="117">
        <f>VLOOKUP(MID($A127,10,2),'Free Spins Symbol'!$T$2:$Z$29,6,0)</f>
        <v>0</v>
      </c>
      <c r="F127" s="117">
        <f>VLOOKUP(MID($A127,13,2),'Free Spins Symbol'!$T$2:$Z$29,7,0)</f>
        <v>0</v>
      </c>
      <c r="G127" s="100">
        <f>B127*C127*D127*E127*F127</f>
        <v>0</v>
      </c>
      <c r="H127" s="118" t="e">
        <f>B$2/G127</f>
        <v>#DIV/0!</v>
      </c>
      <c r="I127" s="100">
        <v>500</v>
      </c>
      <c r="J127" s="119">
        <f t="shared" ref="J127:J131" si="21">K127*I127</f>
        <v>0</v>
      </c>
      <c r="K127" s="120">
        <f>G127/B$2</f>
        <v>0</v>
      </c>
    </row>
    <row r="128" spans="1:11" x14ac:dyDescent="0.3">
      <c r="A128" s="116" t="s">
        <v>245</v>
      </c>
      <c r="B128" s="117">
        <f>VLOOKUP(MID($A128,1,2),'Free Spins Symbol'!$T$2:$Z$29,3,0)</f>
        <v>20</v>
      </c>
      <c r="C128" s="117">
        <f>VLOOKUP(MID($A128,4,2),'Free Spins Symbol'!$T$2:$Z$29,4,0)</f>
        <v>2</v>
      </c>
      <c r="D128" s="129">
        <f>'Free Spins Symbol'!$X$18</f>
        <v>40</v>
      </c>
      <c r="E128" s="117">
        <f>VLOOKUP(MID($A128,10,2),'Free Spins Symbol'!$T$2:$Z$29,6,0)</f>
        <v>1</v>
      </c>
      <c r="F128" s="117">
        <f>VLOOKUP(MID($A128,13,2),'Free Spins Symbol'!$T$2:$Z$29,7,0)</f>
        <v>1</v>
      </c>
      <c r="G128" s="100">
        <f>B128*C128*D128*E128*F128-G127</f>
        <v>1600</v>
      </c>
      <c r="H128" s="118">
        <f t="shared" ref="H128:H162" si="22">B$2/G128</f>
        <v>215040</v>
      </c>
      <c r="I128" s="100">
        <v>250</v>
      </c>
      <c r="J128" s="119">
        <f t="shared" si="21"/>
        <v>1.162574404761905E-3</v>
      </c>
      <c r="K128" s="120">
        <f t="shared" ref="K128:K131" si="23">G128/B$2</f>
        <v>4.6502976190476195E-6</v>
      </c>
    </row>
    <row r="129" spans="1:11" x14ac:dyDescent="0.3">
      <c r="A129" s="116" t="s">
        <v>246</v>
      </c>
      <c r="B129" s="117">
        <f>VLOOKUP(MID($A129,1,2),'Free Spins Symbol'!$T$2:$Z$29,3,0)</f>
        <v>22</v>
      </c>
      <c r="C129" s="117">
        <f>VLOOKUP(MID($A129,4,2),'Free Spins Symbol'!$T$2:$Z$29,4,0)</f>
        <v>2</v>
      </c>
      <c r="D129" s="129">
        <f>'Free Spins Symbol'!$X$18</f>
        <v>40</v>
      </c>
      <c r="E129" s="117">
        <f>VLOOKUP(MID($A129,10,2),'Free Spins Symbol'!$T$2:$Z$29,6,0)</f>
        <v>1</v>
      </c>
      <c r="F129" s="117">
        <f>VLOOKUP(MID($A129,13,2),'Free Spins Symbol'!$T$2:$Z$29,7,0)</f>
        <v>1</v>
      </c>
      <c r="G129" s="100">
        <f>B129*C129*D129*E129*F129-G127</f>
        <v>1760</v>
      </c>
      <c r="H129" s="118">
        <f t="shared" si="22"/>
        <v>195490.90909090909</v>
      </c>
      <c r="I129" s="100">
        <v>250</v>
      </c>
      <c r="J129" s="119">
        <f t="shared" si="21"/>
        <v>1.2788318452380952E-3</v>
      </c>
      <c r="K129" s="120">
        <f t="shared" si="23"/>
        <v>5.1153273809523807E-6</v>
      </c>
    </row>
    <row r="130" spans="1:11" x14ac:dyDescent="0.3">
      <c r="A130" s="116" t="s">
        <v>247</v>
      </c>
      <c r="B130" s="117">
        <f>VLOOKUP(MID($A130,1,2),'Free Spins Symbol'!$T$2:$Z$29,3,0)</f>
        <v>24</v>
      </c>
      <c r="C130" s="117">
        <f>VLOOKUP(MID($A130,4,2),'Free Spins Symbol'!$T$2:$Z$29,4,0)</f>
        <v>4</v>
      </c>
      <c r="D130" s="129">
        <f>'Free Spins Symbol'!$X$18</f>
        <v>40</v>
      </c>
      <c r="E130" s="117">
        <f>VLOOKUP(MID($A130,10,2),'Free Spins Symbol'!$T$2:$Z$29,6,0)</f>
        <v>1</v>
      </c>
      <c r="F130" s="117">
        <f>VLOOKUP(MID($A130,13,2),'Free Spins Symbol'!$T$2:$Z$29,7,0)</f>
        <v>5</v>
      </c>
      <c r="G130" s="100">
        <f>B130*C130*D130*E130*F130-G127</f>
        <v>19200</v>
      </c>
      <c r="H130" s="118">
        <f t="shared" si="22"/>
        <v>17920</v>
      </c>
      <c r="I130" s="100">
        <v>150</v>
      </c>
      <c r="J130" s="119">
        <f t="shared" si="21"/>
        <v>8.370535714285714E-3</v>
      </c>
      <c r="K130" s="120">
        <f t="shared" si="23"/>
        <v>5.5803571428571427E-5</v>
      </c>
    </row>
    <row r="131" spans="1:11" x14ac:dyDescent="0.3">
      <c r="A131" s="116" t="s">
        <v>248</v>
      </c>
      <c r="B131" s="117">
        <f>VLOOKUP(MID($A131,1,2),'Free Spins Symbol'!$T$2:$Z$29,3,0)</f>
        <v>24</v>
      </c>
      <c r="C131" s="117">
        <f>VLOOKUP(MID($A131,4,2),'Free Spins Symbol'!$T$2:$Z$29,4,0)</f>
        <v>4</v>
      </c>
      <c r="D131" s="129">
        <f>'Free Spins Symbol'!$X$18</f>
        <v>40</v>
      </c>
      <c r="E131" s="117">
        <f>VLOOKUP(MID($A131,10,2),'Free Spins Symbol'!$T$2:$Z$29,6,0)</f>
        <v>1</v>
      </c>
      <c r="F131" s="117">
        <f>VLOOKUP(MID($A131,13,2),'Free Spins Symbol'!$T$2:$Z$29,7,0)</f>
        <v>5</v>
      </c>
      <c r="G131" s="100">
        <f>B131*C131*D131*E131*F131-G127</f>
        <v>19200</v>
      </c>
      <c r="H131" s="118">
        <f t="shared" si="22"/>
        <v>17920</v>
      </c>
      <c r="I131" s="100">
        <v>150</v>
      </c>
      <c r="J131" s="119">
        <f t="shared" si="21"/>
        <v>8.370535714285714E-3</v>
      </c>
      <c r="K131" s="120">
        <f t="shared" si="23"/>
        <v>5.5803571428571427E-5</v>
      </c>
    </row>
    <row r="132" spans="1:11" x14ac:dyDescent="0.3">
      <c r="A132" s="116" t="s">
        <v>254</v>
      </c>
      <c r="B132" s="117">
        <f>VLOOKUP(MID($A132,1,2),'Free Spins Symbol'!$T$2:$Z$29,3,0)</f>
        <v>18</v>
      </c>
      <c r="C132" s="117">
        <f>VLOOKUP(MID($A132,4,2),'Free Spins Symbol'!$T$2:$Z$29,4,0)</f>
        <v>0</v>
      </c>
      <c r="D132" s="129">
        <f>'Free Spins Symbol'!$X$18</f>
        <v>40</v>
      </c>
      <c r="E132" s="117">
        <f>VLOOKUP(MID($A132,10,2),'Free Spins Symbol'!$T$2:$Z$29,6,0)</f>
        <v>0</v>
      </c>
      <c r="F132" s="117">
        <f>VLOOKUP(MID($A132,13,2),'Free Spins Symbol'!$T$2:$Z$29,7,0)</f>
        <v>48</v>
      </c>
      <c r="G132" s="100">
        <f>B132*C132*D132*E132*(F132-F131-F130-F129-F128+3*F127)</f>
        <v>0</v>
      </c>
      <c r="H132" s="118" t="e">
        <f t="shared" si="22"/>
        <v>#DIV/0!</v>
      </c>
      <c r="I132" s="100">
        <v>100</v>
      </c>
      <c r="J132" s="119">
        <f>K132*I132</f>
        <v>0</v>
      </c>
      <c r="K132" s="120">
        <f>G132/B$2</f>
        <v>0</v>
      </c>
    </row>
    <row r="133" spans="1:11" x14ac:dyDescent="0.3">
      <c r="A133" s="116" t="s">
        <v>249</v>
      </c>
      <c r="B133" s="117">
        <f>VLOOKUP(MID($A133,1,2),'Free Spins Symbol'!$T$2:$Z$29,3,0)</f>
        <v>38</v>
      </c>
      <c r="C133" s="117">
        <f>VLOOKUP(MID($A133,4,2),'Free Spins Symbol'!$T$2:$Z$29,4,0)</f>
        <v>13</v>
      </c>
      <c r="D133" s="129">
        <f>'Free Spins Symbol'!$X$18</f>
        <v>40</v>
      </c>
      <c r="E133" s="117">
        <f>VLOOKUP(MID($A133,10,2),'Free Spins Symbol'!$T$2:$Z$29,6,0)</f>
        <v>7</v>
      </c>
      <c r="F133" s="117">
        <f>VLOOKUP(MID($A133,13,2),'Free Spins Symbol'!$T$2:$Z$29,7,0)</f>
        <v>2</v>
      </c>
      <c r="G133" s="100">
        <f>B133*C133*D133*E133*F133-G127</f>
        <v>276640</v>
      </c>
      <c r="H133" s="118">
        <f t="shared" si="22"/>
        <v>1243.7246963562752</v>
      </c>
      <c r="I133" s="100">
        <v>100</v>
      </c>
      <c r="J133" s="119">
        <f t="shared" ref="J133:J141" si="24">K133*I133</f>
        <v>8.0403645833333343E-2</v>
      </c>
      <c r="K133" s="120">
        <f t="shared" ref="K133:K141" si="25">G133/B$2</f>
        <v>8.0403645833333336E-4</v>
      </c>
    </row>
    <row r="134" spans="1:11" x14ac:dyDescent="0.3">
      <c r="A134" s="116" t="s">
        <v>250</v>
      </c>
      <c r="B134" s="117">
        <f>VLOOKUP(MID($A134,1,2),'Free Spins Symbol'!$T$2:$Z$29,3,0)</f>
        <v>35</v>
      </c>
      <c r="C134" s="117">
        <f>VLOOKUP(MID($A134,4,2),'Free Spins Symbol'!$T$2:$Z$29,4,0)</f>
        <v>1</v>
      </c>
      <c r="D134" s="129">
        <f>'Free Spins Symbol'!$X$18</f>
        <v>40</v>
      </c>
      <c r="E134" s="117">
        <f>VLOOKUP(MID($A134,10,2),'Free Spins Symbol'!$T$2:$Z$29,6,0)</f>
        <v>1</v>
      </c>
      <c r="F134" s="117">
        <f>VLOOKUP(MID($A134,13,2),'Free Spins Symbol'!$T$2:$Z$29,7,0)</f>
        <v>11</v>
      </c>
      <c r="G134" s="100">
        <f>B134*C134*D134*E134*F134-G127</f>
        <v>15400</v>
      </c>
      <c r="H134" s="118">
        <f t="shared" si="22"/>
        <v>22341.81818181818</v>
      </c>
      <c r="I134" s="100">
        <v>100</v>
      </c>
      <c r="J134" s="119">
        <f t="shared" si="24"/>
        <v>4.475911458333333E-3</v>
      </c>
      <c r="K134" s="120">
        <f t="shared" si="25"/>
        <v>4.475911458333333E-5</v>
      </c>
    </row>
    <row r="135" spans="1:11" x14ac:dyDescent="0.3">
      <c r="A135" s="116" t="s">
        <v>251</v>
      </c>
      <c r="B135" s="117">
        <f>VLOOKUP(MID($A135,1,2),'Free Spins Symbol'!$T$2:$Z$29,3,0)</f>
        <v>28</v>
      </c>
      <c r="C135" s="117">
        <f>VLOOKUP(MID($A135,4,2),'Free Spins Symbol'!$T$2:$Z$29,4,0)</f>
        <v>13</v>
      </c>
      <c r="D135" s="129">
        <f>'Free Spins Symbol'!$X$18</f>
        <v>40</v>
      </c>
      <c r="E135" s="117">
        <f>VLOOKUP(MID($A135,10,2),'Free Spins Symbol'!$T$2:$Z$29,6,0)</f>
        <v>1</v>
      </c>
      <c r="F135" s="117">
        <f>VLOOKUP(MID($A135,13,2),'Free Spins Symbol'!$T$2:$Z$29,7,0)</f>
        <v>1</v>
      </c>
      <c r="G135" s="100">
        <f>B135*C135*D135*E135*F135-G127</f>
        <v>14560</v>
      </c>
      <c r="H135" s="118">
        <f t="shared" si="22"/>
        <v>23630.76923076923</v>
      </c>
      <c r="I135" s="100">
        <v>100</v>
      </c>
      <c r="J135" s="119">
        <f t="shared" si="24"/>
        <v>4.2317708333333339E-3</v>
      </c>
      <c r="K135" s="120">
        <f t="shared" si="25"/>
        <v>4.2317708333333335E-5</v>
      </c>
    </row>
    <row r="136" spans="1:11" x14ac:dyDescent="0.3">
      <c r="A136" s="116" t="s">
        <v>252</v>
      </c>
      <c r="B136" s="117">
        <f>VLOOKUP(MID($A136,1,2),'Free Spins Symbol'!$T$2:$Z$29,3,0)</f>
        <v>34</v>
      </c>
      <c r="C136" s="117">
        <f>VLOOKUP(MID($A136,4,2),'Free Spins Symbol'!$T$2:$Z$29,4,0)</f>
        <v>13</v>
      </c>
      <c r="D136" s="129">
        <f>'Free Spins Symbol'!$X$18</f>
        <v>40</v>
      </c>
      <c r="E136" s="117">
        <f>VLOOKUP(MID($A136,10,2),'Free Spins Symbol'!$T$2:$Z$29,6,0)</f>
        <v>8</v>
      </c>
      <c r="F136" s="117">
        <f>VLOOKUP(MID($A136,13,2),'Free Spins Symbol'!$T$2:$Z$29,7,0)</f>
        <v>11</v>
      </c>
      <c r="G136" s="100">
        <f>(B136*C136*D136*E136-B132*C132*D132*E132)*F136</f>
        <v>1555840</v>
      </c>
      <c r="H136" s="118">
        <f t="shared" si="22"/>
        <v>221.14356232003291</v>
      </c>
      <c r="I136" s="100">
        <v>100</v>
      </c>
      <c r="J136" s="119">
        <f t="shared" si="24"/>
        <v>0.45219494047619047</v>
      </c>
      <c r="K136" s="120">
        <f t="shared" si="25"/>
        <v>4.5219494047619045E-3</v>
      </c>
    </row>
    <row r="137" spans="1:11" x14ac:dyDescent="0.3">
      <c r="A137" s="116" t="s">
        <v>253</v>
      </c>
      <c r="B137" s="117">
        <f>VLOOKUP(MID($A137,1,2),'Free Spins Symbol'!$T$2:$Z$29,3,0)</f>
        <v>19</v>
      </c>
      <c r="C137" s="117">
        <f>VLOOKUP(MID($A137,4,2),'Free Spins Symbol'!$T$2:$Z$29,4,0)</f>
        <v>2</v>
      </c>
      <c r="D137" s="129">
        <f>'Free Spins Symbol'!$X$18</f>
        <v>40</v>
      </c>
      <c r="E137" s="117">
        <f>VLOOKUP(MID($A137,10,2),'Free Spins Symbol'!$T$2:$Z$29,6,0)</f>
        <v>7</v>
      </c>
      <c r="F137" s="117">
        <f>VLOOKUP(MID($A137,13,2),'Free Spins Symbol'!$T$2:$Z$29,7,0)</f>
        <v>11</v>
      </c>
      <c r="G137" s="100">
        <f>B137*C137*D137*E137*F137-G127</f>
        <v>117040</v>
      </c>
      <c r="H137" s="118">
        <f t="shared" si="22"/>
        <v>2939.712918660287</v>
      </c>
      <c r="I137" s="100">
        <v>100</v>
      </c>
      <c r="J137" s="119">
        <f t="shared" si="24"/>
        <v>3.4016927083333336E-2</v>
      </c>
      <c r="K137" s="120">
        <f t="shared" si="25"/>
        <v>3.4016927083333333E-4</v>
      </c>
    </row>
    <row r="138" spans="1:11" x14ac:dyDescent="0.3">
      <c r="A138" s="116" t="s">
        <v>255</v>
      </c>
      <c r="B138" s="117">
        <f>VLOOKUP(MID($A138,1,2),'Free Spins Symbol'!$T$2:$Z$29,3,0)</f>
        <v>20</v>
      </c>
      <c r="C138" s="117">
        <f>VLOOKUP(MID($A138,4,2),'Free Spins Symbol'!$T$2:$Z$29,4,0)</f>
        <v>2</v>
      </c>
      <c r="D138" s="129">
        <f>'Free Spins Symbol'!$X$18</f>
        <v>40</v>
      </c>
      <c r="E138" s="117">
        <f>VLOOKUP(MID($A138,10,2),'Free Spins Symbol'!$T$2:$Z$29,6,0)</f>
        <v>1</v>
      </c>
      <c r="F138" s="117">
        <f>VLOOKUP(MID($A138,13,2),'Free Spins Symbol'!$T$2:$Z$29,7,0)</f>
        <v>48</v>
      </c>
      <c r="G138" s="100">
        <f>(B138*C138*D138*E138-B132*C132*D132*E132)*(F138-F128)</f>
        <v>75200</v>
      </c>
      <c r="H138" s="118">
        <f t="shared" si="22"/>
        <v>4575.3191489361698</v>
      </c>
      <c r="I138" s="100">
        <v>50</v>
      </c>
      <c r="J138" s="119">
        <f t="shared" si="24"/>
        <v>1.0928199404761906E-2</v>
      </c>
      <c r="K138" s="120">
        <f t="shared" si="25"/>
        <v>2.185639880952381E-4</v>
      </c>
    </row>
    <row r="139" spans="1:11" x14ac:dyDescent="0.3">
      <c r="A139" s="116" t="s">
        <v>256</v>
      </c>
      <c r="B139" s="117">
        <f>VLOOKUP(MID($A139,1,2),'Free Spins Symbol'!$T$2:$Z$29,3,0)</f>
        <v>22</v>
      </c>
      <c r="C139" s="117">
        <f>VLOOKUP(MID($A139,4,2),'Free Spins Symbol'!$T$2:$Z$29,4,0)</f>
        <v>2</v>
      </c>
      <c r="D139" s="129">
        <f>'Free Spins Symbol'!$X$18</f>
        <v>40</v>
      </c>
      <c r="E139" s="117">
        <f>VLOOKUP(MID($A139,10,2),'Free Spins Symbol'!$T$2:$Z$29,6,0)</f>
        <v>1</v>
      </c>
      <c r="F139" s="117">
        <f>VLOOKUP(MID($A139,13,2),'Free Spins Symbol'!$T$2:$Z$29,7,0)</f>
        <v>48</v>
      </c>
      <c r="G139" s="100">
        <f>(B139*C139*D139*E139-B132*C132*D132*E132)*(F139-F129)</f>
        <v>82720</v>
      </c>
      <c r="H139" s="118">
        <f t="shared" si="22"/>
        <v>4159.3810444874271</v>
      </c>
      <c r="I139" s="100">
        <v>50</v>
      </c>
      <c r="J139" s="119">
        <f t="shared" si="24"/>
        <v>1.2021019345238094E-2</v>
      </c>
      <c r="K139" s="120">
        <f t="shared" si="25"/>
        <v>2.404203869047619E-4</v>
      </c>
    </row>
    <row r="140" spans="1:11" x14ac:dyDescent="0.3">
      <c r="A140" s="116" t="s">
        <v>257</v>
      </c>
      <c r="B140" s="117">
        <f>VLOOKUP(MID($A140,1,2),'Free Spins Symbol'!$T$2:$Z$29,3,0)</f>
        <v>24</v>
      </c>
      <c r="C140" s="117">
        <f>VLOOKUP(MID($A140,4,2),'Free Spins Symbol'!$T$2:$Z$29,4,0)</f>
        <v>4</v>
      </c>
      <c r="D140" s="129">
        <f>'Free Spins Symbol'!$X$18</f>
        <v>40</v>
      </c>
      <c r="E140" s="117">
        <f>VLOOKUP(MID($A140,10,2),'Free Spins Symbol'!$T$2:$Z$29,6,0)</f>
        <v>1</v>
      </c>
      <c r="F140" s="117">
        <f>VLOOKUP(MID($A140,13,2),'Free Spins Symbol'!$T$2:$Z$29,7,0)</f>
        <v>48</v>
      </c>
      <c r="G140" s="100">
        <f>(B140*C140*D140*E140-B132*C132*D132*E132)*(F140-F130)</f>
        <v>165120</v>
      </c>
      <c r="H140" s="118">
        <f t="shared" si="22"/>
        <v>2083.7209302325582</v>
      </c>
      <c r="I140" s="100">
        <v>30</v>
      </c>
      <c r="J140" s="119">
        <f t="shared" si="24"/>
        <v>1.4397321428571429E-2</v>
      </c>
      <c r="K140" s="120">
        <f t="shared" si="25"/>
        <v>4.7991071428571429E-4</v>
      </c>
    </row>
    <row r="141" spans="1:11" x14ac:dyDescent="0.3">
      <c r="A141" s="116" t="s">
        <v>258</v>
      </c>
      <c r="B141" s="117">
        <f>VLOOKUP(MID($A141,1,2),'Free Spins Symbol'!$T$2:$Z$29,3,0)</f>
        <v>24</v>
      </c>
      <c r="C141" s="117">
        <f>VLOOKUP(MID($A141,4,2),'Free Spins Symbol'!$T$2:$Z$29,4,0)</f>
        <v>4</v>
      </c>
      <c r="D141" s="129">
        <f>'Free Spins Symbol'!$X$18</f>
        <v>40</v>
      </c>
      <c r="E141" s="117">
        <f>VLOOKUP(MID($A141,10,2),'Free Spins Symbol'!$T$2:$Z$29,6,0)</f>
        <v>1</v>
      </c>
      <c r="F141" s="117">
        <f>VLOOKUP(MID($A141,13,2),'Free Spins Symbol'!$T$2:$Z$29,7,0)</f>
        <v>48</v>
      </c>
      <c r="G141" s="100">
        <f>(B141*C141*D141*E141-B132*C132*D132*E132)*(F141-F131)</f>
        <v>165120</v>
      </c>
      <c r="H141" s="118">
        <f t="shared" si="22"/>
        <v>2083.7209302325582</v>
      </c>
      <c r="I141" s="100">
        <v>30</v>
      </c>
      <c r="J141" s="119">
        <f t="shared" si="24"/>
        <v>1.4397321428571429E-2</v>
      </c>
      <c r="K141" s="120">
        <f t="shared" si="25"/>
        <v>4.7991071428571429E-4</v>
      </c>
    </row>
    <row r="142" spans="1:11" x14ac:dyDescent="0.3">
      <c r="A142" s="116" t="s">
        <v>264</v>
      </c>
      <c r="B142" s="117">
        <f>VLOOKUP(MID($A142,1,2),'Free Spins Symbol'!$T$2:$Z$29,3,0)</f>
        <v>18</v>
      </c>
      <c r="C142" s="117">
        <f>VLOOKUP(MID($A142,4,2),'Free Spins Symbol'!$T$2:$Z$29,4,0)</f>
        <v>0</v>
      </c>
      <c r="D142" s="129">
        <f>'Free Spins Symbol'!$X$18</f>
        <v>40</v>
      </c>
      <c r="E142" s="117">
        <f>VLOOKUP(MID($A142,10,2),'Free Spins Symbol'!$T$2:$Z$29,6,0)</f>
        <v>32</v>
      </c>
      <c r="F142" s="117">
        <f>VLOOKUP(MID($A142,13,2),'Free Spins Symbol'!$T$2:$Z$29,7,0)</f>
        <v>48</v>
      </c>
      <c r="G142" s="100">
        <f>(B142*C142*D142)*(E142*F142-(E141+E140+E139+E138-3*E132)*F132-(E137-E132)*F137-(E136-E132)*F136-(E135-E132)*F135-(E134-E132)*F134-(E133-E132)*F133)</f>
        <v>0</v>
      </c>
      <c r="H142" s="118" t="e">
        <f t="shared" si="22"/>
        <v>#DIV/0!</v>
      </c>
      <c r="I142" s="100">
        <v>20</v>
      </c>
      <c r="J142" s="119">
        <f>K142*I142</f>
        <v>0</v>
      </c>
      <c r="K142" s="120">
        <f>G142/B$2</f>
        <v>0</v>
      </c>
    </row>
    <row r="143" spans="1:11" x14ac:dyDescent="0.3">
      <c r="A143" s="116" t="s">
        <v>259</v>
      </c>
      <c r="B143" s="117">
        <f>VLOOKUP(MID($A143,1,2),'Free Spins Symbol'!$T$2:$Z$29,3,0)</f>
        <v>38</v>
      </c>
      <c r="C143" s="117">
        <f>VLOOKUP(MID($A143,4,2),'Free Spins Symbol'!$T$2:$Z$29,4,0)</f>
        <v>13</v>
      </c>
      <c r="D143" s="129">
        <f>'Free Spins Symbol'!$X$18</f>
        <v>40</v>
      </c>
      <c r="E143" s="117">
        <f>VLOOKUP(MID($A143,10,2),'Free Spins Symbol'!$T$2:$Z$29,6,0)</f>
        <v>7</v>
      </c>
      <c r="F143" s="117">
        <f>VLOOKUP(MID($A143,13,2),'Free Spins Symbol'!$T$2:$Z$29,7,0)</f>
        <v>48</v>
      </c>
      <c r="G143" s="100">
        <f>B143*C143*D143*E143*(F143-F133)</f>
        <v>6362720</v>
      </c>
      <c r="H143" s="118">
        <f t="shared" si="22"/>
        <v>54.074986798098926</v>
      </c>
      <c r="I143" s="100">
        <v>20</v>
      </c>
      <c r="J143" s="119">
        <f t="shared" ref="J143:J162" si="26">K143*I143</f>
        <v>0.36985677083333335</v>
      </c>
      <c r="K143" s="120">
        <f t="shared" ref="K143:K162" si="27">G143/B$2</f>
        <v>1.8492838541666667E-2</v>
      </c>
    </row>
    <row r="144" spans="1:11" x14ac:dyDescent="0.3">
      <c r="A144" s="116" t="s">
        <v>260</v>
      </c>
      <c r="B144" s="117">
        <f>VLOOKUP(MID($A144,1,2),'Free Spins Symbol'!$T$2:$Z$29,3,0)</f>
        <v>35</v>
      </c>
      <c r="C144" s="117">
        <f>VLOOKUP(MID($A144,4,2),'Free Spins Symbol'!$T$2:$Z$29,4,0)</f>
        <v>1</v>
      </c>
      <c r="D144" s="129">
        <f>'Free Spins Symbol'!$X$18</f>
        <v>40</v>
      </c>
      <c r="E144" s="117">
        <f>VLOOKUP(MID($A144,10,2),'Free Spins Symbol'!$T$2:$Z$29,6,0)</f>
        <v>1</v>
      </c>
      <c r="F144" s="117">
        <f>VLOOKUP(MID($A144,13,2),'Free Spins Symbol'!$T$2:$Z$29,7,0)</f>
        <v>48</v>
      </c>
      <c r="G144" s="100">
        <f t="shared" ref="G144:G147" si="28">B144*C144*D144*E144*(F144-F134)</f>
        <v>51800</v>
      </c>
      <c r="H144" s="118">
        <f t="shared" si="22"/>
        <v>6642.1621621621625</v>
      </c>
      <c r="I144" s="100">
        <v>20</v>
      </c>
      <c r="J144" s="119">
        <f t="shared" si="26"/>
        <v>3.0110677083333335E-3</v>
      </c>
      <c r="K144" s="120">
        <f t="shared" si="27"/>
        <v>1.5055338541666667E-4</v>
      </c>
    </row>
    <row r="145" spans="1:11" x14ac:dyDescent="0.3">
      <c r="A145" s="116" t="s">
        <v>261</v>
      </c>
      <c r="B145" s="117">
        <f>VLOOKUP(MID($A145,1,2),'Free Spins Symbol'!$T$2:$Z$29,3,0)</f>
        <v>28</v>
      </c>
      <c r="C145" s="117">
        <f>VLOOKUP(MID($A145,4,2),'Free Spins Symbol'!$T$2:$Z$29,4,0)</f>
        <v>13</v>
      </c>
      <c r="D145" s="129">
        <f>'Free Spins Symbol'!$X$18</f>
        <v>40</v>
      </c>
      <c r="E145" s="117">
        <f>VLOOKUP(MID($A145,10,2),'Free Spins Symbol'!$T$2:$Z$29,6,0)</f>
        <v>1</v>
      </c>
      <c r="F145" s="117">
        <f>VLOOKUP(MID($A145,13,2),'Free Spins Symbol'!$T$2:$Z$29,7,0)</f>
        <v>48</v>
      </c>
      <c r="G145" s="100">
        <f t="shared" si="28"/>
        <v>684320</v>
      </c>
      <c r="H145" s="118">
        <f t="shared" si="22"/>
        <v>502.78232405891981</v>
      </c>
      <c r="I145" s="100">
        <v>20</v>
      </c>
      <c r="J145" s="119">
        <f t="shared" si="26"/>
        <v>3.9778645833333334E-2</v>
      </c>
      <c r="K145" s="120">
        <f t="shared" si="27"/>
        <v>1.9889322916666666E-3</v>
      </c>
    </row>
    <row r="146" spans="1:11" x14ac:dyDescent="0.3">
      <c r="A146" s="116" t="s">
        <v>262</v>
      </c>
      <c r="B146" s="117">
        <f>VLOOKUP(MID($A146,1,2),'Free Spins Symbol'!$T$2:$Z$29,3,0)</f>
        <v>34</v>
      </c>
      <c r="C146" s="117">
        <f>VLOOKUP(MID($A146,4,2),'Free Spins Symbol'!$T$2:$Z$29,4,0)</f>
        <v>13</v>
      </c>
      <c r="D146" s="129">
        <f>'Free Spins Symbol'!$X$18</f>
        <v>40</v>
      </c>
      <c r="E146" s="117">
        <f>VLOOKUP(MID($A146,10,2),'Free Spins Symbol'!$T$2:$Z$29,6,0)</f>
        <v>8</v>
      </c>
      <c r="F146" s="117">
        <f>VLOOKUP(MID($A146,13,2),'Free Spins Symbol'!$T$2:$Z$29,7,0)</f>
        <v>48</v>
      </c>
      <c r="G146" s="100">
        <f t="shared" si="28"/>
        <v>5233280</v>
      </c>
      <c r="H146" s="118">
        <f t="shared" si="22"/>
        <v>65.745383392442221</v>
      </c>
      <c r="I146" s="100">
        <v>20</v>
      </c>
      <c r="J146" s="119">
        <f t="shared" si="26"/>
        <v>0.30420386904761904</v>
      </c>
      <c r="K146" s="120">
        <f t="shared" si="27"/>
        <v>1.5210193452380952E-2</v>
      </c>
    </row>
    <row r="147" spans="1:11" x14ac:dyDescent="0.3">
      <c r="A147" s="116" t="s">
        <v>263</v>
      </c>
      <c r="B147" s="117">
        <f>VLOOKUP(MID($A147,1,2),'Free Spins Symbol'!$T$2:$Z$29,3,0)</f>
        <v>19</v>
      </c>
      <c r="C147" s="117">
        <f>VLOOKUP(MID($A147,4,2),'Free Spins Symbol'!$T$2:$Z$29,4,0)</f>
        <v>2</v>
      </c>
      <c r="D147" s="129">
        <f>'Free Spins Symbol'!$X$18</f>
        <v>40</v>
      </c>
      <c r="E147" s="117">
        <f>VLOOKUP(MID($A147,10,2),'Free Spins Symbol'!$T$2:$Z$29,6,0)</f>
        <v>7</v>
      </c>
      <c r="F147" s="117">
        <f>VLOOKUP(MID($A147,13,2),'Free Spins Symbol'!$T$2:$Z$29,7,0)</f>
        <v>48</v>
      </c>
      <c r="G147" s="100">
        <f t="shared" si="28"/>
        <v>393680</v>
      </c>
      <c r="H147" s="118">
        <f t="shared" si="22"/>
        <v>873.96870554765292</v>
      </c>
      <c r="I147" s="100">
        <v>20</v>
      </c>
      <c r="J147" s="119">
        <f t="shared" si="26"/>
        <v>2.2884114583333334E-2</v>
      </c>
      <c r="K147" s="120">
        <f t="shared" si="27"/>
        <v>1.1442057291666666E-3</v>
      </c>
    </row>
    <row r="148" spans="1:11" x14ac:dyDescent="0.3">
      <c r="A148" s="116" t="s">
        <v>265</v>
      </c>
      <c r="B148" s="117">
        <f>VLOOKUP(MID($A148,1,2),'Free Spins Symbol'!$T$2:$Z$29,3,0)</f>
        <v>20</v>
      </c>
      <c r="C148" s="117">
        <f>VLOOKUP(MID($A148,4,2),'Free Spins Symbol'!$T$2:$Z$29,4,0)</f>
        <v>2</v>
      </c>
      <c r="D148" s="129">
        <f>'Free Spins Symbol'!$X$18</f>
        <v>40</v>
      </c>
      <c r="E148" s="117">
        <f>VLOOKUP(MID($A148,10,2),'Free Spins Symbol'!$T$2:$Z$29,6,0)</f>
        <v>32</v>
      </c>
      <c r="F148" s="117">
        <f>VLOOKUP(MID($A148,13,2),'Free Spins Symbol'!$T$2:$Z$29,7,0)</f>
        <v>48</v>
      </c>
      <c r="G148" s="100">
        <f>(B148*C148*D148)*(E148-E138)*F148</f>
        <v>2380800</v>
      </c>
      <c r="H148" s="118">
        <f t="shared" si="22"/>
        <v>144.51612903225808</v>
      </c>
      <c r="I148" s="100">
        <v>20</v>
      </c>
      <c r="J148" s="119">
        <f t="shared" si="26"/>
        <v>0.13839285714285715</v>
      </c>
      <c r="K148" s="120">
        <f t="shared" si="27"/>
        <v>6.9196428571428568E-3</v>
      </c>
    </row>
    <row r="149" spans="1:11" x14ac:dyDescent="0.3">
      <c r="A149" s="116" t="s">
        <v>266</v>
      </c>
      <c r="B149" s="117">
        <f>VLOOKUP(MID($A149,1,2),'Free Spins Symbol'!$T$2:$Z$29,3,0)</f>
        <v>22</v>
      </c>
      <c r="C149" s="117">
        <f>VLOOKUP(MID($A149,4,2),'Free Spins Symbol'!$T$2:$Z$29,4,0)</f>
        <v>2</v>
      </c>
      <c r="D149" s="129">
        <f>'Free Spins Symbol'!$X$18</f>
        <v>40</v>
      </c>
      <c r="E149" s="117">
        <f>VLOOKUP(MID($A149,10,2),'Free Spins Symbol'!$T$2:$Z$29,6,0)</f>
        <v>32</v>
      </c>
      <c r="F149" s="117">
        <f>VLOOKUP(MID($A149,13,2),'Free Spins Symbol'!$T$2:$Z$29,7,0)</f>
        <v>48</v>
      </c>
      <c r="G149" s="100">
        <f>(B149*C149*D149)*(E149-E139)*F149</f>
        <v>2618880</v>
      </c>
      <c r="H149" s="118">
        <f t="shared" si="22"/>
        <v>131.3782991202346</v>
      </c>
      <c r="I149" s="100">
        <v>20</v>
      </c>
      <c r="J149" s="119">
        <f t="shared" si="26"/>
        <v>0.15223214285714287</v>
      </c>
      <c r="K149" s="120">
        <f t="shared" si="27"/>
        <v>7.6116071428571431E-3</v>
      </c>
    </row>
    <row r="150" spans="1:11" x14ac:dyDescent="0.3">
      <c r="A150" s="116" t="s">
        <v>267</v>
      </c>
      <c r="B150" s="117">
        <f>VLOOKUP(MID($A150,1,2),'Free Spins Symbol'!$T$2:$Z$29,3,0)</f>
        <v>24</v>
      </c>
      <c r="C150" s="117">
        <f>VLOOKUP(MID($A150,4,2),'Free Spins Symbol'!$T$2:$Z$29,4,0)</f>
        <v>4</v>
      </c>
      <c r="D150" s="129">
        <f>'Free Spins Symbol'!$X$18</f>
        <v>40</v>
      </c>
      <c r="E150" s="117">
        <f>VLOOKUP(MID($A150,10,2),'Free Spins Symbol'!$T$2:$Z$29,6,0)</f>
        <v>32</v>
      </c>
      <c r="F150" s="117">
        <f>VLOOKUP(MID($A150,13,2),'Free Spins Symbol'!$T$2:$Z$29,7,0)</f>
        <v>48</v>
      </c>
      <c r="G150" s="100">
        <f>(B150*C150*D150-B142*C142*D142)*(E150-E140)*F150</f>
        <v>5713920</v>
      </c>
      <c r="H150" s="118">
        <f t="shared" si="22"/>
        <v>60.215053763440864</v>
      </c>
      <c r="I150" s="100">
        <v>10</v>
      </c>
      <c r="J150" s="119">
        <f t="shared" si="26"/>
        <v>0.16607142857142859</v>
      </c>
      <c r="K150" s="120">
        <f t="shared" si="27"/>
        <v>1.6607142857142859E-2</v>
      </c>
    </row>
    <row r="151" spans="1:11" x14ac:dyDescent="0.3">
      <c r="A151" s="116" t="s">
        <v>268</v>
      </c>
      <c r="B151" s="117">
        <f>VLOOKUP(MID($A151,1,2),'Free Spins Symbol'!$T$2:$Z$29,3,0)</f>
        <v>24</v>
      </c>
      <c r="C151" s="117">
        <f>VLOOKUP(MID($A151,4,2),'Free Spins Symbol'!$T$2:$Z$29,4,0)</f>
        <v>4</v>
      </c>
      <c r="D151" s="129">
        <f>'Free Spins Symbol'!$X$18</f>
        <v>40</v>
      </c>
      <c r="E151" s="117">
        <f>VLOOKUP(MID($A151,10,2),'Free Spins Symbol'!$T$2:$Z$29,6,0)</f>
        <v>32</v>
      </c>
      <c r="F151" s="117">
        <f>VLOOKUP(MID($A151,13,2),'Free Spins Symbol'!$T$2:$Z$29,7,0)</f>
        <v>48</v>
      </c>
      <c r="G151" s="100">
        <f>(B151*C151*D151-B142*C142*D142)*(E151-E141)*F151</f>
        <v>5713920</v>
      </c>
      <c r="H151" s="118">
        <f t="shared" si="22"/>
        <v>60.215053763440864</v>
      </c>
      <c r="I151" s="100">
        <v>10</v>
      </c>
      <c r="J151" s="119">
        <f t="shared" si="26"/>
        <v>0.16607142857142859</v>
      </c>
      <c r="K151" s="120">
        <f t="shared" si="27"/>
        <v>1.6607142857142859E-2</v>
      </c>
    </row>
    <row r="152" spans="1:11" x14ac:dyDescent="0.3">
      <c r="A152" s="116" t="s">
        <v>269</v>
      </c>
      <c r="B152" s="117">
        <f>VLOOKUP(MID($A152,1,2),'Free Spins Symbol'!$T$2:$Z$29,3,0)</f>
        <v>38</v>
      </c>
      <c r="C152" s="117">
        <f>VLOOKUP(MID($A152,4,2),'Free Spins Symbol'!$T$2:$Z$29,4,0)</f>
        <v>13</v>
      </c>
      <c r="D152" s="129">
        <f>'Free Spins Symbol'!$X$18</f>
        <v>40</v>
      </c>
      <c r="E152" s="117">
        <f>VLOOKUP(MID($A152,10,2),'Free Spins Symbol'!$T$2:$Z$29,6,0)</f>
        <v>32</v>
      </c>
      <c r="F152" s="117">
        <f>VLOOKUP(MID($A152,13,2),'Free Spins Symbol'!$T$2:$Z$29,7,0)</f>
        <v>48</v>
      </c>
      <c r="G152" s="100">
        <f>(B152*C152*D152-B142*C142*D142)*(E152-E143)*F152</f>
        <v>23712000</v>
      </c>
      <c r="H152" s="118">
        <f t="shared" si="22"/>
        <v>14.510121457489879</v>
      </c>
      <c r="I152" s="100">
        <v>5</v>
      </c>
      <c r="J152" s="119">
        <f t="shared" si="26"/>
        <v>0.34458705357142855</v>
      </c>
      <c r="K152" s="120">
        <f t="shared" si="27"/>
        <v>6.8917410714285712E-2</v>
      </c>
    </row>
    <row r="153" spans="1:11" x14ac:dyDescent="0.3">
      <c r="A153" s="116" t="s">
        <v>270</v>
      </c>
      <c r="B153" s="117">
        <f>VLOOKUP(MID($A153,1,2),'Free Spins Symbol'!$T$2:$Z$29,3,0)</f>
        <v>35</v>
      </c>
      <c r="C153" s="117">
        <f>VLOOKUP(MID($A153,4,2),'Free Spins Symbol'!$T$2:$Z$29,4,0)</f>
        <v>1</v>
      </c>
      <c r="D153" s="129">
        <f>'Free Spins Symbol'!$X$18</f>
        <v>40</v>
      </c>
      <c r="E153" s="117">
        <f>VLOOKUP(MID($A153,10,2),'Free Spins Symbol'!$T$2:$Z$29,6,0)</f>
        <v>32</v>
      </c>
      <c r="F153" s="117">
        <f>VLOOKUP(MID($A153,13,2),'Free Spins Symbol'!$T$2:$Z$29,7,0)</f>
        <v>48</v>
      </c>
      <c r="G153" s="100">
        <f>(B153*C153*D153-B142*C142*D142)*(E153-E144)*F153</f>
        <v>2083200</v>
      </c>
      <c r="H153" s="118">
        <f t="shared" si="22"/>
        <v>165.16129032258064</v>
      </c>
      <c r="I153" s="100">
        <v>5</v>
      </c>
      <c r="J153" s="119">
        <f t="shared" si="26"/>
        <v>3.02734375E-2</v>
      </c>
      <c r="K153" s="120">
        <f t="shared" si="27"/>
        <v>6.0546875000000002E-3</v>
      </c>
    </row>
    <row r="154" spans="1:11" x14ac:dyDescent="0.3">
      <c r="A154" s="116" t="s">
        <v>271</v>
      </c>
      <c r="B154" s="117">
        <f>VLOOKUP(MID($A154,1,2),'Free Spins Symbol'!$T$2:$Z$29,3,0)</f>
        <v>28</v>
      </c>
      <c r="C154" s="117">
        <f>VLOOKUP(MID($A154,4,2),'Free Spins Symbol'!$T$2:$Z$29,4,0)</f>
        <v>13</v>
      </c>
      <c r="D154" s="129">
        <f>'Free Spins Symbol'!$X$18</f>
        <v>40</v>
      </c>
      <c r="E154" s="117">
        <f>VLOOKUP(MID($A154,10,2),'Free Spins Symbol'!$T$2:$Z$29,6,0)</f>
        <v>32</v>
      </c>
      <c r="F154" s="117">
        <f>VLOOKUP(MID($A154,13,2),'Free Spins Symbol'!$T$2:$Z$29,7,0)</f>
        <v>48</v>
      </c>
      <c r="G154" s="100">
        <f>(B154*C154*D154-B142*C142*D142)*(E154-E145)*F154</f>
        <v>21665280</v>
      </c>
      <c r="H154" s="118">
        <f t="shared" si="22"/>
        <v>15.88089330024814</v>
      </c>
      <c r="I154" s="100">
        <v>5</v>
      </c>
      <c r="J154" s="119">
        <f t="shared" si="26"/>
        <v>0.31484375000000003</v>
      </c>
      <c r="K154" s="120">
        <f t="shared" si="27"/>
        <v>6.2968750000000004E-2</v>
      </c>
    </row>
    <row r="155" spans="1:11" x14ac:dyDescent="0.3">
      <c r="A155" s="116" t="s">
        <v>272</v>
      </c>
      <c r="B155" s="117">
        <f>VLOOKUP(MID($A155,1,2),'Free Spins Symbol'!$T$2:$Z$29,3,0)</f>
        <v>34</v>
      </c>
      <c r="C155" s="117">
        <f>VLOOKUP(MID($A155,4,2),'Free Spins Symbol'!$T$2:$Z$29,4,0)</f>
        <v>13</v>
      </c>
      <c r="D155" s="129">
        <f>'Free Spins Symbol'!$X$18</f>
        <v>40</v>
      </c>
      <c r="E155" s="117">
        <f>VLOOKUP(MID($A155,10,2),'Free Spins Symbol'!$T$2:$Z$29,6,0)</f>
        <v>32</v>
      </c>
      <c r="F155" s="117">
        <f>VLOOKUP(MID($A155,13,2),'Free Spins Symbol'!$T$2:$Z$29,7,0)</f>
        <v>48</v>
      </c>
      <c r="G155" s="100">
        <f>(B155*C155*D155-B142*C142*D142)*(E155-E146)*F155</f>
        <v>20367360</v>
      </c>
      <c r="H155" s="118">
        <f t="shared" si="22"/>
        <v>16.89291101055807</v>
      </c>
      <c r="I155" s="100">
        <v>5</v>
      </c>
      <c r="J155" s="119">
        <f t="shared" si="26"/>
        <v>0.29598214285714286</v>
      </c>
      <c r="K155" s="120">
        <f t="shared" si="27"/>
        <v>5.9196428571428573E-2</v>
      </c>
    </row>
    <row r="156" spans="1:11" x14ac:dyDescent="0.3">
      <c r="A156" s="116" t="s">
        <v>273</v>
      </c>
      <c r="B156" s="117">
        <f>VLOOKUP(MID($A156,1,2),'Free Spins Symbol'!$T$2:$Z$29,3,0)</f>
        <v>19</v>
      </c>
      <c r="C156" s="117">
        <f>VLOOKUP(MID($A156,4,2),'Free Spins Symbol'!$T$2:$Z$29,4,0)</f>
        <v>2</v>
      </c>
      <c r="D156" s="129">
        <f>'Free Spins Symbol'!$X$18</f>
        <v>40</v>
      </c>
      <c r="E156" s="117">
        <f>VLOOKUP(MID($A156,10,2),'Free Spins Symbol'!$T$2:$Z$29,6,0)</f>
        <v>32</v>
      </c>
      <c r="F156" s="117">
        <f>VLOOKUP(MID($A156,13,2),'Free Spins Symbol'!$T$2:$Z$29,7,0)</f>
        <v>48</v>
      </c>
      <c r="G156" s="100">
        <f>(B156*C156*D156-B142*C142*D142)*(E156-E147)*F156</f>
        <v>1824000</v>
      </c>
      <c r="H156" s="118">
        <f t="shared" si="22"/>
        <v>188.63157894736841</v>
      </c>
      <c r="I156" s="100">
        <v>5</v>
      </c>
      <c r="J156" s="119">
        <f t="shared" si="26"/>
        <v>2.6506696428571432E-2</v>
      </c>
      <c r="K156" s="120">
        <f t="shared" si="27"/>
        <v>5.301339285714286E-3</v>
      </c>
    </row>
    <row r="157" spans="1:11" x14ac:dyDescent="0.3">
      <c r="A157" s="116" t="s">
        <v>274</v>
      </c>
      <c r="B157" s="117">
        <f>VLOOKUP(MID($A157,1,2),'Free Spins Symbol'!$T$2:$Z$29,3,0)</f>
        <v>18</v>
      </c>
      <c r="C157" s="117">
        <f>VLOOKUP(MID($A157,4,2),'Free Spins Symbol'!$T$2:$Z$29,4,0)</f>
        <v>0</v>
      </c>
      <c r="D157" s="129">
        <f>'Free Spins Symbol'!$X$18</f>
        <v>40</v>
      </c>
      <c r="E157" s="117">
        <f>VLOOKUP(MID($A157,10,2),'Free Spins Symbol'!$T$2:$Z$29,6,0)</f>
        <v>32</v>
      </c>
      <c r="F157" s="117">
        <f>VLOOKUP(MID($A157,13,2),'Free Spins Symbol'!$T$2:$Z$29,7,0)</f>
        <v>48</v>
      </c>
      <c r="G157" s="100">
        <f>B157*C157*(D157-D156-D155-D154-D153-D152-D151-D150-D149-D148+8*D142)*E157*F157</f>
        <v>0</v>
      </c>
      <c r="H157" s="118" t="e">
        <f t="shared" si="22"/>
        <v>#DIV/0!</v>
      </c>
      <c r="I157" s="100">
        <v>5</v>
      </c>
      <c r="J157" s="119">
        <f t="shared" si="26"/>
        <v>0</v>
      </c>
      <c r="K157" s="120">
        <f t="shared" si="27"/>
        <v>0</v>
      </c>
    </row>
    <row r="158" spans="1:11" x14ac:dyDescent="0.3">
      <c r="A158" s="116" t="s">
        <v>275</v>
      </c>
      <c r="B158" s="117">
        <f>VLOOKUP(MID($A158,1,2),'Free Spins Symbol'!$T$2:$Z$29,3,0)</f>
        <v>20</v>
      </c>
      <c r="C158" s="117">
        <f>VLOOKUP(MID($A158,4,2),'Free Spins Symbol'!$T$2:$Z$29,4,0)</f>
        <v>2</v>
      </c>
      <c r="D158" s="129">
        <f>'Free Spins Symbol'!$X$18</f>
        <v>40</v>
      </c>
      <c r="E158" s="117">
        <f>VLOOKUP(MID($A158,10,2),'Free Spins Symbol'!$T$2:$Z$29,6,0)</f>
        <v>32</v>
      </c>
      <c r="F158" s="117">
        <f>VLOOKUP(MID($A158,13,2),'Free Spins Symbol'!$T$2:$Z$29,7,0)</f>
        <v>48</v>
      </c>
      <c r="G158" s="100">
        <f>(B158*C158-B157*C157)*(D158-D148)*E158*F158</f>
        <v>0</v>
      </c>
      <c r="H158" s="118" t="e">
        <f t="shared" si="22"/>
        <v>#DIV/0!</v>
      </c>
      <c r="I158" s="100">
        <v>5</v>
      </c>
      <c r="J158" s="119">
        <f t="shared" si="26"/>
        <v>0</v>
      </c>
      <c r="K158" s="120">
        <f t="shared" si="27"/>
        <v>0</v>
      </c>
    </row>
    <row r="159" spans="1:11" x14ac:dyDescent="0.3">
      <c r="A159" s="116" t="s">
        <v>276</v>
      </c>
      <c r="B159" s="117">
        <f>VLOOKUP(MID($A159,1,2),'Free Spins Symbol'!$T$2:$Z$29,3,0)</f>
        <v>22</v>
      </c>
      <c r="C159" s="117">
        <f>VLOOKUP(MID($A159,4,2),'Free Spins Symbol'!$T$2:$Z$29,4,0)</f>
        <v>2</v>
      </c>
      <c r="D159" s="129">
        <f>'Free Spins Symbol'!$X$18</f>
        <v>40</v>
      </c>
      <c r="E159" s="117">
        <f>VLOOKUP(MID($A159,10,2),'Free Spins Symbol'!$T$2:$Z$29,6,0)</f>
        <v>32</v>
      </c>
      <c r="F159" s="117">
        <f>VLOOKUP(MID($A159,13,2),'Free Spins Symbol'!$T$2:$Z$29,7,0)</f>
        <v>48</v>
      </c>
      <c r="G159" s="100">
        <f>(B159*C159-B157*C157)*(D159-D149)*E159*F159</f>
        <v>0</v>
      </c>
      <c r="H159" s="118" t="e">
        <f t="shared" si="22"/>
        <v>#DIV/0!</v>
      </c>
      <c r="I159" s="100">
        <v>5</v>
      </c>
      <c r="J159" s="119">
        <f t="shared" si="26"/>
        <v>0</v>
      </c>
      <c r="K159" s="120">
        <f t="shared" si="27"/>
        <v>0</v>
      </c>
    </row>
    <row r="160" spans="1:11" x14ac:dyDescent="0.3">
      <c r="A160" s="116" t="s">
        <v>277</v>
      </c>
      <c r="B160" s="117">
        <f>VLOOKUP(MID($A160,1,2),'Free Spins Symbol'!$T$2:$Z$29,3,0)</f>
        <v>24</v>
      </c>
      <c r="C160" s="117">
        <f>VLOOKUP(MID($A160,4,2),'Free Spins Symbol'!$T$2:$Z$29,4,0)</f>
        <v>4</v>
      </c>
      <c r="D160" s="129">
        <f>'Free Spins Symbol'!$X$18</f>
        <v>40</v>
      </c>
      <c r="E160" s="117">
        <f>VLOOKUP(MID($A160,10,2),'Free Spins Symbol'!$T$2:$Z$29,6,0)</f>
        <v>32</v>
      </c>
      <c r="F160" s="117">
        <f>VLOOKUP(MID($A160,13,2),'Free Spins Symbol'!$T$2:$Z$29,7,0)</f>
        <v>48</v>
      </c>
      <c r="G160" s="100">
        <f>(B160*C160-B157*C157)*(D160-D150)*E160*F160</f>
        <v>0</v>
      </c>
      <c r="H160" s="118" t="e">
        <f t="shared" si="22"/>
        <v>#DIV/0!</v>
      </c>
      <c r="I160" s="100">
        <v>5</v>
      </c>
      <c r="J160" s="119">
        <f t="shared" si="26"/>
        <v>0</v>
      </c>
      <c r="K160" s="120">
        <f t="shared" si="27"/>
        <v>0</v>
      </c>
    </row>
    <row r="161" spans="1:11" x14ac:dyDescent="0.3">
      <c r="A161" s="116" t="s">
        <v>278</v>
      </c>
      <c r="B161" s="117">
        <f>VLOOKUP(MID($A161,1,2),'Free Spins Symbol'!$T$2:$Z$29,3,0)</f>
        <v>24</v>
      </c>
      <c r="C161" s="117">
        <f>VLOOKUP(MID($A161,4,2),'Free Spins Symbol'!$T$2:$Z$29,4,0)</f>
        <v>4</v>
      </c>
      <c r="D161" s="129">
        <f>'Free Spins Symbol'!$X$18</f>
        <v>40</v>
      </c>
      <c r="E161" s="117">
        <f>VLOOKUP(MID($A161,10,2),'Free Spins Symbol'!$T$2:$Z$29,6,0)</f>
        <v>32</v>
      </c>
      <c r="F161" s="117">
        <f>VLOOKUP(MID($A161,13,2),'Free Spins Symbol'!$T$2:$Z$29,7,0)</f>
        <v>48</v>
      </c>
      <c r="G161" s="100">
        <f>(B161*C161-B157*C157)*(D161-D151)*E161*F161</f>
        <v>0</v>
      </c>
      <c r="H161" s="118" t="e">
        <f t="shared" si="22"/>
        <v>#DIV/0!</v>
      </c>
      <c r="I161" s="100">
        <v>5</v>
      </c>
      <c r="J161" s="119">
        <f t="shared" si="26"/>
        <v>0</v>
      </c>
      <c r="K161" s="120">
        <f t="shared" si="27"/>
        <v>0</v>
      </c>
    </row>
    <row r="162" spans="1:11" x14ac:dyDescent="0.3">
      <c r="A162" s="122" t="s">
        <v>279</v>
      </c>
      <c r="B162" s="117">
        <f>VLOOKUP(MID($A162,1,2),'Free Spins Symbol'!$T$2:$Z$29,3,0)</f>
        <v>100</v>
      </c>
      <c r="C162" s="117">
        <f>VLOOKUP(MID($A162,4,2),'Free Spins Symbol'!$T$2:$Z$29,4,0)</f>
        <v>8</v>
      </c>
      <c r="D162" s="117">
        <f>VLOOKUP(MID($A162,7,2),'Free Spins Symbol'!$T$2:$Z$29,5,0)</f>
        <v>4</v>
      </c>
      <c r="E162" s="117">
        <f>VLOOKUP(MID($A162,10,2),'Free Spins Symbol'!$T$2:$Z$29,6,0)</f>
        <v>16</v>
      </c>
      <c r="F162" s="117">
        <f>VLOOKUP(MID($A162,13,2),'Free Spins Symbol'!$T$2:$Z$29,7,0)</f>
        <v>48</v>
      </c>
      <c r="G162" s="100">
        <f>B162*C162*D162*E162*F162</f>
        <v>2457600</v>
      </c>
      <c r="H162" s="118">
        <f t="shared" si="22"/>
        <v>140</v>
      </c>
      <c r="I162" s="123">
        <v>2</v>
      </c>
      <c r="J162" s="124">
        <f t="shared" si="26"/>
        <v>1.4285714285714285E-2</v>
      </c>
      <c r="K162" s="120">
        <f t="shared" si="27"/>
        <v>7.1428571428571426E-3</v>
      </c>
    </row>
    <row r="166" spans="1:11" ht="16.8" thickBot="1" x14ac:dyDescent="0.35"/>
    <row r="167" spans="1:11" ht="16.8" thickBot="1" x14ac:dyDescent="0.35">
      <c r="A167" s="125" t="s">
        <v>296</v>
      </c>
    </row>
    <row r="168" spans="1:11" ht="16.8" thickBot="1" x14ac:dyDescent="0.35">
      <c r="A168" s="95" t="s">
        <v>280</v>
      </c>
      <c r="B168" s="142">
        <f>B2</f>
        <v>344064000</v>
      </c>
      <c r="C168" s="142"/>
      <c r="D168" s="142"/>
      <c r="E168" s="142"/>
      <c r="F168" s="142"/>
      <c r="G168" s="7"/>
      <c r="H168" s="106"/>
      <c r="I168" s="107" t="s">
        <v>281</v>
      </c>
      <c r="J168" s="108">
        <f>SUM(J170:J204)</f>
        <v>0.9201562499999999</v>
      </c>
      <c r="K168" s="126">
        <f>SUM(K170:K205)</f>
        <v>7.8334821428571427E-2</v>
      </c>
    </row>
    <row r="169" spans="1:11" ht="33" thickBot="1" x14ac:dyDescent="0.35">
      <c r="A169" s="109" t="s">
        <v>233</v>
      </c>
      <c r="B169" s="110" t="s">
        <v>234</v>
      </c>
      <c r="C169" s="110" t="s">
        <v>235</v>
      </c>
      <c r="D169" s="110" t="s">
        <v>236</v>
      </c>
      <c r="E169" s="110" t="s">
        <v>237</v>
      </c>
      <c r="F169" s="110" t="s">
        <v>238</v>
      </c>
      <c r="G169" s="111" t="s">
        <v>239</v>
      </c>
      <c r="H169" s="112" t="s">
        <v>240</v>
      </c>
      <c r="I169" s="113" t="s">
        <v>241</v>
      </c>
      <c r="J169" s="114" t="s">
        <v>242</v>
      </c>
      <c r="K169" s="115" t="s">
        <v>243</v>
      </c>
    </row>
    <row r="170" spans="1:11" x14ac:dyDescent="0.3">
      <c r="A170" s="116" t="s">
        <v>244</v>
      </c>
      <c r="B170" s="117">
        <f>VLOOKUP(MID($A170,1,2),'Free Spins Symbol'!$T$2:$Z$29,3,0)</f>
        <v>18</v>
      </c>
      <c r="C170" s="117">
        <f>VLOOKUP(MID($A170,4,2),'Free Spins Symbol'!$T$2:$Z$29,4,0)</f>
        <v>0</v>
      </c>
      <c r="D170" s="117">
        <f>VLOOKUP(MID($A170,7,2),'Free Spins Symbol'!$T$2:$Z$29,5,0)</f>
        <v>0</v>
      </c>
      <c r="E170" s="129">
        <f>'Free Spins Symbol'!$Y$18</f>
        <v>32</v>
      </c>
      <c r="F170" s="117">
        <f>VLOOKUP(MID($A170,13,2),'Free Spins Symbol'!$T$2:$Z$29,7,0)</f>
        <v>0</v>
      </c>
      <c r="G170" s="100">
        <f>B170*C170*D170*E170*F170</f>
        <v>0</v>
      </c>
      <c r="H170" s="118" t="e">
        <f>B$2/G170</f>
        <v>#DIV/0!</v>
      </c>
      <c r="I170" s="100">
        <v>500</v>
      </c>
      <c r="J170" s="119">
        <f t="shared" ref="J170:J174" si="29">K170*I170</f>
        <v>0</v>
      </c>
      <c r="K170" s="120">
        <f>G170/B$2</f>
        <v>0</v>
      </c>
    </row>
    <row r="171" spans="1:11" x14ac:dyDescent="0.3">
      <c r="A171" s="116" t="s">
        <v>245</v>
      </c>
      <c r="B171" s="117">
        <f>VLOOKUP(MID($A171,1,2),'Free Spins Symbol'!$T$2:$Z$29,3,0)</f>
        <v>20</v>
      </c>
      <c r="C171" s="117">
        <f>VLOOKUP(MID($A171,4,2),'Free Spins Symbol'!$T$2:$Z$29,4,0)</f>
        <v>2</v>
      </c>
      <c r="D171" s="117">
        <f>VLOOKUP(MID($A171,7,2),'Free Spins Symbol'!$T$2:$Z$29,5,0)</f>
        <v>2</v>
      </c>
      <c r="E171" s="129">
        <f>'Free Spins Symbol'!$Y$18</f>
        <v>32</v>
      </c>
      <c r="F171" s="117">
        <f>VLOOKUP(MID($A171,13,2),'Free Spins Symbol'!$T$2:$Z$29,7,0)</f>
        <v>1</v>
      </c>
      <c r="G171" s="100">
        <f>B171*C171*D171*E171*F171-G170</f>
        <v>2560</v>
      </c>
      <c r="H171" s="118">
        <f t="shared" ref="H171:H205" si="30">B$2/G171</f>
        <v>134400</v>
      </c>
      <c r="I171" s="100">
        <v>250</v>
      </c>
      <c r="J171" s="119">
        <f t="shared" si="29"/>
        <v>1.8601190476190475E-3</v>
      </c>
      <c r="K171" s="120">
        <f t="shared" ref="K171:K174" si="31">G171/B$2</f>
        <v>7.4404761904761905E-6</v>
      </c>
    </row>
    <row r="172" spans="1:11" x14ac:dyDescent="0.3">
      <c r="A172" s="116" t="s">
        <v>246</v>
      </c>
      <c r="B172" s="117">
        <f>VLOOKUP(MID($A172,1,2),'Free Spins Symbol'!$T$2:$Z$29,3,0)</f>
        <v>22</v>
      </c>
      <c r="C172" s="117">
        <f>VLOOKUP(MID($A172,4,2),'Free Spins Symbol'!$T$2:$Z$29,4,0)</f>
        <v>2</v>
      </c>
      <c r="D172" s="117">
        <f>VLOOKUP(MID($A172,7,2),'Free Spins Symbol'!$T$2:$Z$29,5,0)</f>
        <v>3</v>
      </c>
      <c r="E172" s="129">
        <f>'Free Spins Symbol'!$Y$18</f>
        <v>32</v>
      </c>
      <c r="F172" s="117">
        <f>VLOOKUP(MID($A172,13,2),'Free Spins Symbol'!$T$2:$Z$29,7,0)</f>
        <v>1</v>
      </c>
      <c r="G172" s="100">
        <f>B172*C172*D172*E172*F172-G170</f>
        <v>4224</v>
      </c>
      <c r="H172" s="118">
        <f t="shared" si="30"/>
        <v>81454.545454545456</v>
      </c>
      <c r="I172" s="100">
        <v>250</v>
      </c>
      <c r="J172" s="119">
        <f t="shared" si="29"/>
        <v>3.0691964285714285E-3</v>
      </c>
      <c r="K172" s="120">
        <f t="shared" si="31"/>
        <v>1.2276785714285715E-5</v>
      </c>
    </row>
    <row r="173" spans="1:11" x14ac:dyDescent="0.3">
      <c r="A173" s="116" t="s">
        <v>247</v>
      </c>
      <c r="B173" s="117">
        <f>VLOOKUP(MID($A173,1,2),'Free Spins Symbol'!$T$2:$Z$29,3,0)</f>
        <v>24</v>
      </c>
      <c r="C173" s="117">
        <f>VLOOKUP(MID($A173,4,2),'Free Spins Symbol'!$T$2:$Z$29,4,0)</f>
        <v>4</v>
      </c>
      <c r="D173" s="117">
        <f>VLOOKUP(MID($A173,7,2),'Free Spins Symbol'!$T$2:$Z$29,5,0)</f>
        <v>2</v>
      </c>
      <c r="E173" s="129">
        <f>'Free Spins Symbol'!$Y$18</f>
        <v>32</v>
      </c>
      <c r="F173" s="117">
        <f>VLOOKUP(MID($A173,13,2),'Free Spins Symbol'!$T$2:$Z$29,7,0)</f>
        <v>5</v>
      </c>
      <c r="G173" s="100">
        <f>B173*C173*D173*E173*F173-G170</f>
        <v>30720</v>
      </c>
      <c r="H173" s="118">
        <f t="shared" si="30"/>
        <v>11200</v>
      </c>
      <c r="I173" s="100">
        <v>150</v>
      </c>
      <c r="J173" s="119">
        <f t="shared" si="29"/>
        <v>1.3392857142857142E-2</v>
      </c>
      <c r="K173" s="120">
        <f t="shared" si="31"/>
        <v>8.9285714285714286E-5</v>
      </c>
    </row>
    <row r="174" spans="1:11" x14ac:dyDescent="0.3">
      <c r="A174" s="116" t="s">
        <v>248</v>
      </c>
      <c r="B174" s="117">
        <f>VLOOKUP(MID($A174,1,2),'Free Spins Symbol'!$T$2:$Z$29,3,0)</f>
        <v>24</v>
      </c>
      <c r="C174" s="117">
        <f>VLOOKUP(MID($A174,4,2),'Free Spins Symbol'!$T$2:$Z$29,4,0)</f>
        <v>4</v>
      </c>
      <c r="D174" s="117">
        <f>VLOOKUP(MID($A174,7,2),'Free Spins Symbol'!$T$2:$Z$29,5,0)</f>
        <v>2</v>
      </c>
      <c r="E174" s="129">
        <f>'Free Spins Symbol'!$Y$18</f>
        <v>32</v>
      </c>
      <c r="F174" s="117">
        <f>VLOOKUP(MID($A174,13,2),'Free Spins Symbol'!$T$2:$Z$29,7,0)</f>
        <v>5</v>
      </c>
      <c r="G174" s="100">
        <f>B174*C174*D174*E174*F174-G170</f>
        <v>30720</v>
      </c>
      <c r="H174" s="118">
        <f t="shared" si="30"/>
        <v>11200</v>
      </c>
      <c r="I174" s="100">
        <v>150</v>
      </c>
      <c r="J174" s="119">
        <f t="shared" si="29"/>
        <v>1.3392857142857142E-2</v>
      </c>
      <c r="K174" s="120">
        <f t="shared" si="31"/>
        <v>8.9285714285714286E-5</v>
      </c>
    </row>
    <row r="175" spans="1:11" x14ac:dyDescent="0.3">
      <c r="A175" s="116" t="s">
        <v>254</v>
      </c>
      <c r="B175" s="117">
        <f>VLOOKUP(MID($A175,1,2),'Free Spins Symbol'!$T$2:$Z$29,3,0)</f>
        <v>18</v>
      </c>
      <c r="C175" s="117">
        <f>VLOOKUP(MID($A175,4,2),'Free Spins Symbol'!$T$2:$Z$29,4,0)</f>
        <v>0</v>
      </c>
      <c r="D175" s="117">
        <f>VLOOKUP(MID($A175,7,2),'Free Spins Symbol'!$T$2:$Z$29,5,0)</f>
        <v>0</v>
      </c>
      <c r="E175" s="129">
        <f>'Free Spins Symbol'!$Y$18</f>
        <v>32</v>
      </c>
      <c r="F175" s="117">
        <f>VLOOKUP(MID($A175,13,2),'Free Spins Symbol'!$T$2:$Z$29,7,0)</f>
        <v>48</v>
      </c>
      <c r="G175" s="100">
        <f>B175*C175*D175*E175*(F175-F174-F173-F172-F171+3*F170)</f>
        <v>0</v>
      </c>
      <c r="H175" s="118" t="e">
        <f t="shared" si="30"/>
        <v>#DIV/0!</v>
      </c>
      <c r="I175" s="100">
        <v>100</v>
      </c>
      <c r="J175" s="119">
        <f>K175*I175</f>
        <v>0</v>
      </c>
      <c r="K175" s="120">
        <f>G175/B$2</f>
        <v>0</v>
      </c>
    </row>
    <row r="176" spans="1:11" x14ac:dyDescent="0.3">
      <c r="A176" s="116" t="s">
        <v>249</v>
      </c>
      <c r="B176" s="117">
        <f>VLOOKUP(MID($A176,1,2),'Free Spins Symbol'!$T$2:$Z$29,3,0)</f>
        <v>38</v>
      </c>
      <c r="C176" s="117">
        <f>VLOOKUP(MID($A176,4,2),'Free Spins Symbol'!$T$2:$Z$29,4,0)</f>
        <v>13</v>
      </c>
      <c r="D176" s="117">
        <f>VLOOKUP(MID($A176,7,2),'Free Spins Symbol'!$T$2:$Z$29,5,0)</f>
        <v>1</v>
      </c>
      <c r="E176" s="129">
        <f>'Free Spins Symbol'!$Y$18</f>
        <v>32</v>
      </c>
      <c r="F176" s="117">
        <f>VLOOKUP(MID($A176,13,2),'Free Spins Symbol'!$T$2:$Z$29,7,0)</f>
        <v>2</v>
      </c>
      <c r="G176" s="100">
        <f>B176*C176*D176*E176*F176-G170</f>
        <v>31616</v>
      </c>
      <c r="H176" s="118">
        <f t="shared" si="30"/>
        <v>10882.591093117409</v>
      </c>
      <c r="I176" s="100">
        <v>100</v>
      </c>
      <c r="J176" s="119">
        <f t="shared" ref="J176:J184" si="32">K176*I176</f>
        <v>9.1889880952380956E-3</v>
      </c>
      <c r="K176" s="120">
        <f t="shared" ref="K176:K184" si="33">G176/B$2</f>
        <v>9.188988095238095E-5</v>
      </c>
    </row>
    <row r="177" spans="1:11" x14ac:dyDescent="0.3">
      <c r="A177" s="116" t="s">
        <v>250</v>
      </c>
      <c r="B177" s="117">
        <f>VLOOKUP(MID($A177,1,2),'Free Spins Symbol'!$T$2:$Z$29,3,0)</f>
        <v>35</v>
      </c>
      <c r="C177" s="117">
        <f>VLOOKUP(MID($A177,4,2),'Free Spins Symbol'!$T$2:$Z$29,4,0)</f>
        <v>1</v>
      </c>
      <c r="D177" s="117">
        <f>VLOOKUP(MID($A177,7,2),'Free Spins Symbol'!$T$2:$Z$29,5,0)</f>
        <v>9</v>
      </c>
      <c r="E177" s="129">
        <f>'Free Spins Symbol'!$Y$18</f>
        <v>32</v>
      </c>
      <c r="F177" s="117">
        <f>VLOOKUP(MID($A177,13,2),'Free Spins Symbol'!$T$2:$Z$29,7,0)</f>
        <v>11</v>
      </c>
      <c r="G177" s="100">
        <f>B177*C177*D177*E177*F177-G170</f>
        <v>110880</v>
      </c>
      <c r="H177" s="118">
        <f t="shared" si="30"/>
        <v>3103.030303030303</v>
      </c>
      <c r="I177" s="100">
        <v>100</v>
      </c>
      <c r="J177" s="119">
        <f t="shared" si="32"/>
        <v>3.22265625E-2</v>
      </c>
      <c r="K177" s="120">
        <f t="shared" si="33"/>
        <v>3.2226562500000002E-4</v>
      </c>
    </row>
    <row r="178" spans="1:11" x14ac:dyDescent="0.3">
      <c r="A178" s="116" t="s">
        <v>251</v>
      </c>
      <c r="B178" s="117">
        <f>VLOOKUP(MID($A178,1,2),'Free Spins Symbol'!$T$2:$Z$29,3,0)</f>
        <v>28</v>
      </c>
      <c r="C178" s="117">
        <f>VLOOKUP(MID($A178,4,2),'Free Spins Symbol'!$T$2:$Z$29,4,0)</f>
        <v>13</v>
      </c>
      <c r="D178" s="117">
        <f>VLOOKUP(MID($A178,7,2),'Free Spins Symbol'!$T$2:$Z$29,5,0)</f>
        <v>9</v>
      </c>
      <c r="E178" s="129">
        <f>'Free Spins Symbol'!$Y$18</f>
        <v>32</v>
      </c>
      <c r="F178" s="117">
        <f>VLOOKUP(MID($A178,13,2),'Free Spins Symbol'!$T$2:$Z$29,7,0)</f>
        <v>1</v>
      </c>
      <c r="G178" s="100">
        <f>B178*C178*D178*E178*F178-G170</f>
        <v>104832</v>
      </c>
      <c r="H178" s="118">
        <f t="shared" si="30"/>
        <v>3282.0512820512822</v>
      </c>
      <c r="I178" s="100">
        <v>100</v>
      </c>
      <c r="J178" s="119">
        <f t="shared" si="32"/>
        <v>3.0468749999999999E-2</v>
      </c>
      <c r="K178" s="120">
        <f t="shared" si="33"/>
        <v>3.046875E-4</v>
      </c>
    </row>
    <row r="179" spans="1:11" x14ac:dyDescent="0.3">
      <c r="A179" s="116" t="s">
        <v>252</v>
      </c>
      <c r="B179" s="117">
        <f>VLOOKUP(MID($A179,1,2),'Free Spins Symbol'!$T$2:$Z$29,3,0)</f>
        <v>34</v>
      </c>
      <c r="C179" s="117">
        <f>VLOOKUP(MID($A179,4,2),'Free Spins Symbol'!$T$2:$Z$29,4,0)</f>
        <v>13</v>
      </c>
      <c r="D179" s="117">
        <f>VLOOKUP(MID($A179,7,2),'Free Spins Symbol'!$T$2:$Z$29,5,0)</f>
        <v>1</v>
      </c>
      <c r="E179" s="129">
        <f>'Free Spins Symbol'!$Y$18</f>
        <v>32</v>
      </c>
      <c r="F179" s="117">
        <f>VLOOKUP(MID($A179,13,2),'Free Spins Symbol'!$T$2:$Z$29,7,0)</f>
        <v>11</v>
      </c>
      <c r="G179" s="100">
        <f>(B179*C179*D179*E179-B175*C175*D175*E175)*F179</f>
        <v>155584</v>
      </c>
      <c r="H179" s="118">
        <f t="shared" si="30"/>
        <v>2211.4356232003292</v>
      </c>
      <c r="I179" s="100">
        <v>100</v>
      </c>
      <c r="J179" s="119">
        <f t="shared" si="32"/>
        <v>4.5219494047619047E-2</v>
      </c>
      <c r="K179" s="120">
        <f t="shared" si="33"/>
        <v>4.5219494047619047E-4</v>
      </c>
    </row>
    <row r="180" spans="1:11" x14ac:dyDescent="0.3">
      <c r="A180" s="116" t="s">
        <v>253</v>
      </c>
      <c r="B180" s="117">
        <f>VLOOKUP(MID($A180,1,2),'Free Spins Symbol'!$T$2:$Z$29,3,0)</f>
        <v>19</v>
      </c>
      <c r="C180" s="117">
        <f>VLOOKUP(MID($A180,4,2),'Free Spins Symbol'!$T$2:$Z$29,4,0)</f>
        <v>2</v>
      </c>
      <c r="D180" s="117">
        <f>VLOOKUP(MID($A180,7,2),'Free Spins Symbol'!$T$2:$Z$29,5,0)</f>
        <v>10</v>
      </c>
      <c r="E180" s="129">
        <f>'Free Spins Symbol'!$Y$18</f>
        <v>32</v>
      </c>
      <c r="F180" s="117">
        <f>VLOOKUP(MID($A180,13,2),'Free Spins Symbol'!$T$2:$Z$29,7,0)</f>
        <v>11</v>
      </c>
      <c r="G180" s="100">
        <f>B180*C180*D180*E180*F180-G170</f>
        <v>133760</v>
      </c>
      <c r="H180" s="118">
        <f t="shared" si="30"/>
        <v>2572.2488038277511</v>
      </c>
      <c r="I180" s="100">
        <v>100</v>
      </c>
      <c r="J180" s="119">
        <f t="shared" si="32"/>
        <v>3.8876488095238096E-2</v>
      </c>
      <c r="K180" s="120">
        <f t="shared" si="33"/>
        <v>3.8876488095238097E-4</v>
      </c>
    </row>
    <row r="181" spans="1:11" x14ac:dyDescent="0.3">
      <c r="A181" s="116" t="s">
        <v>255</v>
      </c>
      <c r="B181" s="117">
        <f>VLOOKUP(MID($A181,1,2),'Free Spins Symbol'!$T$2:$Z$29,3,0)</f>
        <v>20</v>
      </c>
      <c r="C181" s="117">
        <f>VLOOKUP(MID($A181,4,2),'Free Spins Symbol'!$T$2:$Z$29,4,0)</f>
        <v>2</v>
      </c>
      <c r="D181" s="117">
        <f>VLOOKUP(MID($A181,7,2),'Free Spins Symbol'!$T$2:$Z$29,5,0)</f>
        <v>2</v>
      </c>
      <c r="E181" s="129">
        <f>'Free Spins Symbol'!$Y$18</f>
        <v>32</v>
      </c>
      <c r="F181" s="117">
        <f>VLOOKUP(MID($A181,13,2),'Free Spins Symbol'!$T$2:$Z$29,7,0)</f>
        <v>48</v>
      </c>
      <c r="G181" s="100">
        <f>(B181*C181*D181*E181-B175*C175*D175*E175)*(F181-F171)</f>
        <v>120320</v>
      </c>
      <c r="H181" s="118">
        <f t="shared" si="30"/>
        <v>2859.5744680851062</v>
      </c>
      <c r="I181" s="100">
        <v>50</v>
      </c>
      <c r="J181" s="119">
        <f t="shared" si="32"/>
        <v>1.7485119047619048E-2</v>
      </c>
      <c r="K181" s="120">
        <f t="shared" si="33"/>
        <v>3.4970238095238094E-4</v>
      </c>
    </row>
    <row r="182" spans="1:11" x14ac:dyDescent="0.3">
      <c r="A182" s="116" t="s">
        <v>256</v>
      </c>
      <c r="B182" s="117">
        <f>VLOOKUP(MID($A182,1,2),'Free Spins Symbol'!$T$2:$Z$29,3,0)</f>
        <v>22</v>
      </c>
      <c r="C182" s="117">
        <f>VLOOKUP(MID($A182,4,2),'Free Spins Symbol'!$T$2:$Z$29,4,0)</f>
        <v>2</v>
      </c>
      <c r="D182" s="117">
        <f>VLOOKUP(MID($A182,7,2),'Free Spins Symbol'!$T$2:$Z$29,5,0)</f>
        <v>3</v>
      </c>
      <c r="E182" s="129">
        <f>'Free Spins Symbol'!$Y$18</f>
        <v>32</v>
      </c>
      <c r="F182" s="117">
        <f>VLOOKUP(MID($A182,13,2),'Free Spins Symbol'!$T$2:$Z$29,7,0)</f>
        <v>48</v>
      </c>
      <c r="G182" s="100">
        <f>(B182*C182*D182*E182-B175*C175*D175*E175)*(F182-F172)</f>
        <v>198528</v>
      </c>
      <c r="H182" s="118">
        <f t="shared" si="30"/>
        <v>1733.0754352030947</v>
      </c>
      <c r="I182" s="100">
        <v>50</v>
      </c>
      <c r="J182" s="119">
        <f t="shared" si="32"/>
        <v>2.885044642857143E-2</v>
      </c>
      <c r="K182" s="120">
        <f t="shared" si="33"/>
        <v>5.7700892857142857E-4</v>
      </c>
    </row>
    <row r="183" spans="1:11" x14ac:dyDescent="0.3">
      <c r="A183" s="116" t="s">
        <v>257</v>
      </c>
      <c r="B183" s="117">
        <f>VLOOKUP(MID($A183,1,2),'Free Spins Symbol'!$T$2:$Z$29,3,0)</f>
        <v>24</v>
      </c>
      <c r="C183" s="117">
        <f>VLOOKUP(MID($A183,4,2),'Free Spins Symbol'!$T$2:$Z$29,4,0)</f>
        <v>4</v>
      </c>
      <c r="D183" s="117">
        <f>VLOOKUP(MID($A183,7,2),'Free Spins Symbol'!$T$2:$Z$29,5,0)</f>
        <v>2</v>
      </c>
      <c r="E183" s="129">
        <f>'Free Spins Symbol'!$Y$18</f>
        <v>32</v>
      </c>
      <c r="F183" s="117">
        <f>VLOOKUP(MID($A183,13,2),'Free Spins Symbol'!$T$2:$Z$29,7,0)</f>
        <v>48</v>
      </c>
      <c r="G183" s="100">
        <f>(B183*C183*D183*E183-B175*C175*D175*E175)*(F183-F173)</f>
        <v>264192</v>
      </c>
      <c r="H183" s="118">
        <f t="shared" si="30"/>
        <v>1302.3255813953488</v>
      </c>
      <c r="I183" s="100">
        <v>30</v>
      </c>
      <c r="J183" s="119">
        <f t="shared" si="32"/>
        <v>2.3035714285714284E-2</v>
      </c>
      <c r="K183" s="120">
        <f t="shared" si="33"/>
        <v>7.6785714285714283E-4</v>
      </c>
    </row>
    <row r="184" spans="1:11" x14ac:dyDescent="0.3">
      <c r="A184" s="116" t="s">
        <v>258</v>
      </c>
      <c r="B184" s="117">
        <f>VLOOKUP(MID($A184,1,2),'Free Spins Symbol'!$T$2:$Z$29,3,0)</f>
        <v>24</v>
      </c>
      <c r="C184" s="117">
        <f>VLOOKUP(MID($A184,4,2),'Free Spins Symbol'!$T$2:$Z$29,4,0)</f>
        <v>4</v>
      </c>
      <c r="D184" s="117">
        <f>VLOOKUP(MID($A184,7,2),'Free Spins Symbol'!$T$2:$Z$29,5,0)</f>
        <v>2</v>
      </c>
      <c r="E184" s="129">
        <f>'Free Spins Symbol'!$Y$18</f>
        <v>32</v>
      </c>
      <c r="F184" s="117">
        <f>VLOOKUP(MID($A184,13,2),'Free Spins Symbol'!$T$2:$Z$29,7,0)</f>
        <v>48</v>
      </c>
      <c r="G184" s="100">
        <f>(B184*C184*D184*E184-B175*C175*D175*E175)*(F184-F174)</f>
        <v>264192</v>
      </c>
      <c r="H184" s="118">
        <f t="shared" si="30"/>
        <v>1302.3255813953488</v>
      </c>
      <c r="I184" s="100">
        <v>30</v>
      </c>
      <c r="J184" s="119">
        <f t="shared" si="32"/>
        <v>2.3035714285714284E-2</v>
      </c>
      <c r="K184" s="120">
        <f t="shared" si="33"/>
        <v>7.6785714285714283E-4</v>
      </c>
    </row>
    <row r="185" spans="1:11" x14ac:dyDescent="0.3">
      <c r="A185" s="116" t="s">
        <v>264</v>
      </c>
      <c r="B185" s="117">
        <f>VLOOKUP(MID($A185,1,2),'Free Spins Symbol'!$T$2:$Z$29,3,0)</f>
        <v>18</v>
      </c>
      <c r="C185" s="117">
        <f>VLOOKUP(MID($A185,4,2),'Free Spins Symbol'!$T$2:$Z$29,4,0)</f>
        <v>0</v>
      </c>
      <c r="D185" s="117">
        <f>VLOOKUP(MID($A185,7,2),'Free Spins Symbol'!$T$2:$Z$29,5,0)</f>
        <v>0</v>
      </c>
      <c r="E185" s="129">
        <f>'Free Spins Symbol'!$Y$18</f>
        <v>32</v>
      </c>
      <c r="F185" s="117">
        <f>VLOOKUP(MID($A185,13,2),'Free Spins Symbol'!$T$2:$Z$29,7,0)</f>
        <v>48</v>
      </c>
      <c r="G185" s="100">
        <f>(B185*C185*D185)*(E185*F185-(E184+E183+E182+E181-3*E175)*F175-(E180-E175)*F180-(E179-E175)*F179-(E178-E175)*F178-(E177-E175)*F177-(E176-E175)*F176)</f>
        <v>0</v>
      </c>
      <c r="H185" s="118" t="e">
        <f t="shared" si="30"/>
        <v>#DIV/0!</v>
      </c>
      <c r="I185" s="100">
        <v>20</v>
      </c>
      <c r="J185" s="119">
        <f>K185*I185</f>
        <v>0</v>
      </c>
      <c r="K185" s="120">
        <f>G185/B$2</f>
        <v>0</v>
      </c>
    </row>
    <row r="186" spans="1:11" x14ac:dyDescent="0.3">
      <c r="A186" s="116" t="s">
        <v>259</v>
      </c>
      <c r="B186" s="117">
        <f>VLOOKUP(MID($A186,1,2),'Free Spins Symbol'!$T$2:$Z$29,3,0)</f>
        <v>38</v>
      </c>
      <c r="C186" s="117">
        <f>VLOOKUP(MID($A186,4,2),'Free Spins Symbol'!$T$2:$Z$29,4,0)</f>
        <v>13</v>
      </c>
      <c r="D186" s="117">
        <f>VLOOKUP(MID($A186,7,2),'Free Spins Symbol'!$T$2:$Z$29,5,0)</f>
        <v>1</v>
      </c>
      <c r="E186" s="129">
        <f>'Free Spins Symbol'!$Y$18</f>
        <v>32</v>
      </c>
      <c r="F186" s="117">
        <f>VLOOKUP(MID($A186,13,2),'Free Spins Symbol'!$T$2:$Z$29,7,0)</f>
        <v>48</v>
      </c>
      <c r="G186" s="100">
        <f>B186*C186*D186*E186*(F186-F176)</f>
        <v>727168</v>
      </c>
      <c r="H186" s="118">
        <f t="shared" si="30"/>
        <v>473.15613448336558</v>
      </c>
      <c r="I186" s="100">
        <v>20</v>
      </c>
      <c r="J186" s="119">
        <f t="shared" ref="J186:J205" si="34">K186*I186</f>
        <v>4.2269345238095238E-2</v>
      </c>
      <c r="K186" s="120">
        <f t="shared" ref="K186:K205" si="35">G186/B$2</f>
        <v>2.1134672619047617E-3</v>
      </c>
    </row>
    <row r="187" spans="1:11" x14ac:dyDescent="0.3">
      <c r="A187" s="116" t="s">
        <v>260</v>
      </c>
      <c r="B187" s="117">
        <f>VLOOKUP(MID($A187,1,2),'Free Spins Symbol'!$T$2:$Z$29,3,0)</f>
        <v>35</v>
      </c>
      <c r="C187" s="117">
        <f>VLOOKUP(MID($A187,4,2),'Free Spins Symbol'!$T$2:$Z$29,4,0)</f>
        <v>1</v>
      </c>
      <c r="D187" s="117">
        <f>VLOOKUP(MID($A187,7,2),'Free Spins Symbol'!$T$2:$Z$29,5,0)</f>
        <v>9</v>
      </c>
      <c r="E187" s="129">
        <f>'Free Spins Symbol'!$Y$18</f>
        <v>32</v>
      </c>
      <c r="F187" s="117">
        <f>VLOOKUP(MID($A187,13,2),'Free Spins Symbol'!$T$2:$Z$29,7,0)</f>
        <v>48</v>
      </c>
      <c r="G187" s="100">
        <f t="shared" ref="G187:G190" si="36">B187*C187*D187*E187*(F187-F177)</f>
        <v>372960</v>
      </c>
      <c r="H187" s="118">
        <f t="shared" si="30"/>
        <v>922.52252252252254</v>
      </c>
      <c r="I187" s="100">
        <v>20</v>
      </c>
      <c r="J187" s="119">
        <f t="shared" si="34"/>
        <v>2.1679687500000003E-2</v>
      </c>
      <c r="K187" s="120">
        <f t="shared" si="35"/>
        <v>1.0839843750000001E-3</v>
      </c>
    </row>
    <row r="188" spans="1:11" x14ac:dyDescent="0.3">
      <c r="A188" s="116" t="s">
        <v>261</v>
      </c>
      <c r="B188" s="117">
        <f>VLOOKUP(MID($A188,1,2),'Free Spins Symbol'!$T$2:$Z$29,3,0)</f>
        <v>28</v>
      </c>
      <c r="C188" s="117">
        <f>VLOOKUP(MID($A188,4,2),'Free Spins Symbol'!$T$2:$Z$29,4,0)</f>
        <v>13</v>
      </c>
      <c r="D188" s="117">
        <f>VLOOKUP(MID($A188,7,2),'Free Spins Symbol'!$T$2:$Z$29,5,0)</f>
        <v>9</v>
      </c>
      <c r="E188" s="129">
        <f>'Free Spins Symbol'!$Y$18</f>
        <v>32</v>
      </c>
      <c r="F188" s="117">
        <f>VLOOKUP(MID($A188,13,2),'Free Spins Symbol'!$T$2:$Z$29,7,0)</f>
        <v>48</v>
      </c>
      <c r="G188" s="100">
        <f t="shared" si="36"/>
        <v>4927104</v>
      </c>
      <c r="H188" s="118">
        <f t="shared" si="30"/>
        <v>69.830878341516637</v>
      </c>
      <c r="I188" s="100">
        <v>20</v>
      </c>
      <c r="J188" s="119">
        <f t="shared" si="34"/>
        <v>0.28640624999999997</v>
      </c>
      <c r="K188" s="120">
        <f t="shared" si="35"/>
        <v>1.43203125E-2</v>
      </c>
    </row>
    <row r="189" spans="1:11" x14ac:dyDescent="0.3">
      <c r="A189" s="116" t="s">
        <v>262</v>
      </c>
      <c r="B189" s="117">
        <f>VLOOKUP(MID($A189,1,2),'Free Spins Symbol'!$T$2:$Z$29,3,0)</f>
        <v>34</v>
      </c>
      <c r="C189" s="117">
        <f>VLOOKUP(MID($A189,4,2),'Free Spins Symbol'!$T$2:$Z$29,4,0)</f>
        <v>13</v>
      </c>
      <c r="D189" s="117">
        <f>VLOOKUP(MID($A189,7,2),'Free Spins Symbol'!$T$2:$Z$29,5,0)</f>
        <v>1</v>
      </c>
      <c r="E189" s="129">
        <f>'Free Spins Symbol'!$Y$18</f>
        <v>32</v>
      </c>
      <c r="F189" s="117">
        <f>VLOOKUP(MID($A189,13,2),'Free Spins Symbol'!$T$2:$Z$29,7,0)</f>
        <v>48</v>
      </c>
      <c r="G189" s="100">
        <f t="shared" si="36"/>
        <v>523328</v>
      </c>
      <c r="H189" s="118">
        <f t="shared" si="30"/>
        <v>657.45383392442216</v>
      </c>
      <c r="I189" s="100">
        <v>20</v>
      </c>
      <c r="J189" s="119">
        <f t="shared" si="34"/>
        <v>3.0420386904761905E-2</v>
      </c>
      <c r="K189" s="120">
        <f t="shared" si="35"/>
        <v>1.5210193452380952E-3</v>
      </c>
    </row>
    <row r="190" spans="1:11" x14ac:dyDescent="0.3">
      <c r="A190" s="116" t="s">
        <v>263</v>
      </c>
      <c r="B190" s="117">
        <f>VLOOKUP(MID($A190,1,2),'Free Spins Symbol'!$T$2:$Z$29,3,0)</f>
        <v>19</v>
      </c>
      <c r="C190" s="117">
        <f>VLOOKUP(MID($A190,4,2),'Free Spins Symbol'!$T$2:$Z$29,4,0)</f>
        <v>2</v>
      </c>
      <c r="D190" s="117">
        <f>VLOOKUP(MID($A190,7,2),'Free Spins Symbol'!$T$2:$Z$29,5,0)</f>
        <v>10</v>
      </c>
      <c r="E190" s="129">
        <f>'Free Spins Symbol'!$Y$18</f>
        <v>32</v>
      </c>
      <c r="F190" s="117">
        <f>VLOOKUP(MID($A190,13,2),'Free Spins Symbol'!$T$2:$Z$29,7,0)</f>
        <v>48</v>
      </c>
      <c r="G190" s="100">
        <f t="shared" si="36"/>
        <v>449920</v>
      </c>
      <c r="H190" s="118">
        <f t="shared" si="30"/>
        <v>764.72261735419625</v>
      </c>
      <c r="I190" s="100">
        <v>20</v>
      </c>
      <c r="J190" s="119">
        <f t="shared" si="34"/>
        <v>2.615327380952381E-2</v>
      </c>
      <c r="K190" s="120">
        <f t="shared" si="35"/>
        <v>1.3076636904761905E-3</v>
      </c>
    </row>
    <row r="191" spans="1:11" x14ac:dyDescent="0.3">
      <c r="A191" s="116" t="s">
        <v>265</v>
      </c>
      <c r="B191" s="117">
        <f>VLOOKUP(MID($A191,1,2),'Free Spins Symbol'!$T$2:$Z$29,3,0)</f>
        <v>20</v>
      </c>
      <c r="C191" s="117">
        <f>VLOOKUP(MID($A191,4,2),'Free Spins Symbol'!$T$2:$Z$29,4,0)</f>
        <v>2</v>
      </c>
      <c r="D191" s="117">
        <f>VLOOKUP(MID($A191,7,2),'Free Spins Symbol'!$T$2:$Z$29,5,0)</f>
        <v>2</v>
      </c>
      <c r="E191" s="129">
        <f>'Free Spins Symbol'!$Y$18</f>
        <v>32</v>
      </c>
      <c r="F191" s="117">
        <f>VLOOKUP(MID($A191,13,2),'Free Spins Symbol'!$T$2:$Z$29,7,0)</f>
        <v>48</v>
      </c>
      <c r="G191" s="100">
        <f>(B191*C191*D191)*(E191-E181)*F191</f>
        <v>0</v>
      </c>
      <c r="H191" s="118" t="e">
        <f t="shared" si="30"/>
        <v>#DIV/0!</v>
      </c>
      <c r="I191" s="100">
        <v>20</v>
      </c>
      <c r="J191" s="119">
        <f t="shared" si="34"/>
        <v>0</v>
      </c>
      <c r="K191" s="120">
        <f t="shared" si="35"/>
        <v>0</v>
      </c>
    </row>
    <row r="192" spans="1:11" x14ac:dyDescent="0.3">
      <c r="A192" s="116" t="s">
        <v>266</v>
      </c>
      <c r="B192" s="117">
        <f>VLOOKUP(MID($A192,1,2),'Free Spins Symbol'!$T$2:$Z$29,3,0)</f>
        <v>22</v>
      </c>
      <c r="C192" s="117">
        <f>VLOOKUP(MID($A192,4,2),'Free Spins Symbol'!$T$2:$Z$29,4,0)</f>
        <v>2</v>
      </c>
      <c r="D192" s="117">
        <f>VLOOKUP(MID($A192,7,2),'Free Spins Symbol'!$T$2:$Z$29,5,0)</f>
        <v>3</v>
      </c>
      <c r="E192" s="129">
        <f>'Free Spins Symbol'!$Y$18</f>
        <v>32</v>
      </c>
      <c r="F192" s="117">
        <f>VLOOKUP(MID($A192,13,2),'Free Spins Symbol'!$T$2:$Z$29,7,0)</f>
        <v>48</v>
      </c>
      <c r="G192" s="100">
        <f>(B192*C192*D192)*(E192-E182)*F192</f>
        <v>0</v>
      </c>
      <c r="H192" s="118" t="e">
        <f t="shared" si="30"/>
        <v>#DIV/0!</v>
      </c>
      <c r="I192" s="100">
        <v>20</v>
      </c>
      <c r="J192" s="119">
        <f t="shared" si="34"/>
        <v>0</v>
      </c>
      <c r="K192" s="120">
        <f t="shared" si="35"/>
        <v>0</v>
      </c>
    </row>
    <row r="193" spans="1:11" x14ac:dyDescent="0.3">
      <c r="A193" s="116" t="s">
        <v>267</v>
      </c>
      <c r="B193" s="117">
        <f>VLOOKUP(MID($A193,1,2),'Free Spins Symbol'!$T$2:$Z$29,3,0)</f>
        <v>24</v>
      </c>
      <c r="C193" s="117">
        <f>VLOOKUP(MID($A193,4,2),'Free Spins Symbol'!$T$2:$Z$29,4,0)</f>
        <v>4</v>
      </c>
      <c r="D193" s="117">
        <f>VLOOKUP(MID($A193,7,2),'Free Spins Symbol'!$T$2:$Z$29,5,0)</f>
        <v>2</v>
      </c>
      <c r="E193" s="129">
        <f>'Free Spins Symbol'!$Y$18</f>
        <v>32</v>
      </c>
      <c r="F193" s="117">
        <f>VLOOKUP(MID($A193,13,2),'Free Spins Symbol'!$T$2:$Z$29,7,0)</f>
        <v>48</v>
      </c>
      <c r="G193" s="100">
        <f>(B193*C193*D193-B185*C185*D185)*(E193-E183)*F193</f>
        <v>0</v>
      </c>
      <c r="H193" s="118" t="e">
        <f t="shared" si="30"/>
        <v>#DIV/0!</v>
      </c>
      <c r="I193" s="100">
        <v>10</v>
      </c>
      <c r="J193" s="119">
        <f t="shared" si="34"/>
        <v>0</v>
      </c>
      <c r="K193" s="120">
        <f t="shared" si="35"/>
        <v>0</v>
      </c>
    </row>
    <row r="194" spans="1:11" x14ac:dyDescent="0.3">
      <c r="A194" s="116" t="s">
        <v>268</v>
      </c>
      <c r="B194" s="117">
        <f>VLOOKUP(MID($A194,1,2),'Free Spins Symbol'!$T$2:$Z$29,3,0)</f>
        <v>24</v>
      </c>
      <c r="C194" s="117">
        <f>VLOOKUP(MID($A194,4,2),'Free Spins Symbol'!$T$2:$Z$29,4,0)</f>
        <v>4</v>
      </c>
      <c r="D194" s="117">
        <f>VLOOKUP(MID($A194,7,2),'Free Spins Symbol'!$T$2:$Z$29,5,0)</f>
        <v>2</v>
      </c>
      <c r="E194" s="129">
        <f>'Free Spins Symbol'!$Y$18</f>
        <v>32</v>
      </c>
      <c r="F194" s="117">
        <f>VLOOKUP(MID($A194,13,2),'Free Spins Symbol'!$T$2:$Z$29,7,0)</f>
        <v>48</v>
      </c>
      <c r="G194" s="100">
        <f>(B194*C194*D194-B185*C185*D185)*(E194-E184)*F194</f>
        <v>0</v>
      </c>
      <c r="H194" s="118" t="e">
        <f t="shared" si="30"/>
        <v>#DIV/0!</v>
      </c>
      <c r="I194" s="100">
        <v>10</v>
      </c>
      <c r="J194" s="119">
        <f t="shared" si="34"/>
        <v>0</v>
      </c>
      <c r="K194" s="120">
        <f t="shared" si="35"/>
        <v>0</v>
      </c>
    </row>
    <row r="195" spans="1:11" x14ac:dyDescent="0.3">
      <c r="A195" s="116" t="s">
        <v>269</v>
      </c>
      <c r="B195" s="117">
        <f>VLOOKUP(MID($A195,1,2),'Free Spins Symbol'!$T$2:$Z$29,3,0)</f>
        <v>38</v>
      </c>
      <c r="C195" s="117">
        <f>VLOOKUP(MID($A195,4,2),'Free Spins Symbol'!$T$2:$Z$29,4,0)</f>
        <v>13</v>
      </c>
      <c r="D195" s="117">
        <f>VLOOKUP(MID($A195,7,2),'Free Spins Symbol'!$T$2:$Z$29,5,0)</f>
        <v>1</v>
      </c>
      <c r="E195" s="129">
        <f>'Free Spins Symbol'!$Y$18</f>
        <v>32</v>
      </c>
      <c r="F195" s="117">
        <f>VLOOKUP(MID($A195,13,2),'Free Spins Symbol'!$T$2:$Z$29,7,0)</f>
        <v>48</v>
      </c>
      <c r="G195" s="100">
        <f>(B195*C195*D195-B185*C185*D185)*(E195-E186)*F195</f>
        <v>0</v>
      </c>
      <c r="H195" s="118" t="e">
        <f t="shared" si="30"/>
        <v>#DIV/0!</v>
      </c>
      <c r="I195" s="100">
        <v>5</v>
      </c>
      <c r="J195" s="119">
        <f t="shared" si="34"/>
        <v>0</v>
      </c>
      <c r="K195" s="120">
        <f t="shared" si="35"/>
        <v>0</v>
      </c>
    </row>
    <row r="196" spans="1:11" x14ac:dyDescent="0.3">
      <c r="A196" s="116" t="s">
        <v>270</v>
      </c>
      <c r="B196" s="117">
        <f>VLOOKUP(MID($A196,1,2),'Free Spins Symbol'!$T$2:$Z$29,3,0)</f>
        <v>35</v>
      </c>
      <c r="C196" s="117">
        <f>VLOOKUP(MID($A196,4,2),'Free Spins Symbol'!$T$2:$Z$29,4,0)</f>
        <v>1</v>
      </c>
      <c r="D196" s="117">
        <f>VLOOKUP(MID($A196,7,2),'Free Spins Symbol'!$T$2:$Z$29,5,0)</f>
        <v>9</v>
      </c>
      <c r="E196" s="129">
        <f>'Free Spins Symbol'!$Y$18</f>
        <v>32</v>
      </c>
      <c r="F196" s="117">
        <f>VLOOKUP(MID($A196,13,2),'Free Spins Symbol'!$T$2:$Z$29,7,0)</f>
        <v>48</v>
      </c>
      <c r="G196" s="100">
        <f>(B196*C196*D196-B185*C185*D185)*(E196-E187)*F196</f>
        <v>0</v>
      </c>
      <c r="H196" s="118" t="e">
        <f t="shared" si="30"/>
        <v>#DIV/0!</v>
      </c>
      <c r="I196" s="100">
        <v>5</v>
      </c>
      <c r="J196" s="119">
        <f t="shared" si="34"/>
        <v>0</v>
      </c>
      <c r="K196" s="120">
        <f t="shared" si="35"/>
        <v>0</v>
      </c>
    </row>
    <row r="197" spans="1:11" x14ac:dyDescent="0.3">
      <c r="A197" s="116" t="s">
        <v>271</v>
      </c>
      <c r="B197" s="117">
        <f>VLOOKUP(MID($A197,1,2),'Free Spins Symbol'!$T$2:$Z$29,3,0)</f>
        <v>28</v>
      </c>
      <c r="C197" s="117">
        <f>VLOOKUP(MID($A197,4,2),'Free Spins Symbol'!$T$2:$Z$29,4,0)</f>
        <v>13</v>
      </c>
      <c r="D197" s="117">
        <f>VLOOKUP(MID($A197,7,2),'Free Spins Symbol'!$T$2:$Z$29,5,0)</f>
        <v>9</v>
      </c>
      <c r="E197" s="129">
        <f>'Free Spins Symbol'!$Y$18</f>
        <v>32</v>
      </c>
      <c r="F197" s="117">
        <f>VLOOKUP(MID($A197,13,2),'Free Spins Symbol'!$T$2:$Z$29,7,0)</f>
        <v>48</v>
      </c>
      <c r="G197" s="100">
        <f>(B197*C197*D197-B185*C185*D185)*(E197-E188)*F197</f>
        <v>0</v>
      </c>
      <c r="H197" s="118" t="e">
        <f t="shared" si="30"/>
        <v>#DIV/0!</v>
      </c>
      <c r="I197" s="100">
        <v>5</v>
      </c>
      <c r="J197" s="119">
        <f t="shared" si="34"/>
        <v>0</v>
      </c>
      <c r="K197" s="120">
        <f t="shared" si="35"/>
        <v>0</v>
      </c>
    </row>
    <row r="198" spans="1:11" x14ac:dyDescent="0.3">
      <c r="A198" s="116" t="s">
        <v>272</v>
      </c>
      <c r="B198" s="117">
        <f>VLOOKUP(MID($A198,1,2),'Free Spins Symbol'!$T$2:$Z$29,3,0)</f>
        <v>34</v>
      </c>
      <c r="C198" s="117">
        <f>VLOOKUP(MID($A198,4,2),'Free Spins Symbol'!$T$2:$Z$29,4,0)</f>
        <v>13</v>
      </c>
      <c r="D198" s="117">
        <f>VLOOKUP(MID($A198,7,2),'Free Spins Symbol'!$T$2:$Z$29,5,0)</f>
        <v>1</v>
      </c>
      <c r="E198" s="129">
        <f>'Free Spins Symbol'!$Y$18</f>
        <v>32</v>
      </c>
      <c r="F198" s="117">
        <f>VLOOKUP(MID($A198,13,2),'Free Spins Symbol'!$T$2:$Z$29,7,0)</f>
        <v>48</v>
      </c>
      <c r="G198" s="100">
        <f>(B198*C198*D198-B185*C185*D185)*(E198-E189)*F198</f>
        <v>0</v>
      </c>
      <c r="H198" s="118" t="e">
        <f t="shared" si="30"/>
        <v>#DIV/0!</v>
      </c>
      <c r="I198" s="100">
        <v>5</v>
      </c>
      <c r="J198" s="119">
        <f t="shared" si="34"/>
        <v>0</v>
      </c>
      <c r="K198" s="120">
        <f t="shared" si="35"/>
        <v>0</v>
      </c>
    </row>
    <row r="199" spans="1:11" x14ac:dyDescent="0.3">
      <c r="A199" s="116" t="s">
        <v>273</v>
      </c>
      <c r="B199" s="117">
        <f>VLOOKUP(MID($A199,1,2),'Free Spins Symbol'!$T$2:$Z$29,3,0)</f>
        <v>19</v>
      </c>
      <c r="C199" s="117">
        <f>VLOOKUP(MID($A199,4,2),'Free Spins Symbol'!$T$2:$Z$29,4,0)</f>
        <v>2</v>
      </c>
      <c r="D199" s="117">
        <f>VLOOKUP(MID($A199,7,2),'Free Spins Symbol'!$T$2:$Z$29,5,0)</f>
        <v>10</v>
      </c>
      <c r="E199" s="129">
        <f>'Free Spins Symbol'!$Y$18</f>
        <v>32</v>
      </c>
      <c r="F199" s="117">
        <f>VLOOKUP(MID($A199,13,2),'Free Spins Symbol'!$T$2:$Z$29,7,0)</f>
        <v>48</v>
      </c>
      <c r="G199" s="100">
        <f>(B199*C199*D199-B185*C185*D185)*(E199-E190)*F199</f>
        <v>0</v>
      </c>
      <c r="H199" s="118" t="e">
        <f t="shared" si="30"/>
        <v>#DIV/0!</v>
      </c>
      <c r="I199" s="100">
        <v>5</v>
      </c>
      <c r="J199" s="119">
        <f t="shared" si="34"/>
        <v>0</v>
      </c>
      <c r="K199" s="120">
        <f t="shared" si="35"/>
        <v>0</v>
      </c>
    </row>
    <row r="200" spans="1:11" x14ac:dyDescent="0.3">
      <c r="A200" s="116" t="s">
        <v>274</v>
      </c>
      <c r="B200" s="117">
        <f>VLOOKUP(MID($A200,1,2),'Free Spins Symbol'!$T$2:$Z$29,3,0)</f>
        <v>18</v>
      </c>
      <c r="C200" s="117">
        <f>VLOOKUP(MID($A200,4,2),'Free Spins Symbol'!$T$2:$Z$29,4,0)</f>
        <v>0</v>
      </c>
      <c r="D200" s="117">
        <f>VLOOKUP(MID($A200,7,2),'Free Spins Symbol'!$T$2:$Z$29,5,0)</f>
        <v>40</v>
      </c>
      <c r="E200" s="129">
        <f>'Free Spins Symbol'!$Y$18</f>
        <v>32</v>
      </c>
      <c r="F200" s="117">
        <f>VLOOKUP(MID($A200,13,2),'Free Spins Symbol'!$T$2:$Z$29,7,0)</f>
        <v>48</v>
      </c>
      <c r="G200" s="100">
        <f>B200*C200*(D200-D199-D198-D197-D196-D195-D194-D193-D192-D191+8*D185)*E200*F200</f>
        <v>0</v>
      </c>
      <c r="H200" s="118" t="e">
        <f t="shared" si="30"/>
        <v>#DIV/0!</v>
      </c>
      <c r="I200" s="100">
        <v>5</v>
      </c>
      <c r="J200" s="119">
        <f t="shared" si="34"/>
        <v>0</v>
      </c>
      <c r="K200" s="120">
        <f t="shared" si="35"/>
        <v>0</v>
      </c>
    </row>
    <row r="201" spans="1:11" x14ac:dyDescent="0.3">
      <c r="A201" s="116" t="s">
        <v>275</v>
      </c>
      <c r="B201" s="117">
        <f>VLOOKUP(MID($A201,1,2),'Free Spins Symbol'!$T$2:$Z$29,3,0)</f>
        <v>20</v>
      </c>
      <c r="C201" s="117">
        <f>VLOOKUP(MID($A201,4,2),'Free Spins Symbol'!$T$2:$Z$29,4,0)</f>
        <v>2</v>
      </c>
      <c r="D201" s="117">
        <f>VLOOKUP(MID($A201,7,2),'Free Spins Symbol'!$T$2:$Z$29,5,0)</f>
        <v>40</v>
      </c>
      <c r="E201" s="129">
        <f>'Free Spins Symbol'!$Y$18</f>
        <v>32</v>
      </c>
      <c r="F201" s="117">
        <f>VLOOKUP(MID($A201,13,2),'Free Spins Symbol'!$T$2:$Z$29,7,0)</f>
        <v>48</v>
      </c>
      <c r="G201" s="100">
        <f>(B201*C201-B200*C200)*(D201-D191)*E201*F201</f>
        <v>2334720</v>
      </c>
      <c r="H201" s="118">
        <f t="shared" si="30"/>
        <v>147.36842105263159</v>
      </c>
      <c r="I201" s="100">
        <v>5</v>
      </c>
      <c r="J201" s="119">
        <f t="shared" si="34"/>
        <v>3.3928571428571426E-2</v>
      </c>
      <c r="K201" s="120">
        <f t="shared" si="35"/>
        <v>6.7857142857142855E-3</v>
      </c>
    </row>
    <row r="202" spans="1:11" x14ac:dyDescent="0.3">
      <c r="A202" s="116" t="s">
        <v>276</v>
      </c>
      <c r="B202" s="117">
        <f>VLOOKUP(MID($A202,1,2),'Free Spins Symbol'!$T$2:$Z$29,3,0)</f>
        <v>22</v>
      </c>
      <c r="C202" s="117">
        <f>VLOOKUP(MID($A202,4,2),'Free Spins Symbol'!$T$2:$Z$29,4,0)</f>
        <v>2</v>
      </c>
      <c r="D202" s="117">
        <f>VLOOKUP(MID($A202,7,2),'Free Spins Symbol'!$T$2:$Z$29,5,0)</f>
        <v>40</v>
      </c>
      <c r="E202" s="129">
        <f>'Free Spins Symbol'!$Y$18</f>
        <v>32</v>
      </c>
      <c r="F202" s="117">
        <f>VLOOKUP(MID($A202,13,2),'Free Spins Symbol'!$T$2:$Z$29,7,0)</f>
        <v>48</v>
      </c>
      <c r="G202" s="100">
        <f>(B202*C202-B200*C200)*(D202-D192)*E202*F202</f>
        <v>2500608</v>
      </c>
      <c r="H202" s="118">
        <f t="shared" si="30"/>
        <v>137.59213759213759</v>
      </c>
      <c r="I202" s="100">
        <v>5</v>
      </c>
      <c r="J202" s="119">
        <f t="shared" si="34"/>
        <v>3.6339285714285713E-2</v>
      </c>
      <c r="K202" s="120">
        <f t="shared" si="35"/>
        <v>7.2678571428571427E-3</v>
      </c>
    </row>
    <row r="203" spans="1:11" x14ac:dyDescent="0.3">
      <c r="A203" s="116" t="s">
        <v>277</v>
      </c>
      <c r="B203" s="117">
        <f>VLOOKUP(MID($A203,1,2),'Free Spins Symbol'!$T$2:$Z$29,3,0)</f>
        <v>24</v>
      </c>
      <c r="C203" s="117">
        <f>VLOOKUP(MID($A203,4,2),'Free Spins Symbol'!$T$2:$Z$29,4,0)</f>
        <v>4</v>
      </c>
      <c r="D203" s="117">
        <f>VLOOKUP(MID($A203,7,2),'Free Spins Symbol'!$T$2:$Z$29,5,0)</f>
        <v>40</v>
      </c>
      <c r="E203" s="129">
        <f>'Free Spins Symbol'!$Y$18</f>
        <v>32</v>
      </c>
      <c r="F203" s="117">
        <f>VLOOKUP(MID($A203,13,2),'Free Spins Symbol'!$T$2:$Z$29,7,0)</f>
        <v>48</v>
      </c>
      <c r="G203" s="100">
        <f>(B203*C203-B200*C200)*(D203-D193)*E203*F203</f>
        <v>5603328</v>
      </c>
      <c r="H203" s="118">
        <f t="shared" si="30"/>
        <v>61.403508771929822</v>
      </c>
      <c r="I203" s="100">
        <v>5</v>
      </c>
      <c r="J203" s="119">
        <f t="shared" si="34"/>
        <v>8.1428571428571433E-2</v>
      </c>
      <c r="K203" s="120">
        <f t="shared" si="35"/>
        <v>1.6285714285714285E-2</v>
      </c>
    </row>
    <row r="204" spans="1:11" x14ac:dyDescent="0.3">
      <c r="A204" s="116" t="s">
        <v>278</v>
      </c>
      <c r="B204" s="117">
        <f>VLOOKUP(MID($A204,1,2),'Free Spins Symbol'!$T$2:$Z$29,3,0)</f>
        <v>24</v>
      </c>
      <c r="C204" s="117">
        <f>VLOOKUP(MID($A204,4,2),'Free Spins Symbol'!$T$2:$Z$29,4,0)</f>
        <v>4</v>
      </c>
      <c r="D204" s="117">
        <f>VLOOKUP(MID($A204,7,2),'Free Spins Symbol'!$T$2:$Z$29,5,0)</f>
        <v>40</v>
      </c>
      <c r="E204" s="129">
        <f>'Free Spins Symbol'!$Y$18</f>
        <v>32</v>
      </c>
      <c r="F204" s="117">
        <f>VLOOKUP(MID($A204,13,2),'Free Spins Symbol'!$T$2:$Z$29,7,0)</f>
        <v>48</v>
      </c>
      <c r="G204" s="100">
        <f>(B204*C204-B200*C200)*(D204-D194)*E204*F204</f>
        <v>5603328</v>
      </c>
      <c r="H204" s="118">
        <f t="shared" si="30"/>
        <v>61.403508771929822</v>
      </c>
      <c r="I204" s="100">
        <v>5</v>
      </c>
      <c r="J204" s="119">
        <f t="shared" si="34"/>
        <v>8.1428571428571433E-2</v>
      </c>
      <c r="K204" s="120">
        <f t="shared" si="35"/>
        <v>1.6285714285714285E-2</v>
      </c>
    </row>
    <row r="205" spans="1:11" x14ac:dyDescent="0.3">
      <c r="A205" s="122" t="s">
        <v>279</v>
      </c>
      <c r="B205" s="117">
        <f>VLOOKUP(MID($A205,1,2),'Free Spins Symbol'!$T$2:$Z$29,3,0)</f>
        <v>100</v>
      </c>
      <c r="C205" s="117">
        <f>VLOOKUP(MID($A205,4,2),'Free Spins Symbol'!$T$2:$Z$29,4,0)</f>
        <v>8</v>
      </c>
      <c r="D205" s="117">
        <f>VLOOKUP(MID($A205,7,2),'Free Spins Symbol'!$T$2:$Z$29,5,0)</f>
        <v>4</v>
      </c>
      <c r="E205" s="117">
        <f>VLOOKUP(MID($A205,10,2),'Free Spins Symbol'!$T$2:$Z$29,6,0)</f>
        <v>16</v>
      </c>
      <c r="F205" s="117">
        <f>VLOOKUP(MID($A205,13,2),'Free Spins Symbol'!$T$2:$Z$29,7,0)</f>
        <v>48</v>
      </c>
      <c r="G205" s="100">
        <f>B205*C205*D205*E205*F205</f>
        <v>2457600</v>
      </c>
      <c r="H205" s="118">
        <f t="shared" si="30"/>
        <v>140</v>
      </c>
      <c r="I205" s="123">
        <v>2</v>
      </c>
      <c r="J205" s="124">
        <f t="shared" si="34"/>
        <v>1.4285714285714285E-2</v>
      </c>
      <c r="K205" s="120">
        <f t="shared" si="35"/>
        <v>7.1428571428571426E-3</v>
      </c>
    </row>
    <row r="207" spans="1:11" ht="16.8" thickBot="1" x14ac:dyDescent="0.35"/>
    <row r="208" spans="1:11" ht="16.8" thickBot="1" x14ac:dyDescent="0.35">
      <c r="A208" s="125" t="s">
        <v>297</v>
      </c>
    </row>
    <row r="209" spans="1:11" ht="16.8" thickBot="1" x14ac:dyDescent="0.35">
      <c r="A209" s="95" t="s">
        <v>280</v>
      </c>
      <c r="B209" s="142">
        <f>B2</f>
        <v>344064000</v>
      </c>
      <c r="C209" s="142"/>
      <c r="D209" s="142"/>
      <c r="E209" s="142"/>
      <c r="F209" s="142"/>
      <c r="G209" s="7"/>
      <c r="H209" s="106"/>
      <c r="I209" s="107" t="s">
        <v>281</v>
      </c>
      <c r="J209" s="108">
        <f>SUM(J211:J245)</f>
        <v>0.56857073102678568</v>
      </c>
      <c r="K209" s="126">
        <f>SUM(K211:K246)</f>
        <v>7.8334821428571427E-2</v>
      </c>
    </row>
    <row r="210" spans="1:11" ht="33" thickBot="1" x14ac:dyDescent="0.35">
      <c r="A210" s="109" t="s">
        <v>233</v>
      </c>
      <c r="B210" s="110" t="s">
        <v>234</v>
      </c>
      <c r="C210" s="110" t="s">
        <v>235</v>
      </c>
      <c r="D210" s="110" t="s">
        <v>236</v>
      </c>
      <c r="E210" s="110" t="s">
        <v>237</v>
      </c>
      <c r="F210" s="110" t="s">
        <v>238</v>
      </c>
      <c r="G210" s="111" t="s">
        <v>239</v>
      </c>
      <c r="H210" s="112" t="s">
        <v>240</v>
      </c>
      <c r="I210" s="113" t="s">
        <v>241</v>
      </c>
      <c r="J210" s="114" t="s">
        <v>242</v>
      </c>
      <c r="K210" s="115" t="s">
        <v>243</v>
      </c>
    </row>
    <row r="211" spans="1:11" x14ac:dyDescent="0.3">
      <c r="A211" s="116" t="s">
        <v>244</v>
      </c>
      <c r="B211" s="117">
        <f>VLOOKUP(MID($A211,1,2),'Free Spins Symbol'!$T$2:$Z$29,3,0)</f>
        <v>18</v>
      </c>
      <c r="C211" s="117">
        <f>VLOOKUP(MID($A211,4,2),'Free Spins Symbol'!$T$2:$Z$29,4,0)</f>
        <v>0</v>
      </c>
      <c r="D211" s="117">
        <f>VLOOKUP(MID($A211,7,2),'Free Spins Symbol'!$T$2:$Z$29,5,0)</f>
        <v>0</v>
      </c>
      <c r="E211" s="117">
        <f>VLOOKUP(MID($A211,10,2),'Free Spins Symbol'!$T$2:$Z$29,6,0)</f>
        <v>0</v>
      </c>
      <c r="F211" s="129">
        <f>'Free Spins Symbol'!$Z$18</f>
        <v>48</v>
      </c>
      <c r="G211" s="100">
        <f>B211*C211*D211*E211*F211</f>
        <v>0</v>
      </c>
      <c r="H211" s="118" t="e">
        <f>B$2/G211</f>
        <v>#DIV/0!</v>
      </c>
      <c r="I211" s="100">
        <v>500</v>
      </c>
      <c r="J211" s="119">
        <f t="shared" ref="J211:J215" si="37">K211*I211</f>
        <v>0</v>
      </c>
      <c r="K211" s="120">
        <f>G211/B$2</f>
        <v>0</v>
      </c>
    </row>
    <row r="212" spans="1:11" x14ac:dyDescent="0.3">
      <c r="A212" s="116" t="s">
        <v>245</v>
      </c>
      <c r="B212" s="117">
        <f>VLOOKUP(MID($A212,1,2),'Free Spins Symbol'!$T$2:$Z$29,3,0)</f>
        <v>20</v>
      </c>
      <c r="C212" s="117">
        <f>VLOOKUP(MID($A212,4,2),'Free Spins Symbol'!$T$2:$Z$29,4,0)</f>
        <v>2</v>
      </c>
      <c r="D212" s="117">
        <f>VLOOKUP(MID($A212,7,2),'Free Spins Symbol'!$T$2:$Z$29,5,0)</f>
        <v>2</v>
      </c>
      <c r="E212" s="117">
        <f>VLOOKUP(MID($A212,10,2),'Free Spins Symbol'!$T$2:$Z$29,6,0)</f>
        <v>1</v>
      </c>
      <c r="F212" s="129">
        <f>'Free Spins Symbol'!$Z$18</f>
        <v>48</v>
      </c>
      <c r="G212" s="100">
        <f>B212*C212*D212*E212*F212-G211</f>
        <v>3840</v>
      </c>
      <c r="H212" s="118">
        <f t="shared" ref="H212:H246" si="38">B$2/G212</f>
        <v>89600</v>
      </c>
      <c r="I212" s="100">
        <v>250</v>
      </c>
      <c r="J212" s="119">
        <f t="shared" si="37"/>
        <v>2.7901785714285715E-3</v>
      </c>
      <c r="K212" s="120">
        <f t="shared" ref="K212:K215" si="39">G212/B$2</f>
        <v>1.1160714285714286E-5</v>
      </c>
    </row>
    <row r="213" spans="1:11" x14ac:dyDescent="0.3">
      <c r="A213" s="116" t="s">
        <v>246</v>
      </c>
      <c r="B213" s="117">
        <f>VLOOKUP(MID($A213,1,2),'Free Spins Symbol'!$T$2:$Z$29,3,0)</f>
        <v>22</v>
      </c>
      <c r="C213" s="117">
        <f>VLOOKUP(MID($A213,4,2),'Free Spins Symbol'!$T$2:$Z$29,4,0)</f>
        <v>2</v>
      </c>
      <c r="D213" s="117">
        <f>VLOOKUP(MID($A213,7,2),'Free Spins Symbol'!$T$2:$Z$29,5,0)</f>
        <v>3</v>
      </c>
      <c r="E213" s="117">
        <f>VLOOKUP(MID($A213,10,2),'Free Spins Symbol'!$T$2:$Z$29,6,0)</f>
        <v>1</v>
      </c>
      <c r="F213" s="129">
        <f>'Free Spins Symbol'!$Z$18</f>
        <v>48</v>
      </c>
      <c r="G213" s="100">
        <f>B213*C213*D213*E213*F213-G211</f>
        <v>6336</v>
      </c>
      <c r="H213" s="118">
        <f t="shared" si="38"/>
        <v>54303.030303030304</v>
      </c>
      <c r="I213" s="100">
        <v>250</v>
      </c>
      <c r="J213" s="119">
        <f t="shared" si="37"/>
        <v>4.603794642857143E-3</v>
      </c>
      <c r="K213" s="120">
        <f t="shared" si="39"/>
        <v>1.8415178571428571E-5</v>
      </c>
    </row>
    <row r="214" spans="1:11" x14ac:dyDescent="0.3">
      <c r="A214" s="116" t="s">
        <v>247</v>
      </c>
      <c r="B214" s="117">
        <f>VLOOKUP(MID($A214,1,2),'Free Spins Symbol'!$T$2:$Z$29,3,0)</f>
        <v>24</v>
      </c>
      <c r="C214" s="117">
        <f>VLOOKUP(MID($A214,4,2),'Free Spins Symbol'!$T$2:$Z$29,4,0)</f>
        <v>4</v>
      </c>
      <c r="D214" s="117">
        <f>VLOOKUP(MID($A214,7,2),'Free Spins Symbol'!$T$2:$Z$29,5,0)</f>
        <v>2</v>
      </c>
      <c r="E214" s="117">
        <f>VLOOKUP(MID($A214,10,2),'Free Spins Symbol'!$T$2:$Z$29,6,0)</f>
        <v>1</v>
      </c>
      <c r="F214" s="129">
        <f>'Free Spins Symbol'!$Z$18</f>
        <v>48</v>
      </c>
      <c r="G214" s="100">
        <f>B214*C214*D214*E214*F214-G211</f>
        <v>9216</v>
      </c>
      <c r="H214" s="118">
        <f t="shared" si="38"/>
        <v>37333.333333333336</v>
      </c>
      <c r="I214" s="100">
        <v>150</v>
      </c>
      <c r="J214" s="119">
        <f t="shared" si="37"/>
        <v>4.0178571428571425E-3</v>
      </c>
      <c r="K214" s="120">
        <f t="shared" si="39"/>
        <v>2.6785714285714284E-5</v>
      </c>
    </row>
    <row r="215" spans="1:11" x14ac:dyDescent="0.3">
      <c r="A215" s="116" t="s">
        <v>248</v>
      </c>
      <c r="B215" s="117">
        <f>VLOOKUP(MID($A215,1,2),'Free Spins Symbol'!$T$2:$Z$29,3,0)</f>
        <v>24</v>
      </c>
      <c r="C215" s="117">
        <f>VLOOKUP(MID($A215,4,2),'Free Spins Symbol'!$T$2:$Z$29,4,0)</f>
        <v>4</v>
      </c>
      <c r="D215" s="117">
        <f>VLOOKUP(MID($A215,7,2),'Free Spins Symbol'!$T$2:$Z$29,5,0)</f>
        <v>2</v>
      </c>
      <c r="E215" s="117">
        <f>VLOOKUP(MID($A215,10,2),'Free Spins Symbol'!$T$2:$Z$29,6,0)</f>
        <v>1</v>
      </c>
      <c r="F215" s="129">
        <f>'Free Spins Symbol'!$Z$18</f>
        <v>48</v>
      </c>
      <c r="G215" s="100">
        <f>B215*C215*D215*E215*F215-G211</f>
        <v>9216</v>
      </c>
      <c r="H215" s="118">
        <f t="shared" si="38"/>
        <v>37333.333333333336</v>
      </c>
      <c r="I215" s="100">
        <v>150</v>
      </c>
      <c r="J215" s="119">
        <f t="shared" si="37"/>
        <v>4.0178571428571425E-3</v>
      </c>
      <c r="K215" s="120">
        <f t="shared" si="39"/>
        <v>2.6785714285714284E-5</v>
      </c>
    </row>
    <row r="216" spans="1:11" x14ac:dyDescent="0.3">
      <c r="A216" s="116" t="s">
        <v>254</v>
      </c>
      <c r="B216" s="117">
        <f>VLOOKUP(MID($A216,1,2),'Free Spins Symbol'!$T$2:$Z$29,3,0)</f>
        <v>18</v>
      </c>
      <c r="C216" s="117">
        <f>VLOOKUP(MID($A216,4,2),'Free Spins Symbol'!$T$2:$Z$29,4,0)</f>
        <v>0</v>
      </c>
      <c r="D216" s="117">
        <f>VLOOKUP(MID($A216,7,2),'Free Spins Symbol'!$T$2:$Z$29,5,0)</f>
        <v>0</v>
      </c>
      <c r="E216" s="117">
        <f>VLOOKUP(MID($A216,10,2),'Free Spins Symbol'!$T$2:$Z$29,6,0)</f>
        <v>0</v>
      </c>
      <c r="F216" s="129">
        <f>'Free Spins Symbol'!$Z$18</f>
        <v>48</v>
      </c>
      <c r="G216" s="100">
        <f>B216*C216*D216*E216*(F216-F215-F214-F213-F212+3*F211)</f>
        <v>0</v>
      </c>
      <c r="H216" s="118" t="e">
        <f t="shared" si="38"/>
        <v>#DIV/0!</v>
      </c>
      <c r="I216" s="100">
        <v>100</v>
      </c>
      <c r="J216" s="119">
        <f>K216*I216</f>
        <v>0</v>
      </c>
      <c r="K216" s="120">
        <f>G216/B$2</f>
        <v>0</v>
      </c>
    </row>
    <row r="217" spans="1:11" x14ac:dyDescent="0.3">
      <c r="A217" s="116" t="s">
        <v>249</v>
      </c>
      <c r="B217" s="117">
        <f>VLOOKUP(MID($A217,1,2),'Free Spins Symbol'!$T$2:$Z$29,3,0)</f>
        <v>38</v>
      </c>
      <c r="C217" s="117">
        <f>VLOOKUP(MID($A217,4,2),'Free Spins Symbol'!$T$2:$Z$29,4,0)</f>
        <v>13</v>
      </c>
      <c r="D217" s="117">
        <f>VLOOKUP(MID($A217,7,2),'Free Spins Symbol'!$T$2:$Z$29,5,0)</f>
        <v>1</v>
      </c>
      <c r="E217" s="117">
        <f>VLOOKUP(MID($A217,10,2),'Free Spins Symbol'!$T$2:$Z$29,6,0)</f>
        <v>7</v>
      </c>
      <c r="F217" s="129">
        <f>'Free Spins Symbol'!$Z$18</f>
        <v>48</v>
      </c>
      <c r="G217" s="100">
        <f>B217*C217*D217*E217*F217-G211</f>
        <v>165984</v>
      </c>
      <c r="H217" s="118">
        <f t="shared" si="38"/>
        <v>2072.8744939271255</v>
      </c>
      <c r="I217" s="100">
        <v>100</v>
      </c>
      <c r="J217" s="119">
        <f t="shared" ref="J217:J225" si="40">K217*I217</f>
        <v>4.8242187499999999E-2</v>
      </c>
      <c r="K217" s="120">
        <f t="shared" ref="K217:K225" si="41">G217/B$2</f>
        <v>4.8242187499999999E-4</v>
      </c>
    </row>
    <row r="218" spans="1:11" x14ac:dyDescent="0.3">
      <c r="A218" s="116" t="s">
        <v>250</v>
      </c>
      <c r="B218" s="117">
        <f>VLOOKUP(MID($A218,1,2),'Free Spins Symbol'!$T$2:$Z$29,3,0)</f>
        <v>35</v>
      </c>
      <c r="C218" s="117">
        <f>VLOOKUP(MID($A218,4,2),'Free Spins Symbol'!$T$2:$Z$29,4,0)</f>
        <v>1</v>
      </c>
      <c r="D218" s="117">
        <f>VLOOKUP(MID($A218,7,2),'Free Spins Symbol'!$T$2:$Z$29,5,0)</f>
        <v>9</v>
      </c>
      <c r="E218" s="117">
        <f>VLOOKUP(MID($A218,10,2),'Free Spins Symbol'!$T$2:$Z$29,6,0)</f>
        <v>1</v>
      </c>
      <c r="F218" s="129">
        <f>'Free Spins Symbol'!$Z$18</f>
        <v>48</v>
      </c>
      <c r="G218" s="100">
        <f>B218*C218*D218*E218*F218-G211</f>
        <v>15120</v>
      </c>
      <c r="H218" s="118">
        <f t="shared" si="38"/>
        <v>22755.555555555555</v>
      </c>
      <c r="I218" s="100">
        <v>100</v>
      </c>
      <c r="J218" s="119">
        <f t="shared" si="40"/>
        <v>4.39453125E-3</v>
      </c>
      <c r="K218" s="120">
        <f t="shared" si="41"/>
        <v>4.3945312499999998E-5</v>
      </c>
    </row>
    <row r="219" spans="1:11" x14ac:dyDescent="0.3">
      <c r="A219" s="116" t="s">
        <v>251</v>
      </c>
      <c r="B219" s="117">
        <f>VLOOKUP(MID($A219,1,2),'Free Spins Symbol'!$T$2:$Z$29,3,0)</f>
        <v>28</v>
      </c>
      <c r="C219" s="117">
        <f>VLOOKUP(MID($A219,4,2),'Free Spins Symbol'!$T$2:$Z$29,4,0)</f>
        <v>13</v>
      </c>
      <c r="D219" s="117">
        <f>VLOOKUP(MID($A219,7,2),'Free Spins Symbol'!$T$2:$Z$29,5,0)</f>
        <v>9</v>
      </c>
      <c r="E219" s="117">
        <f>VLOOKUP(MID($A219,10,2),'Free Spins Symbol'!$T$2:$Z$29,6,0)</f>
        <v>1</v>
      </c>
      <c r="F219" s="129">
        <f>'Free Spins Symbol'!$Z$18</f>
        <v>48</v>
      </c>
      <c r="G219" s="100">
        <f>B219*C219*D219*E219*F219-G211</f>
        <v>157248</v>
      </c>
      <c r="H219" s="118">
        <f t="shared" si="38"/>
        <v>2188.034188034188</v>
      </c>
      <c r="I219" s="100">
        <v>100</v>
      </c>
      <c r="J219" s="119">
        <f t="shared" si="40"/>
        <v>4.5703125000000004E-2</v>
      </c>
      <c r="K219" s="120">
        <f t="shared" si="41"/>
        <v>4.5703125000000003E-4</v>
      </c>
    </row>
    <row r="220" spans="1:11" x14ac:dyDescent="0.3">
      <c r="A220" s="116" t="s">
        <v>252</v>
      </c>
      <c r="B220" s="117">
        <f>VLOOKUP(MID($A220,1,2),'Free Spins Symbol'!$T$2:$Z$29,3,0)</f>
        <v>34</v>
      </c>
      <c r="C220" s="117">
        <f>VLOOKUP(MID($A220,4,2),'Free Spins Symbol'!$T$2:$Z$29,4,0)</f>
        <v>13</v>
      </c>
      <c r="D220" s="117">
        <f>VLOOKUP(MID($A220,7,2),'Free Spins Symbol'!$T$2:$Z$29,5,0)</f>
        <v>1</v>
      </c>
      <c r="E220" s="117">
        <f>VLOOKUP(MID($A220,10,2),'Free Spins Symbol'!$T$2:$Z$29,6,0)</f>
        <v>8</v>
      </c>
      <c r="F220" s="129">
        <f>'Free Spins Symbol'!$Z$18</f>
        <v>48</v>
      </c>
      <c r="G220" s="100">
        <f>(B220*C220*D220*E220-B216*C216*D216*E216)*F220</f>
        <v>169728</v>
      </c>
      <c r="H220" s="118">
        <f t="shared" si="38"/>
        <v>2027.1493212669684</v>
      </c>
      <c r="I220" s="100">
        <v>100</v>
      </c>
      <c r="J220" s="119">
        <f t="shared" si="40"/>
        <v>4.9330357142857141E-2</v>
      </c>
      <c r="K220" s="120">
        <f t="shared" si="41"/>
        <v>4.933035714285714E-4</v>
      </c>
    </row>
    <row r="221" spans="1:11" x14ac:dyDescent="0.3">
      <c r="A221" s="116" t="s">
        <v>253</v>
      </c>
      <c r="B221" s="117">
        <f>VLOOKUP(MID($A221,1,2),'Free Spins Symbol'!$T$2:$Z$29,3,0)</f>
        <v>19</v>
      </c>
      <c r="C221" s="117">
        <f>VLOOKUP(MID($A221,4,2),'Free Spins Symbol'!$T$2:$Z$29,4,0)</f>
        <v>2</v>
      </c>
      <c r="D221" s="117">
        <f>VLOOKUP(MID($A221,7,2),'Free Spins Symbol'!$T$2:$Z$29,5,0)</f>
        <v>10</v>
      </c>
      <c r="E221" s="117">
        <f>VLOOKUP(MID($A221,10,2),'Free Spins Symbol'!$T$2:$Z$29,6,0)</f>
        <v>7</v>
      </c>
      <c r="F221" s="129">
        <f>'Free Spins Symbol'!$Z$18</f>
        <v>48</v>
      </c>
      <c r="G221" s="100">
        <f>B221*C221*D221*E221*F221-G211</f>
        <v>127680</v>
      </c>
      <c r="H221" s="118">
        <f t="shared" si="38"/>
        <v>2694.7368421052633</v>
      </c>
      <c r="I221" s="100">
        <v>100</v>
      </c>
      <c r="J221" s="119">
        <f t="shared" si="40"/>
        <v>3.7109375E-2</v>
      </c>
      <c r="K221" s="120">
        <f t="shared" si="41"/>
        <v>3.7109375E-4</v>
      </c>
    </row>
    <row r="222" spans="1:11" x14ac:dyDescent="0.3">
      <c r="A222" s="116" t="s">
        <v>255</v>
      </c>
      <c r="B222" s="117">
        <f>VLOOKUP(MID($A222,1,2),'Free Spins Symbol'!$T$2:$Z$29,3,0)</f>
        <v>20</v>
      </c>
      <c r="C222" s="117">
        <f>VLOOKUP(MID($A222,4,2),'Free Spins Symbol'!$T$2:$Z$29,4,0)</f>
        <v>2</v>
      </c>
      <c r="D222" s="117">
        <f>VLOOKUP(MID($A222,7,2),'Free Spins Symbol'!$T$2:$Z$29,5,0)</f>
        <v>2</v>
      </c>
      <c r="E222" s="117">
        <f>VLOOKUP(MID($A222,10,2),'Free Spins Symbol'!$T$2:$Z$29,6,0)</f>
        <v>1</v>
      </c>
      <c r="F222" s="129">
        <f>'Free Spins Symbol'!$Z$18</f>
        <v>48</v>
      </c>
      <c r="G222" s="100">
        <f>(B222*C222*D222*E222-B216*C216*D216*E216)*(F222-F212)</f>
        <v>0</v>
      </c>
      <c r="H222" s="118" t="e">
        <f t="shared" si="38"/>
        <v>#DIV/0!</v>
      </c>
      <c r="I222" s="100">
        <v>50</v>
      </c>
      <c r="J222" s="119">
        <f t="shared" si="40"/>
        <v>0</v>
      </c>
      <c r="K222" s="120">
        <f t="shared" si="41"/>
        <v>0</v>
      </c>
    </row>
    <row r="223" spans="1:11" x14ac:dyDescent="0.3">
      <c r="A223" s="116" t="s">
        <v>256</v>
      </c>
      <c r="B223" s="117">
        <f>VLOOKUP(MID($A223,1,2),'Free Spins Symbol'!$T$2:$Z$29,3,0)</f>
        <v>22</v>
      </c>
      <c r="C223" s="117">
        <f>VLOOKUP(MID($A223,4,2),'Free Spins Symbol'!$T$2:$Z$29,4,0)</f>
        <v>2</v>
      </c>
      <c r="D223" s="117">
        <f>VLOOKUP(MID($A223,7,2),'Free Spins Symbol'!$T$2:$Z$29,5,0)</f>
        <v>3</v>
      </c>
      <c r="E223" s="117">
        <f>VLOOKUP(MID($A223,10,2),'Free Spins Symbol'!$T$2:$Z$29,6,0)</f>
        <v>1</v>
      </c>
      <c r="F223" s="129">
        <f>'Free Spins Symbol'!$Z$18</f>
        <v>48</v>
      </c>
      <c r="G223" s="100">
        <f>(B223*C223*D223*E223-B216*C216*D216*E216)*(F223-F213)</f>
        <v>0</v>
      </c>
      <c r="H223" s="118" t="e">
        <f t="shared" si="38"/>
        <v>#DIV/0!</v>
      </c>
      <c r="I223" s="100">
        <v>50</v>
      </c>
      <c r="J223" s="119">
        <f t="shared" si="40"/>
        <v>0</v>
      </c>
      <c r="K223" s="120">
        <f t="shared" si="41"/>
        <v>0</v>
      </c>
    </row>
    <row r="224" spans="1:11" x14ac:dyDescent="0.3">
      <c r="A224" s="116" t="s">
        <v>257</v>
      </c>
      <c r="B224" s="117">
        <f>VLOOKUP(MID($A224,1,2),'Free Spins Symbol'!$T$2:$Z$29,3,0)</f>
        <v>24</v>
      </c>
      <c r="C224" s="117">
        <f>VLOOKUP(MID($A224,4,2),'Free Spins Symbol'!$T$2:$Z$29,4,0)</f>
        <v>4</v>
      </c>
      <c r="D224" s="117">
        <f>VLOOKUP(MID($A224,7,2),'Free Spins Symbol'!$T$2:$Z$29,5,0)</f>
        <v>2</v>
      </c>
      <c r="E224" s="117">
        <f>VLOOKUP(MID($A224,10,2),'Free Spins Symbol'!$T$2:$Z$29,6,0)</f>
        <v>1</v>
      </c>
      <c r="F224" s="129">
        <f>'Free Spins Symbol'!$Z$18</f>
        <v>48</v>
      </c>
      <c r="G224" s="100">
        <f>(B224*C224*D224*E224-B216*C216*D216*E216)*(F224-F214)</f>
        <v>0</v>
      </c>
      <c r="H224" s="118" t="e">
        <f t="shared" si="38"/>
        <v>#DIV/0!</v>
      </c>
      <c r="I224" s="100">
        <v>30</v>
      </c>
      <c r="J224" s="119">
        <f t="shared" si="40"/>
        <v>0</v>
      </c>
      <c r="K224" s="120">
        <f t="shared" si="41"/>
        <v>0</v>
      </c>
    </row>
    <row r="225" spans="1:11" x14ac:dyDescent="0.3">
      <c r="A225" s="116" t="s">
        <v>258</v>
      </c>
      <c r="B225" s="117">
        <f>VLOOKUP(MID($A225,1,2),'Free Spins Symbol'!$T$2:$Z$29,3,0)</f>
        <v>24</v>
      </c>
      <c r="C225" s="117">
        <f>VLOOKUP(MID($A225,4,2),'Free Spins Symbol'!$T$2:$Z$29,4,0)</f>
        <v>4</v>
      </c>
      <c r="D225" s="117">
        <f>VLOOKUP(MID($A225,7,2),'Free Spins Symbol'!$T$2:$Z$29,5,0)</f>
        <v>2</v>
      </c>
      <c r="E225" s="117">
        <f>VLOOKUP(MID($A225,10,2),'Free Spins Symbol'!$T$2:$Z$29,6,0)</f>
        <v>1</v>
      </c>
      <c r="F225" s="129">
        <f>'Free Spins Symbol'!$Z$18</f>
        <v>48</v>
      </c>
      <c r="G225" s="100">
        <f>(B225*C225*D225*E225-B216*C216*D216*E216)*(F225-F215)</f>
        <v>0</v>
      </c>
      <c r="H225" s="118" t="e">
        <f t="shared" si="38"/>
        <v>#DIV/0!</v>
      </c>
      <c r="I225" s="100">
        <v>30</v>
      </c>
      <c r="J225" s="119">
        <f t="shared" si="40"/>
        <v>0</v>
      </c>
      <c r="K225" s="120">
        <f t="shared" si="41"/>
        <v>0</v>
      </c>
    </row>
    <row r="226" spans="1:11" x14ac:dyDescent="0.3">
      <c r="A226" s="116" t="s">
        <v>264</v>
      </c>
      <c r="B226" s="117">
        <f>VLOOKUP(MID($A226,1,2),'Free Spins Symbol'!$T$2:$Z$29,3,0)</f>
        <v>18</v>
      </c>
      <c r="C226" s="117">
        <f>VLOOKUP(MID($A226,4,2),'Free Spins Symbol'!$T$2:$Z$29,4,0)</f>
        <v>0</v>
      </c>
      <c r="D226" s="117">
        <f>VLOOKUP(MID($A226,7,2),'Free Spins Symbol'!$T$2:$Z$29,5,0)</f>
        <v>0</v>
      </c>
      <c r="E226" s="117">
        <f>VLOOKUP(MID($A226,10,2),'Free Spins Symbol'!$T$2:$Z$29,6,0)</f>
        <v>32</v>
      </c>
      <c r="F226" s="129">
        <f>'Free Spins Symbol'!$Z$18</f>
        <v>48</v>
      </c>
      <c r="G226" s="100">
        <f>(B226*C226*D226)*(E226*F226-(E225+E224+E223+E222-3*E216)*F216-(E221-E216)*F221-(E220-E216)*F220-(E219-E216)*F219-(E218-E216)*F218-(E217-E216)*F217)</f>
        <v>0</v>
      </c>
      <c r="H226" s="118" t="e">
        <f t="shared" si="38"/>
        <v>#DIV/0!</v>
      </c>
      <c r="I226" s="100">
        <v>20</v>
      </c>
      <c r="J226" s="119">
        <f>K226*I226</f>
        <v>0</v>
      </c>
      <c r="K226" s="120">
        <f>G226/B$2</f>
        <v>0</v>
      </c>
    </row>
    <row r="227" spans="1:11" x14ac:dyDescent="0.3">
      <c r="A227" s="116" t="s">
        <v>259</v>
      </c>
      <c r="B227" s="117">
        <f>VLOOKUP(MID($A227,1,2),'Free Spins Symbol'!$T$2:$Z$29,3,0)</f>
        <v>38</v>
      </c>
      <c r="C227" s="117">
        <f>VLOOKUP(MID($A227,4,2),'Free Spins Symbol'!$T$2:$Z$29,4,0)</f>
        <v>13</v>
      </c>
      <c r="D227" s="117">
        <f>VLOOKUP(MID($A227,7,2),'Free Spins Symbol'!$T$2:$Z$29,5,0)</f>
        <v>1</v>
      </c>
      <c r="E227" s="117">
        <f>VLOOKUP(MID($A227,10,2),'Free Spins Symbol'!$T$2:$Z$29,6,0)</f>
        <v>7</v>
      </c>
      <c r="F227" s="129">
        <f>'Free Spins Symbol'!$Z$18</f>
        <v>48</v>
      </c>
      <c r="G227" s="100">
        <f>B227*C227*D227*E227*(F227-F217)</f>
        <v>0</v>
      </c>
      <c r="H227" s="118" t="e">
        <f t="shared" si="38"/>
        <v>#DIV/0!</v>
      </c>
      <c r="I227" s="100">
        <v>20</v>
      </c>
      <c r="J227" s="119">
        <f t="shared" ref="J227:J246" si="42">K227*I227</f>
        <v>0</v>
      </c>
      <c r="K227" s="120">
        <f t="shared" ref="K227:K246" si="43">G227/B$2</f>
        <v>0</v>
      </c>
    </row>
    <row r="228" spans="1:11" x14ac:dyDescent="0.3">
      <c r="A228" s="116" t="s">
        <v>260</v>
      </c>
      <c r="B228" s="117">
        <f>VLOOKUP(MID($A228,1,2),'Free Spins Symbol'!$T$2:$Z$29,3,0)</f>
        <v>35</v>
      </c>
      <c r="C228" s="117">
        <f>VLOOKUP(MID($A228,4,2),'Free Spins Symbol'!$T$2:$Z$29,4,0)</f>
        <v>1</v>
      </c>
      <c r="D228" s="117">
        <f>VLOOKUP(MID($A228,7,2),'Free Spins Symbol'!$T$2:$Z$29,5,0)</f>
        <v>9</v>
      </c>
      <c r="E228" s="117">
        <f>VLOOKUP(MID($A228,10,2),'Free Spins Symbol'!$T$2:$Z$29,6,0)</f>
        <v>1</v>
      </c>
      <c r="F228" s="129">
        <f>'Free Spins Symbol'!$Z$18</f>
        <v>48</v>
      </c>
      <c r="G228" s="100">
        <f t="shared" ref="G228:G231" si="44">B228*C228*D228*E228*(F228-F218)</f>
        <v>0</v>
      </c>
      <c r="H228" s="118" t="e">
        <f t="shared" si="38"/>
        <v>#DIV/0!</v>
      </c>
      <c r="I228" s="100">
        <v>20</v>
      </c>
      <c r="J228" s="119">
        <f t="shared" si="42"/>
        <v>0</v>
      </c>
      <c r="K228" s="120">
        <f t="shared" si="43"/>
        <v>0</v>
      </c>
    </row>
    <row r="229" spans="1:11" x14ac:dyDescent="0.3">
      <c r="A229" s="116" t="s">
        <v>261</v>
      </c>
      <c r="B229" s="117">
        <f>VLOOKUP(MID($A229,1,2),'Free Spins Symbol'!$T$2:$Z$29,3,0)</f>
        <v>28</v>
      </c>
      <c r="C229" s="117">
        <f>VLOOKUP(MID($A229,4,2),'Free Spins Symbol'!$T$2:$Z$29,4,0)</f>
        <v>13</v>
      </c>
      <c r="D229" s="117">
        <f>VLOOKUP(MID($A229,7,2),'Free Spins Symbol'!$T$2:$Z$29,5,0)</f>
        <v>9</v>
      </c>
      <c r="E229" s="117">
        <f>VLOOKUP(MID($A229,10,2),'Free Spins Symbol'!$T$2:$Z$29,6,0)</f>
        <v>1</v>
      </c>
      <c r="F229" s="129">
        <f>'Free Spins Symbol'!$Z$18</f>
        <v>48</v>
      </c>
      <c r="G229" s="100">
        <f t="shared" si="44"/>
        <v>0</v>
      </c>
      <c r="H229" s="118" t="e">
        <f t="shared" si="38"/>
        <v>#DIV/0!</v>
      </c>
      <c r="I229" s="100">
        <v>20</v>
      </c>
      <c r="J229" s="119">
        <f t="shared" si="42"/>
        <v>0</v>
      </c>
      <c r="K229" s="120">
        <f t="shared" si="43"/>
        <v>0</v>
      </c>
    </row>
    <row r="230" spans="1:11" x14ac:dyDescent="0.3">
      <c r="A230" s="116" t="s">
        <v>262</v>
      </c>
      <c r="B230" s="117">
        <f>VLOOKUP(MID($A230,1,2),'Free Spins Symbol'!$T$2:$Z$29,3,0)</f>
        <v>34</v>
      </c>
      <c r="C230" s="117">
        <f>VLOOKUP(MID($A230,4,2),'Free Spins Symbol'!$T$2:$Z$29,4,0)</f>
        <v>13</v>
      </c>
      <c r="D230" s="117">
        <f>VLOOKUP(MID($A230,7,2),'Free Spins Symbol'!$T$2:$Z$29,5,0)</f>
        <v>1</v>
      </c>
      <c r="E230" s="117">
        <f>VLOOKUP(MID($A230,10,2),'Free Spins Symbol'!$T$2:$Z$29,6,0)</f>
        <v>8</v>
      </c>
      <c r="F230" s="129">
        <f>'Free Spins Symbol'!$Z$18</f>
        <v>48</v>
      </c>
      <c r="G230" s="100">
        <f t="shared" si="44"/>
        <v>0</v>
      </c>
      <c r="H230" s="118" t="e">
        <f t="shared" si="38"/>
        <v>#DIV/0!</v>
      </c>
      <c r="I230" s="100">
        <v>20</v>
      </c>
      <c r="J230" s="119">
        <f t="shared" si="42"/>
        <v>0</v>
      </c>
      <c r="K230" s="120">
        <f t="shared" si="43"/>
        <v>0</v>
      </c>
    </row>
    <row r="231" spans="1:11" x14ac:dyDescent="0.3">
      <c r="A231" s="116" t="s">
        <v>263</v>
      </c>
      <c r="B231" s="117">
        <f>VLOOKUP(MID($A231,1,2),'Free Spins Symbol'!$T$2:$Z$29,3,0)</f>
        <v>19</v>
      </c>
      <c r="C231" s="117">
        <f>VLOOKUP(MID($A231,4,2),'Free Spins Symbol'!$T$2:$Z$29,4,0)</f>
        <v>2</v>
      </c>
      <c r="D231" s="117">
        <f>VLOOKUP(MID($A231,7,2),'Free Spins Symbol'!$T$2:$Z$29,5,0)</f>
        <v>10</v>
      </c>
      <c r="E231" s="117">
        <f>VLOOKUP(MID($A231,10,2),'Free Spins Symbol'!$T$2:$Z$29,6,0)</f>
        <v>7</v>
      </c>
      <c r="F231" s="129">
        <f>'Free Spins Symbol'!$Z$18</f>
        <v>48</v>
      </c>
      <c r="G231" s="100">
        <f t="shared" si="44"/>
        <v>0</v>
      </c>
      <c r="H231" s="118" t="e">
        <f t="shared" si="38"/>
        <v>#DIV/0!</v>
      </c>
      <c r="I231" s="100">
        <v>20</v>
      </c>
      <c r="J231" s="119">
        <f t="shared" si="42"/>
        <v>0</v>
      </c>
      <c r="K231" s="120">
        <f t="shared" si="43"/>
        <v>0</v>
      </c>
    </row>
    <row r="232" spans="1:11" x14ac:dyDescent="0.3">
      <c r="A232" s="116" t="s">
        <v>265</v>
      </c>
      <c r="B232" s="117">
        <f>VLOOKUP(MID($A232,1,2),'Free Spins Symbol'!$T$2:$Z$29,3,0)</f>
        <v>20</v>
      </c>
      <c r="C232" s="117">
        <f>VLOOKUP(MID($A232,4,2),'Free Spins Symbol'!$T$2:$Z$29,4,0)</f>
        <v>2</v>
      </c>
      <c r="D232" s="117">
        <f>VLOOKUP(MID($A232,7,2),'Free Spins Symbol'!$T$2:$Z$29,5,0)</f>
        <v>2</v>
      </c>
      <c r="E232" s="117">
        <f>VLOOKUP(MID($A232,10,2),'Free Spins Symbol'!$T$2:$Z$29,6,0)</f>
        <v>32</v>
      </c>
      <c r="F232" s="129">
        <f>'Free Spins Symbol'!$Z$18</f>
        <v>48</v>
      </c>
      <c r="G232" s="100">
        <f>(B232*C232*D232)*(E232-E222)*F232</f>
        <v>119040</v>
      </c>
      <c r="H232" s="118">
        <f t="shared" si="38"/>
        <v>2890.3225806451615</v>
      </c>
      <c r="I232" s="100">
        <v>20</v>
      </c>
      <c r="J232" s="119">
        <f t="shared" si="42"/>
        <v>6.9196428571428568E-3</v>
      </c>
      <c r="K232" s="120">
        <f t="shared" si="43"/>
        <v>3.4598214285714283E-4</v>
      </c>
    </row>
    <row r="233" spans="1:11" x14ac:dyDescent="0.3">
      <c r="A233" s="116" t="s">
        <v>266</v>
      </c>
      <c r="B233" s="117">
        <f>VLOOKUP(MID($A233,1,2),'Free Spins Symbol'!$T$2:$Z$29,3,0)</f>
        <v>22</v>
      </c>
      <c r="C233" s="117">
        <f>VLOOKUP(MID($A233,4,2),'Free Spins Symbol'!$T$2:$Z$29,4,0)</f>
        <v>2</v>
      </c>
      <c r="D233" s="117">
        <f>VLOOKUP(MID($A233,7,2),'Free Spins Symbol'!$T$2:$Z$29,5,0)</f>
        <v>3</v>
      </c>
      <c r="E233" s="117">
        <f>VLOOKUP(MID($A233,10,2),'Free Spins Symbol'!$T$2:$Z$29,6,0)</f>
        <v>32</v>
      </c>
      <c r="F233" s="129">
        <f>'Free Spins Symbol'!$Z$18</f>
        <v>48</v>
      </c>
      <c r="G233" s="100">
        <f>(B233*C233*D233)*(E233-E223)*F233</f>
        <v>196416</v>
      </c>
      <c r="H233" s="118">
        <f t="shared" si="38"/>
        <v>1751.7106549364614</v>
      </c>
      <c r="I233" s="100">
        <v>20</v>
      </c>
      <c r="J233" s="119">
        <f t="shared" si="42"/>
        <v>1.1417410714285713E-2</v>
      </c>
      <c r="K233" s="120">
        <f t="shared" si="43"/>
        <v>5.7087053571428566E-4</v>
      </c>
    </row>
    <row r="234" spans="1:11" x14ac:dyDescent="0.3">
      <c r="A234" s="116" t="s">
        <v>267</v>
      </c>
      <c r="B234" s="117">
        <f>VLOOKUP(MID($A234,1,2),'Free Spins Symbol'!$T$2:$Z$29,3,0)</f>
        <v>24</v>
      </c>
      <c r="C234" s="117">
        <f>VLOOKUP(MID($A234,4,2),'Free Spins Symbol'!$T$2:$Z$29,4,0)</f>
        <v>4</v>
      </c>
      <c r="D234" s="117">
        <f>VLOOKUP(MID($A234,7,2),'Free Spins Symbol'!$T$2:$Z$29,5,0)</f>
        <v>2</v>
      </c>
      <c r="E234" s="117">
        <f>VLOOKUP(MID($A234,10,2),'Free Spins Symbol'!$T$2:$Z$29,6,0)</f>
        <v>32</v>
      </c>
      <c r="F234" s="129">
        <f>'Free Spins Symbol'!$Z$18</f>
        <v>48</v>
      </c>
      <c r="G234" s="100">
        <f>(B234*C234*D234-B226*C226*D226)*(E234-E224)*F234</f>
        <v>285696</v>
      </c>
      <c r="H234" s="118">
        <f t="shared" si="38"/>
        <v>1204.3010752688172</v>
      </c>
      <c r="I234" s="100">
        <v>10</v>
      </c>
      <c r="J234" s="119">
        <f t="shared" si="42"/>
        <v>8.3035714285714293E-3</v>
      </c>
      <c r="K234" s="120">
        <f t="shared" si="43"/>
        <v>8.3035714285714288E-4</v>
      </c>
    </row>
    <row r="235" spans="1:11" x14ac:dyDescent="0.3">
      <c r="A235" s="116" t="s">
        <v>268</v>
      </c>
      <c r="B235" s="117">
        <f>VLOOKUP(MID($A235,1,2),'Free Spins Symbol'!$T$2:$Z$29,3,0)</f>
        <v>24</v>
      </c>
      <c r="C235" s="117">
        <f>VLOOKUP(MID($A235,4,2),'Free Spins Symbol'!$T$2:$Z$29,4,0)</f>
        <v>4</v>
      </c>
      <c r="D235" s="117">
        <f>VLOOKUP(MID($A235,7,2),'Free Spins Symbol'!$T$2:$Z$29,5,0)</f>
        <v>2</v>
      </c>
      <c r="E235" s="117">
        <f>VLOOKUP(MID($A235,10,2),'Free Spins Symbol'!$T$2:$Z$29,6,0)</f>
        <v>32</v>
      </c>
      <c r="F235" s="129">
        <f>'Free Spins Symbol'!$Z$18</f>
        <v>48</v>
      </c>
      <c r="G235" s="100">
        <f>(B235*C235*D235-B226*C226*D226)*(E235-E225)*F235</f>
        <v>285696</v>
      </c>
      <c r="H235" s="118">
        <f t="shared" si="38"/>
        <v>1204.3010752688172</v>
      </c>
      <c r="I235" s="100">
        <v>10</v>
      </c>
      <c r="J235" s="119">
        <f t="shared" si="42"/>
        <v>8.3035714285714293E-3</v>
      </c>
      <c r="K235" s="120">
        <f t="shared" si="43"/>
        <v>8.3035714285714288E-4</v>
      </c>
    </row>
    <row r="236" spans="1:11" x14ac:dyDescent="0.3">
      <c r="A236" s="116" t="s">
        <v>269</v>
      </c>
      <c r="B236" s="117">
        <f>VLOOKUP(MID($A236,1,2),'Free Spins Symbol'!$T$2:$Z$29,3,0)</f>
        <v>38</v>
      </c>
      <c r="C236" s="117">
        <f>VLOOKUP(MID($A236,4,2),'Free Spins Symbol'!$T$2:$Z$29,4,0)</f>
        <v>13</v>
      </c>
      <c r="D236" s="117">
        <f>VLOOKUP(MID($A236,7,2),'Free Spins Symbol'!$T$2:$Z$29,5,0)</f>
        <v>1</v>
      </c>
      <c r="E236" s="117">
        <f>VLOOKUP(MID($A236,10,2),'Free Spins Symbol'!$T$2:$Z$29,6,0)</f>
        <v>32</v>
      </c>
      <c r="F236" s="129">
        <f>'Free Spins Symbol'!$Z$18</f>
        <v>48</v>
      </c>
      <c r="G236" s="100">
        <f>(B236*C236*D236-B226*C226*D226)*(E236-E227)*F236</f>
        <v>592800</v>
      </c>
      <c r="H236" s="118">
        <f t="shared" si="38"/>
        <v>580.40485829959516</v>
      </c>
      <c r="I236" s="100">
        <v>5</v>
      </c>
      <c r="J236" s="119">
        <f t="shared" si="42"/>
        <v>8.614676339285714E-3</v>
      </c>
      <c r="K236" s="120">
        <f t="shared" si="43"/>
        <v>1.7229352678571428E-3</v>
      </c>
    </row>
    <row r="237" spans="1:11" x14ac:dyDescent="0.3">
      <c r="A237" s="116" t="s">
        <v>270</v>
      </c>
      <c r="B237" s="117">
        <f>VLOOKUP(MID($A237,1,2),'Free Spins Symbol'!$T$2:$Z$29,3,0)</f>
        <v>35</v>
      </c>
      <c r="C237" s="117">
        <f>VLOOKUP(MID($A237,4,2),'Free Spins Symbol'!$T$2:$Z$29,4,0)</f>
        <v>1</v>
      </c>
      <c r="D237" s="117">
        <f>VLOOKUP(MID($A237,7,2),'Free Spins Symbol'!$T$2:$Z$29,5,0)</f>
        <v>9</v>
      </c>
      <c r="E237" s="117">
        <f>VLOOKUP(MID($A237,10,2),'Free Spins Symbol'!$T$2:$Z$29,6,0)</f>
        <v>32</v>
      </c>
      <c r="F237" s="129">
        <f>'Free Spins Symbol'!$Z$18</f>
        <v>48</v>
      </c>
      <c r="G237" s="100">
        <f>(B237*C237*D237-B226*C226*D226)*(E237-E228)*F237</f>
        <v>468720</v>
      </c>
      <c r="H237" s="118">
        <f t="shared" si="38"/>
        <v>734.05017921146953</v>
      </c>
      <c r="I237" s="100">
        <v>5</v>
      </c>
      <c r="J237" s="119">
        <f t="shared" si="42"/>
        <v>6.8115234374999997E-3</v>
      </c>
      <c r="K237" s="120">
        <f t="shared" si="43"/>
        <v>1.3623046875E-3</v>
      </c>
    </row>
    <row r="238" spans="1:11" x14ac:dyDescent="0.3">
      <c r="A238" s="116" t="s">
        <v>271</v>
      </c>
      <c r="B238" s="117">
        <f>VLOOKUP(MID($A238,1,2),'Free Spins Symbol'!$T$2:$Z$29,3,0)</f>
        <v>28</v>
      </c>
      <c r="C238" s="117">
        <f>VLOOKUP(MID($A238,4,2),'Free Spins Symbol'!$T$2:$Z$29,4,0)</f>
        <v>13</v>
      </c>
      <c r="D238" s="117">
        <f>VLOOKUP(MID($A238,7,2),'Free Spins Symbol'!$T$2:$Z$29,5,0)</f>
        <v>9</v>
      </c>
      <c r="E238" s="117">
        <f>VLOOKUP(MID($A238,10,2),'Free Spins Symbol'!$T$2:$Z$29,6,0)</f>
        <v>32</v>
      </c>
      <c r="F238" s="129">
        <f>'Free Spins Symbol'!$Z$18</f>
        <v>48</v>
      </c>
      <c r="G238" s="100">
        <f>(B238*C238*D238-B226*C226*D226)*(E238-E229)*F238</f>
        <v>4874688</v>
      </c>
      <c r="H238" s="118">
        <f t="shared" si="38"/>
        <v>70.581748001102838</v>
      </c>
      <c r="I238" s="100">
        <v>5</v>
      </c>
      <c r="J238" s="119">
        <f t="shared" si="42"/>
        <v>7.0839843749999992E-2</v>
      </c>
      <c r="K238" s="120">
        <f t="shared" si="43"/>
        <v>1.4167968749999999E-2</v>
      </c>
    </row>
    <row r="239" spans="1:11" x14ac:dyDescent="0.3">
      <c r="A239" s="116" t="s">
        <v>272</v>
      </c>
      <c r="B239" s="117">
        <f>VLOOKUP(MID($A239,1,2),'Free Spins Symbol'!$T$2:$Z$29,3,0)</f>
        <v>34</v>
      </c>
      <c r="C239" s="117">
        <f>VLOOKUP(MID($A239,4,2),'Free Spins Symbol'!$T$2:$Z$29,4,0)</f>
        <v>13</v>
      </c>
      <c r="D239" s="117">
        <f>VLOOKUP(MID($A239,7,2),'Free Spins Symbol'!$T$2:$Z$29,5,0)</f>
        <v>1</v>
      </c>
      <c r="E239" s="117">
        <f>VLOOKUP(MID($A239,10,2),'Free Spins Symbol'!$T$2:$Z$29,6,0)</f>
        <v>32</v>
      </c>
      <c r="F239" s="129">
        <f>'Free Spins Symbol'!$Z$18</f>
        <v>48</v>
      </c>
      <c r="G239" s="100">
        <f>(B239*C239*D239-B226*C226*D226)*(E239-E230)*F239</f>
        <v>509184</v>
      </c>
      <c r="H239" s="118">
        <f t="shared" si="38"/>
        <v>675.71644042232276</v>
      </c>
      <c r="I239" s="100">
        <v>5</v>
      </c>
      <c r="J239" s="119">
        <f t="shared" si="42"/>
        <v>7.3995535714285708E-3</v>
      </c>
      <c r="K239" s="120">
        <f t="shared" si="43"/>
        <v>1.4799107142857142E-3</v>
      </c>
    </row>
    <row r="240" spans="1:11" x14ac:dyDescent="0.3">
      <c r="A240" s="116" t="s">
        <v>273</v>
      </c>
      <c r="B240" s="117">
        <f>VLOOKUP(MID($A240,1,2),'Free Spins Symbol'!$T$2:$Z$29,3,0)</f>
        <v>19</v>
      </c>
      <c r="C240" s="117">
        <f>VLOOKUP(MID($A240,4,2),'Free Spins Symbol'!$T$2:$Z$29,4,0)</f>
        <v>2</v>
      </c>
      <c r="D240" s="117">
        <f>VLOOKUP(MID($A240,7,2),'Free Spins Symbol'!$T$2:$Z$29,5,0)</f>
        <v>10</v>
      </c>
      <c r="E240" s="117">
        <f>VLOOKUP(MID($A240,10,2),'Free Spins Symbol'!$T$2:$Z$29,6,0)</f>
        <v>32</v>
      </c>
      <c r="F240" s="129">
        <f>'Free Spins Symbol'!$Z$18</f>
        <v>48</v>
      </c>
      <c r="G240" s="100">
        <f>(B240*C240*D240-B226*C226*D226)*(E240-E231)*F240</f>
        <v>456000</v>
      </c>
      <c r="H240" s="118">
        <f t="shared" si="38"/>
        <v>754.52631578947364</v>
      </c>
      <c r="I240" s="100">
        <v>5</v>
      </c>
      <c r="J240" s="119">
        <f t="shared" si="42"/>
        <v>6.6266741071428579E-3</v>
      </c>
      <c r="K240" s="120">
        <f t="shared" si="43"/>
        <v>1.3253348214285715E-3</v>
      </c>
    </row>
    <row r="241" spans="1:11" x14ac:dyDescent="0.3">
      <c r="A241" s="116" t="s">
        <v>274</v>
      </c>
      <c r="B241" s="117">
        <f>VLOOKUP(MID($A241,1,2),'Free Spins Symbol'!$T$2:$Z$29,3,0)</f>
        <v>18</v>
      </c>
      <c r="C241" s="117">
        <f>VLOOKUP(MID($A241,4,2),'Free Spins Symbol'!$T$2:$Z$29,4,0)</f>
        <v>0</v>
      </c>
      <c r="D241" s="117">
        <f>VLOOKUP(MID($A241,7,2),'Free Spins Symbol'!$T$2:$Z$29,5,0)</f>
        <v>40</v>
      </c>
      <c r="E241" s="117">
        <f>VLOOKUP(MID($A241,10,2),'Free Spins Symbol'!$T$2:$Z$29,6,0)</f>
        <v>32</v>
      </c>
      <c r="F241" s="129">
        <f>'Free Spins Symbol'!$Z$18</f>
        <v>48</v>
      </c>
      <c r="G241" s="100">
        <f>B241*C241*(D241-D240-D239-D238-D237-D236-D235-D234-D233-D232+8*D226)*E241*F241</f>
        <v>0</v>
      </c>
      <c r="H241" s="118" t="e">
        <f t="shared" si="38"/>
        <v>#DIV/0!</v>
      </c>
      <c r="I241" s="100">
        <v>5</v>
      </c>
      <c r="J241" s="119">
        <f t="shared" si="42"/>
        <v>0</v>
      </c>
      <c r="K241" s="120">
        <f t="shared" si="43"/>
        <v>0</v>
      </c>
    </row>
    <row r="242" spans="1:11" x14ac:dyDescent="0.3">
      <c r="A242" s="116" t="s">
        <v>275</v>
      </c>
      <c r="B242" s="117">
        <f>VLOOKUP(MID($A242,1,2),'Free Spins Symbol'!$T$2:$Z$29,3,0)</f>
        <v>20</v>
      </c>
      <c r="C242" s="117">
        <f>VLOOKUP(MID($A242,4,2),'Free Spins Symbol'!$T$2:$Z$29,4,0)</f>
        <v>2</v>
      </c>
      <c r="D242" s="117">
        <f>VLOOKUP(MID($A242,7,2),'Free Spins Symbol'!$T$2:$Z$29,5,0)</f>
        <v>40</v>
      </c>
      <c r="E242" s="117">
        <f>VLOOKUP(MID($A242,10,2),'Free Spins Symbol'!$T$2:$Z$29,6,0)</f>
        <v>32</v>
      </c>
      <c r="F242" s="129">
        <f>'Free Spins Symbol'!$Z$18</f>
        <v>48</v>
      </c>
      <c r="G242" s="100">
        <f>(B242*C242-B241*C241)*(D242-D232)*E242*F242</f>
        <v>2334720</v>
      </c>
      <c r="H242" s="118">
        <f t="shared" si="38"/>
        <v>147.36842105263159</v>
      </c>
      <c r="I242" s="100">
        <v>5</v>
      </c>
      <c r="J242" s="119">
        <f t="shared" si="42"/>
        <v>3.3928571428571426E-2</v>
      </c>
      <c r="K242" s="120">
        <f t="shared" si="43"/>
        <v>6.7857142857142855E-3</v>
      </c>
    </row>
    <row r="243" spans="1:11" x14ac:dyDescent="0.3">
      <c r="A243" s="116" t="s">
        <v>276</v>
      </c>
      <c r="B243" s="117">
        <f>VLOOKUP(MID($A243,1,2),'Free Spins Symbol'!$T$2:$Z$29,3,0)</f>
        <v>22</v>
      </c>
      <c r="C243" s="117">
        <f>VLOOKUP(MID($A243,4,2),'Free Spins Symbol'!$T$2:$Z$29,4,0)</f>
        <v>2</v>
      </c>
      <c r="D243" s="117">
        <f>VLOOKUP(MID($A243,7,2),'Free Spins Symbol'!$T$2:$Z$29,5,0)</f>
        <v>40</v>
      </c>
      <c r="E243" s="117">
        <f>VLOOKUP(MID($A243,10,2),'Free Spins Symbol'!$T$2:$Z$29,6,0)</f>
        <v>32</v>
      </c>
      <c r="F243" s="129">
        <f>'Free Spins Symbol'!$Z$18</f>
        <v>48</v>
      </c>
      <c r="G243" s="100">
        <f>(B243*C243-B241*C241)*(D243-D233)*E243*F243</f>
        <v>2500608</v>
      </c>
      <c r="H243" s="118">
        <f t="shared" si="38"/>
        <v>137.59213759213759</v>
      </c>
      <c r="I243" s="100">
        <v>5</v>
      </c>
      <c r="J243" s="119">
        <f t="shared" si="42"/>
        <v>3.6339285714285713E-2</v>
      </c>
      <c r="K243" s="120">
        <f t="shared" si="43"/>
        <v>7.2678571428571427E-3</v>
      </c>
    </row>
    <row r="244" spans="1:11" x14ac:dyDescent="0.3">
      <c r="A244" s="116" t="s">
        <v>277</v>
      </c>
      <c r="B244" s="117">
        <f>VLOOKUP(MID($A244,1,2),'Free Spins Symbol'!$T$2:$Z$29,3,0)</f>
        <v>24</v>
      </c>
      <c r="C244" s="117">
        <f>VLOOKUP(MID($A244,4,2),'Free Spins Symbol'!$T$2:$Z$29,4,0)</f>
        <v>4</v>
      </c>
      <c r="D244" s="117">
        <f>VLOOKUP(MID($A244,7,2),'Free Spins Symbol'!$T$2:$Z$29,5,0)</f>
        <v>40</v>
      </c>
      <c r="E244" s="117">
        <f>VLOOKUP(MID($A244,10,2),'Free Spins Symbol'!$T$2:$Z$29,6,0)</f>
        <v>32</v>
      </c>
      <c r="F244" s="129">
        <f>'Free Spins Symbol'!$Z$18</f>
        <v>48</v>
      </c>
      <c r="G244" s="100">
        <f>(B244*C244-B241*C241)*(D244-D234)*E244*F244</f>
        <v>5603328</v>
      </c>
      <c r="H244" s="118">
        <f t="shared" si="38"/>
        <v>61.403508771929822</v>
      </c>
      <c r="I244" s="100">
        <v>5</v>
      </c>
      <c r="J244" s="119">
        <f t="shared" si="42"/>
        <v>8.1428571428571433E-2</v>
      </c>
      <c r="K244" s="120">
        <f t="shared" si="43"/>
        <v>1.6285714285714285E-2</v>
      </c>
    </row>
    <row r="245" spans="1:11" x14ac:dyDescent="0.3">
      <c r="A245" s="116" t="s">
        <v>278</v>
      </c>
      <c r="B245" s="117">
        <f>VLOOKUP(MID($A245,1,2),'Free Spins Symbol'!$T$2:$Z$29,3,0)</f>
        <v>24</v>
      </c>
      <c r="C245" s="117">
        <f>VLOOKUP(MID($A245,4,2),'Free Spins Symbol'!$T$2:$Z$29,4,0)</f>
        <v>4</v>
      </c>
      <c r="D245" s="117">
        <f>VLOOKUP(MID($A245,7,2),'Free Spins Symbol'!$T$2:$Z$29,5,0)</f>
        <v>40</v>
      </c>
      <c r="E245" s="117">
        <f>VLOOKUP(MID($A245,10,2),'Free Spins Symbol'!$T$2:$Z$29,6,0)</f>
        <v>32</v>
      </c>
      <c r="F245" s="129">
        <f>'Free Spins Symbol'!$Z$18</f>
        <v>48</v>
      </c>
      <c r="G245" s="100">
        <f>(B245*C245-B241*C241)*(D245-D235)*E245*F245</f>
        <v>5603328</v>
      </c>
      <c r="H245" s="118">
        <f t="shared" si="38"/>
        <v>61.403508771929822</v>
      </c>
      <c r="I245" s="100">
        <v>5</v>
      </c>
      <c r="J245" s="119">
        <f t="shared" si="42"/>
        <v>8.1428571428571433E-2</v>
      </c>
      <c r="K245" s="120">
        <f t="shared" si="43"/>
        <v>1.6285714285714285E-2</v>
      </c>
    </row>
    <row r="246" spans="1:11" x14ac:dyDescent="0.3">
      <c r="A246" s="122" t="s">
        <v>279</v>
      </c>
      <c r="B246" s="117">
        <f>VLOOKUP(MID($A246,1,2),'Free Spins Symbol'!$T$2:$Z$29,3,0)</f>
        <v>100</v>
      </c>
      <c r="C246" s="117">
        <f>VLOOKUP(MID($A246,4,2),'Free Spins Symbol'!$T$2:$Z$29,4,0)</f>
        <v>8</v>
      </c>
      <c r="D246" s="117">
        <f>VLOOKUP(MID($A246,7,2),'Free Spins Symbol'!$T$2:$Z$29,5,0)</f>
        <v>4</v>
      </c>
      <c r="E246" s="117">
        <f>VLOOKUP(MID($A246,10,2),'Free Spins Symbol'!$T$2:$Z$29,6,0)</f>
        <v>16</v>
      </c>
      <c r="F246" s="117">
        <f>VLOOKUP(MID($A246,13,2),'Free Spins Symbol'!$T$2:$Z$29,7,0)</f>
        <v>48</v>
      </c>
      <c r="G246" s="100">
        <f>B246*C246*D246*E246*F246</f>
        <v>2457600</v>
      </c>
      <c r="H246" s="118">
        <f t="shared" si="38"/>
        <v>140</v>
      </c>
      <c r="I246" s="123">
        <v>2</v>
      </c>
      <c r="J246" s="124">
        <f t="shared" si="42"/>
        <v>1.4285714285714285E-2</v>
      </c>
      <c r="K246" s="120">
        <f t="shared" si="43"/>
        <v>7.1428571428571426E-3</v>
      </c>
    </row>
    <row r="248" spans="1:11" ht="16.8" thickBot="1" x14ac:dyDescent="0.35"/>
    <row r="249" spans="1:11" ht="16.8" thickBot="1" x14ac:dyDescent="0.35">
      <c r="A249" s="125" t="s">
        <v>298</v>
      </c>
    </row>
    <row r="250" spans="1:11" ht="16.8" thickBot="1" x14ac:dyDescent="0.35">
      <c r="A250" s="95" t="s">
        <v>280</v>
      </c>
      <c r="B250" s="142">
        <f>B2</f>
        <v>344064000</v>
      </c>
      <c r="C250" s="142"/>
      <c r="D250" s="142"/>
      <c r="E250" s="142"/>
      <c r="F250" s="142"/>
      <c r="G250" s="7"/>
      <c r="H250" s="106"/>
      <c r="I250" s="107" t="s">
        <v>281</v>
      </c>
      <c r="J250" s="108">
        <f>SUM(J252:J286)</f>
        <v>10.093098958333332</v>
      </c>
      <c r="K250" s="128">
        <f>SUM(K252:K287)</f>
        <v>1.0071428571428571</v>
      </c>
    </row>
    <row r="251" spans="1:11" ht="33" thickBot="1" x14ac:dyDescent="0.35">
      <c r="A251" s="109" t="s">
        <v>233</v>
      </c>
      <c r="B251" s="110" t="s">
        <v>234</v>
      </c>
      <c r="C251" s="110" t="s">
        <v>235</v>
      </c>
      <c r="D251" s="110" t="s">
        <v>236</v>
      </c>
      <c r="E251" s="110" t="s">
        <v>237</v>
      </c>
      <c r="F251" s="110" t="s">
        <v>238</v>
      </c>
      <c r="G251" s="111" t="s">
        <v>239</v>
      </c>
      <c r="H251" s="112" t="s">
        <v>240</v>
      </c>
      <c r="I251" s="113" t="s">
        <v>241</v>
      </c>
      <c r="J251" s="114" t="s">
        <v>242</v>
      </c>
      <c r="K251" s="115" t="s">
        <v>243</v>
      </c>
    </row>
    <row r="252" spans="1:11" x14ac:dyDescent="0.3">
      <c r="A252" s="116" t="s">
        <v>244</v>
      </c>
      <c r="B252" s="129">
        <f>'Free Spins Symbol'!$V$18</f>
        <v>100</v>
      </c>
      <c r="C252" s="129">
        <f>'Free Spins Symbol'!$W$18</f>
        <v>56</v>
      </c>
      <c r="D252" s="117">
        <f>VLOOKUP(MID($A252,7,2),'Free Spins Symbol'!$T$2:$Z$29,5,0)</f>
        <v>0</v>
      </c>
      <c r="E252" s="117">
        <f>VLOOKUP(MID($A252,10,2),'Free Spins Symbol'!$T$2:$Z$29,6,0)</f>
        <v>0</v>
      </c>
      <c r="F252" s="117">
        <f>VLOOKUP(MID($A252,13,2),'Free Spins Symbol'!$T$2:$Z$29,7,0)</f>
        <v>0</v>
      </c>
      <c r="G252" s="100">
        <f>B252*C252*D252*E252*F252</f>
        <v>0</v>
      </c>
      <c r="H252" s="118" t="e">
        <f>B$2/G252</f>
        <v>#DIV/0!</v>
      </c>
      <c r="I252" s="100">
        <v>500</v>
      </c>
      <c r="J252" s="119">
        <f t="shared" ref="J252:J256" si="45">K252*I252</f>
        <v>0</v>
      </c>
      <c r="K252" s="120">
        <f>G252/B$2</f>
        <v>0</v>
      </c>
    </row>
    <row r="253" spans="1:11" x14ac:dyDescent="0.3">
      <c r="A253" s="116" t="s">
        <v>245</v>
      </c>
      <c r="B253" s="129">
        <f>'Free Spins Symbol'!$V$18</f>
        <v>100</v>
      </c>
      <c r="C253" s="129">
        <f>'Free Spins Symbol'!$W$18</f>
        <v>56</v>
      </c>
      <c r="D253" s="117">
        <f>VLOOKUP(MID($A253,7,2),'Free Spins Symbol'!$T$2:$Z$29,5,0)</f>
        <v>2</v>
      </c>
      <c r="E253" s="117">
        <f>VLOOKUP(MID($A253,10,2),'Free Spins Symbol'!$T$2:$Z$29,6,0)</f>
        <v>1</v>
      </c>
      <c r="F253" s="117">
        <f>VLOOKUP(MID($A253,13,2),'Free Spins Symbol'!$T$2:$Z$29,7,0)</f>
        <v>1</v>
      </c>
      <c r="G253" s="100">
        <f>B253*C253*D253*E253*F253-G252</f>
        <v>11200</v>
      </c>
      <c r="H253" s="118">
        <f t="shared" ref="H253:H287" si="46">B$2/G253</f>
        <v>30720</v>
      </c>
      <c r="I253" s="100">
        <v>250</v>
      </c>
      <c r="J253" s="119">
        <f t="shared" si="45"/>
        <v>8.1380208333333339E-3</v>
      </c>
      <c r="K253" s="120">
        <f t="shared" ref="K253:K256" si="47">G253/B$2</f>
        <v>3.2552083333333333E-5</v>
      </c>
    </row>
    <row r="254" spans="1:11" x14ac:dyDescent="0.3">
      <c r="A254" s="116" t="s">
        <v>246</v>
      </c>
      <c r="B254" s="129">
        <f>'Free Spins Symbol'!$V$18</f>
        <v>100</v>
      </c>
      <c r="C254" s="129">
        <f>'Free Spins Symbol'!$W$18</f>
        <v>56</v>
      </c>
      <c r="D254" s="117">
        <f>VLOOKUP(MID($A254,7,2),'Free Spins Symbol'!$T$2:$Z$29,5,0)</f>
        <v>3</v>
      </c>
      <c r="E254" s="117">
        <f>VLOOKUP(MID($A254,10,2),'Free Spins Symbol'!$T$2:$Z$29,6,0)</f>
        <v>1</v>
      </c>
      <c r="F254" s="117">
        <f>VLOOKUP(MID($A254,13,2),'Free Spins Symbol'!$T$2:$Z$29,7,0)</f>
        <v>1</v>
      </c>
      <c r="G254" s="100">
        <f>B254*C254*D254*E254*F254-G252</f>
        <v>16800</v>
      </c>
      <c r="H254" s="118">
        <f t="shared" si="46"/>
        <v>20480</v>
      </c>
      <c r="I254" s="100">
        <v>250</v>
      </c>
      <c r="J254" s="119">
        <f t="shared" si="45"/>
        <v>1.220703125E-2</v>
      </c>
      <c r="K254" s="120">
        <f t="shared" si="47"/>
        <v>4.8828125000000003E-5</v>
      </c>
    </row>
    <row r="255" spans="1:11" x14ac:dyDescent="0.3">
      <c r="A255" s="116" t="s">
        <v>247</v>
      </c>
      <c r="B255" s="129">
        <f>'Free Spins Symbol'!$V$18</f>
        <v>100</v>
      </c>
      <c r="C255" s="129">
        <f>'Free Spins Symbol'!$W$18</f>
        <v>56</v>
      </c>
      <c r="D255" s="117">
        <f>VLOOKUP(MID($A255,7,2),'Free Spins Symbol'!$T$2:$Z$29,5,0)</f>
        <v>2</v>
      </c>
      <c r="E255" s="117">
        <f>VLOOKUP(MID($A255,10,2),'Free Spins Symbol'!$T$2:$Z$29,6,0)</f>
        <v>1</v>
      </c>
      <c r="F255" s="117">
        <f>VLOOKUP(MID($A255,13,2),'Free Spins Symbol'!$T$2:$Z$29,7,0)</f>
        <v>5</v>
      </c>
      <c r="G255" s="100">
        <f>B255*C255*D255*E255*F255-G252</f>
        <v>56000</v>
      </c>
      <c r="H255" s="118">
        <f t="shared" si="46"/>
        <v>6144</v>
      </c>
      <c r="I255" s="100">
        <v>150</v>
      </c>
      <c r="J255" s="119">
        <f t="shared" si="45"/>
        <v>2.44140625E-2</v>
      </c>
      <c r="K255" s="120">
        <f t="shared" si="47"/>
        <v>1.6276041666666666E-4</v>
      </c>
    </row>
    <row r="256" spans="1:11" x14ac:dyDescent="0.3">
      <c r="A256" s="116" t="s">
        <v>248</v>
      </c>
      <c r="B256" s="129">
        <f>'Free Spins Symbol'!$V$18</f>
        <v>100</v>
      </c>
      <c r="C256" s="129">
        <f>'Free Spins Symbol'!$W$18</f>
        <v>56</v>
      </c>
      <c r="D256" s="117">
        <f>VLOOKUP(MID($A256,7,2),'Free Spins Symbol'!$T$2:$Z$29,5,0)</f>
        <v>2</v>
      </c>
      <c r="E256" s="117">
        <f>VLOOKUP(MID($A256,10,2),'Free Spins Symbol'!$T$2:$Z$29,6,0)</f>
        <v>1</v>
      </c>
      <c r="F256" s="117">
        <f>VLOOKUP(MID($A256,13,2),'Free Spins Symbol'!$T$2:$Z$29,7,0)</f>
        <v>5</v>
      </c>
      <c r="G256" s="100">
        <f>B256*C256*D256*E256*F256-G252</f>
        <v>56000</v>
      </c>
      <c r="H256" s="118">
        <f t="shared" si="46"/>
        <v>6144</v>
      </c>
      <c r="I256" s="100">
        <v>150</v>
      </c>
      <c r="J256" s="119">
        <f t="shared" si="45"/>
        <v>2.44140625E-2</v>
      </c>
      <c r="K256" s="120">
        <f t="shared" si="47"/>
        <v>1.6276041666666666E-4</v>
      </c>
    </row>
    <row r="257" spans="1:11" x14ac:dyDescent="0.3">
      <c r="A257" s="116" t="s">
        <v>254</v>
      </c>
      <c r="B257" s="129">
        <f>'Free Spins Symbol'!$V$18</f>
        <v>100</v>
      </c>
      <c r="C257" s="129">
        <f>'Free Spins Symbol'!$W$18</f>
        <v>56</v>
      </c>
      <c r="D257" s="117">
        <f>VLOOKUP(MID($A257,7,2),'Free Spins Symbol'!$T$2:$Z$29,5,0)</f>
        <v>0</v>
      </c>
      <c r="E257" s="117">
        <f>VLOOKUP(MID($A257,10,2),'Free Spins Symbol'!$T$2:$Z$29,6,0)</f>
        <v>0</v>
      </c>
      <c r="F257" s="117">
        <f>VLOOKUP(MID($A257,13,2),'Free Spins Symbol'!$T$2:$Z$29,7,0)</f>
        <v>48</v>
      </c>
      <c r="G257" s="100">
        <f>B257*C257*D257*E257*(F257-F256-F255-F254-F253+3*F252)</f>
        <v>0</v>
      </c>
      <c r="H257" s="118" t="e">
        <f t="shared" si="46"/>
        <v>#DIV/0!</v>
      </c>
      <c r="I257" s="100">
        <v>100</v>
      </c>
      <c r="J257" s="119">
        <f>K257*I257</f>
        <v>0</v>
      </c>
      <c r="K257" s="120">
        <f>G257/B$2</f>
        <v>0</v>
      </c>
    </row>
    <row r="258" spans="1:11" x14ac:dyDescent="0.3">
      <c r="A258" s="116" t="s">
        <v>249</v>
      </c>
      <c r="B258" s="129">
        <f>'Free Spins Symbol'!$V$18</f>
        <v>100</v>
      </c>
      <c r="C258" s="129">
        <f>'Free Spins Symbol'!$W$18</f>
        <v>56</v>
      </c>
      <c r="D258" s="117">
        <f>VLOOKUP(MID($A258,7,2),'Free Spins Symbol'!$T$2:$Z$29,5,0)</f>
        <v>1</v>
      </c>
      <c r="E258" s="117">
        <f>VLOOKUP(MID($A258,10,2),'Free Spins Symbol'!$T$2:$Z$29,6,0)</f>
        <v>7</v>
      </c>
      <c r="F258" s="117">
        <f>VLOOKUP(MID($A258,13,2),'Free Spins Symbol'!$T$2:$Z$29,7,0)</f>
        <v>2</v>
      </c>
      <c r="G258" s="100">
        <f>B258*C258*D258*E258*F258-G252</f>
        <v>78400</v>
      </c>
      <c r="H258" s="118">
        <f t="shared" si="46"/>
        <v>4388.5714285714284</v>
      </c>
      <c r="I258" s="100">
        <v>100</v>
      </c>
      <c r="J258" s="119">
        <f t="shared" ref="J258:J266" si="48">K258*I258</f>
        <v>2.2786458333333332E-2</v>
      </c>
      <c r="K258" s="120">
        <f t="shared" ref="K258:K266" si="49">G258/B$2</f>
        <v>2.2786458333333334E-4</v>
      </c>
    </row>
    <row r="259" spans="1:11" x14ac:dyDescent="0.3">
      <c r="A259" s="116" t="s">
        <v>250</v>
      </c>
      <c r="B259" s="129">
        <f>'Free Spins Symbol'!$V$18</f>
        <v>100</v>
      </c>
      <c r="C259" s="129">
        <f>'Free Spins Symbol'!$W$18</f>
        <v>56</v>
      </c>
      <c r="D259" s="117">
        <f>VLOOKUP(MID($A259,7,2),'Free Spins Symbol'!$T$2:$Z$29,5,0)</f>
        <v>9</v>
      </c>
      <c r="E259" s="117">
        <f>VLOOKUP(MID($A259,10,2),'Free Spins Symbol'!$T$2:$Z$29,6,0)</f>
        <v>1</v>
      </c>
      <c r="F259" s="117">
        <f>VLOOKUP(MID($A259,13,2),'Free Spins Symbol'!$T$2:$Z$29,7,0)</f>
        <v>11</v>
      </c>
      <c r="G259" s="100">
        <f>B259*C259*D259*E259*F259-G252</f>
        <v>554400</v>
      </c>
      <c r="H259" s="118">
        <f t="shared" si="46"/>
        <v>620.60606060606062</v>
      </c>
      <c r="I259" s="100">
        <v>100</v>
      </c>
      <c r="J259" s="119">
        <f t="shared" si="48"/>
        <v>0.1611328125</v>
      </c>
      <c r="K259" s="120">
        <f t="shared" si="49"/>
        <v>1.6113281249999999E-3</v>
      </c>
    </row>
    <row r="260" spans="1:11" x14ac:dyDescent="0.3">
      <c r="A260" s="116" t="s">
        <v>251</v>
      </c>
      <c r="B260" s="129">
        <f>'Free Spins Symbol'!$V$18</f>
        <v>100</v>
      </c>
      <c r="C260" s="129">
        <f>'Free Spins Symbol'!$W$18</f>
        <v>56</v>
      </c>
      <c r="D260" s="117">
        <f>VLOOKUP(MID($A260,7,2),'Free Spins Symbol'!$T$2:$Z$29,5,0)</f>
        <v>9</v>
      </c>
      <c r="E260" s="117">
        <f>VLOOKUP(MID($A260,10,2),'Free Spins Symbol'!$T$2:$Z$29,6,0)</f>
        <v>1</v>
      </c>
      <c r="F260" s="117">
        <f>VLOOKUP(MID($A260,13,2),'Free Spins Symbol'!$T$2:$Z$29,7,0)</f>
        <v>1</v>
      </c>
      <c r="G260" s="100">
        <f>B260*C260*D260*E260*F260-G252</f>
        <v>50400</v>
      </c>
      <c r="H260" s="118">
        <f t="shared" si="46"/>
        <v>6826.666666666667</v>
      </c>
      <c r="I260" s="100">
        <v>100</v>
      </c>
      <c r="J260" s="119">
        <f t="shared" si="48"/>
        <v>1.46484375E-2</v>
      </c>
      <c r="K260" s="120">
        <f t="shared" si="49"/>
        <v>1.4648437499999999E-4</v>
      </c>
    </row>
    <row r="261" spans="1:11" x14ac:dyDescent="0.3">
      <c r="A261" s="116" t="s">
        <v>252</v>
      </c>
      <c r="B261" s="129">
        <f>'Free Spins Symbol'!$V$18</f>
        <v>100</v>
      </c>
      <c r="C261" s="129">
        <f>'Free Spins Symbol'!$W$18</f>
        <v>56</v>
      </c>
      <c r="D261" s="117">
        <f>VLOOKUP(MID($A261,7,2),'Free Spins Symbol'!$T$2:$Z$29,5,0)</f>
        <v>1</v>
      </c>
      <c r="E261" s="117">
        <f>VLOOKUP(MID($A261,10,2),'Free Spins Symbol'!$T$2:$Z$29,6,0)</f>
        <v>8</v>
      </c>
      <c r="F261" s="117">
        <f>VLOOKUP(MID($A261,13,2),'Free Spins Symbol'!$T$2:$Z$29,7,0)</f>
        <v>11</v>
      </c>
      <c r="G261" s="100">
        <f>(B261*C261*D261*E261-B257*C257*D257*E257)*F261</f>
        <v>492800</v>
      </c>
      <c r="H261" s="118">
        <f t="shared" si="46"/>
        <v>698.18181818181813</v>
      </c>
      <c r="I261" s="100">
        <v>100</v>
      </c>
      <c r="J261" s="119">
        <f t="shared" si="48"/>
        <v>0.14322916666666666</v>
      </c>
      <c r="K261" s="120">
        <f t="shared" si="49"/>
        <v>1.4322916666666666E-3</v>
      </c>
    </row>
    <row r="262" spans="1:11" x14ac:dyDescent="0.3">
      <c r="A262" s="116" t="s">
        <v>253</v>
      </c>
      <c r="B262" s="129">
        <f>'Free Spins Symbol'!$V$18</f>
        <v>100</v>
      </c>
      <c r="C262" s="129">
        <f>'Free Spins Symbol'!$W$18</f>
        <v>56</v>
      </c>
      <c r="D262" s="117">
        <f>VLOOKUP(MID($A262,7,2),'Free Spins Symbol'!$T$2:$Z$29,5,0)</f>
        <v>10</v>
      </c>
      <c r="E262" s="117">
        <f>VLOOKUP(MID($A262,10,2),'Free Spins Symbol'!$T$2:$Z$29,6,0)</f>
        <v>7</v>
      </c>
      <c r="F262" s="117">
        <f>VLOOKUP(MID($A262,13,2),'Free Spins Symbol'!$T$2:$Z$29,7,0)</f>
        <v>11</v>
      </c>
      <c r="G262" s="100">
        <f>B262*C262*D262*E262*F262-G252</f>
        <v>4312000</v>
      </c>
      <c r="H262" s="118">
        <f t="shared" si="46"/>
        <v>79.79220779220779</v>
      </c>
      <c r="I262" s="100">
        <v>100</v>
      </c>
      <c r="J262" s="119">
        <f t="shared" si="48"/>
        <v>1.2532552083333335</v>
      </c>
      <c r="K262" s="120">
        <f t="shared" si="49"/>
        <v>1.2532552083333334E-2</v>
      </c>
    </row>
    <row r="263" spans="1:11" x14ac:dyDescent="0.3">
      <c r="A263" s="116" t="s">
        <v>255</v>
      </c>
      <c r="B263" s="129">
        <f>'Free Spins Symbol'!$V$18</f>
        <v>100</v>
      </c>
      <c r="C263" s="129">
        <f>'Free Spins Symbol'!$W$18</f>
        <v>56</v>
      </c>
      <c r="D263" s="117">
        <f>VLOOKUP(MID($A263,7,2),'Free Spins Symbol'!$T$2:$Z$29,5,0)</f>
        <v>2</v>
      </c>
      <c r="E263" s="117">
        <f>VLOOKUP(MID($A263,10,2),'Free Spins Symbol'!$T$2:$Z$29,6,0)</f>
        <v>1</v>
      </c>
      <c r="F263" s="117">
        <f>VLOOKUP(MID($A263,13,2),'Free Spins Symbol'!$T$2:$Z$29,7,0)</f>
        <v>48</v>
      </c>
      <c r="G263" s="100">
        <f>(B263*C263*D263*E263-B257*C257*D257*E257)*(F263-F253)</f>
        <v>526400</v>
      </c>
      <c r="H263" s="118">
        <f t="shared" si="46"/>
        <v>653.61702127659578</v>
      </c>
      <c r="I263" s="100">
        <v>50</v>
      </c>
      <c r="J263" s="119">
        <f t="shared" si="48"/>
        <v>7.6497395833333329E-2</v>
      </c>
      <c r="K263" s="120">
        <f t="shared" si="49"/>
        <v>1.5299479166666667E-3</v>
      </c>
    </row>
    <row r="264" spans="1:11" x14ac:dyDescent="0.3">
      <c r="A264" s="116" t="s">
        <v>256</v>
      </c>
      <c r="B264" s="129">
        <f>'Free Spins Symbol'!$V$18</f>
        <v>100</v>
      </c>
      <c r="C264" s="129">
        <f>'Free Spins Symbol'!$W$18</f>
        <v>56</v>
      </c>
      <c r="D264" s="117">
        <f>VLOOKUP(MID($A264,7,2),'Free Spins Symbol'!$T$2:$Z$29,5,0)</f>
        <v>3</v>
      </c>
      <c r="E264" s="117">
        <f>VLOOKUP(MID($A264,10,2),'Free Spins Symbol'!$T$2:$Z$29,6,0)</f>
        <v>1</v>
      </c>
      <c r="F264" s="117">
        <f>VLOOKUP(MID($A264,13,2),'Free Spins Symbol'!$T$2:$Z$29,7,0)</f>
        <v>48</v>
      </c>
      <c r="G264" s="100">
        <f>(B264*C264*D264*E264-B257*C257*D257*E257)*(F264-F254)</f>
        <v>789600</v>
      </c>
      <c r="H264" s="118">
        <f t="shared" si="46"/>
        <v>435.74468085106383</v>
      </c>
      <c r="I264" s="100">
        <v>50</v>
      </c>
      <c r="J264" s="119">
        <f t="shared" si="48"/>
        <v>0.11474609375</v>
      </c>
      <c r="K264" s="120">
        <f t="shared" si="49"/>
        <v>2.2949218750000001E-3</v>
      </c>
    </row>
    <row r="265" spans="1:11" x14ac:dyDescent="0.3">
      <c r="A265" s="116" t="s">
        <v>257</v>
      </c>
      <c r="B265" s="129">
        <f>'Free Spins Symbol'!$V$18</f>
        <v>100</v>
      </c>
      <c r="C265" s="129">
        <f>'Free Spins Symbol'!$W$18</f>
        <v>56</v>
      </c>
      <c r="D265" s="117">
        <f>VLOOKUP(MID($A265,7,2),'Free Spins Symbol'!$T$2:$Z$29,5,0)</f>
        <v>2</v>
      </c>
      <c r="E265" s="117">
        <f>VLOOKUP(MID($A265,10,2),'Free Spins Symbol'!$T$2:$Z$29,6,0)</f>
        <v>1</v>
      </c>
      <c r="F265" s="117">
        <f>VLOOKUP(MID($A265,13,2),'Free Spins Symbol'!$T$2:$Z$29,7,0)</f>
        <v>48</v>
      </c>
      <c r="G265" s="100">
        <f>(B265*C265*D265*E265-B257*C257*D257*E257)*(F265-F255)</f>
        <v>481600</v>
      </c>
      <c r="H265" s="118">
        <f t="shared" si="46"/>
        <v>714.41860465116281</v>
      </c>
      <c r="I265" s="100">
        <v>30</v>
      </c>
      <c r="J265" s="119">
        <f t="shared" si="48"/>
        <v>4.19921875E-2</v>
      </c>
      <c r="K265" s="120">
        <f t="shared" si="49"/>
        <v>1.3997395833333333E-3</v>
      </c>
    </row>
    <row r="266" spans="1:11" x14ac:dyDescent="0.3">
      <c r="A266" s="116" t="s">
        <v>258</v>
      </c>
      <c r="B266" s="129">
        <f>'Free Spins Symbol'!$V$18</f>
        <v>100</v>
      </c>
      <c r="C266" s="129">
        <f>'Free Spins Symbol'!$W$18</f>
        <v>56</v>
      </c>
      <c r="D266" s="117">
        <f>VLOOKUP(MID($A266,7,2),'Free Spins Symbol'!$T$2:$Z$29,5,0)</f>
        <v>2</v>
      </c>
      <c r="E266" s="117">
        <f>VLOOKUP(MID($A266,10,2),'Free Spins Symbol'!$T$2:$Z$29,6,0)</f>
        <v>1</v>
      </c>
      <c r="F266" s="117">
        <f>VLOOKUP(MID($A266,13,2),'Free Spins Symbol'!$T$2:$Z$29,7,0)</f>
        <v>48</v>
      </c>
      <c r="G266" s="100">
        <f>(B266*C266*D266*E266-B257*C257*D257*E257)*(F266-F256)</f>
        <v>481600</v>
      </c>
      <c r="H266" s="118">
        <f t="shared" si="46"/>
        <v>714.41860465116281</v>
      </c>
      <c r="I266" s="100">
        <v>30</v>
      </c>
      <c r="J266" s="119">
        <f t="shared" si="48"/>
        <v>4.19921875E-2</v>
      </c>
      <c r="K266" s="120">
        <f t="shared" si="49"/>
        <v>1.3997395833333333E-3</v>
      </c>
    </row>
    <row r="267" spans="1:11" x14ac:dyDescent="0.3">
      <c r="A267" s="116" t="s">
        <v>264</v>
      </c>
      <c r="B267" s="129">
        <f>'Free Spins Symbol'!$V$18</f>
        <v>100</v>
      </c>
      <c r="C267" s="129">
        <f>'Free Spins Symbol'!$W$18</f>
        <v>56</v>
      </c>
      <c r="D267" s="117">
        <f>VLOOKUP(MID($A267,7,2),'Free Spins Symbol'!$T$2:$Z$29,5,0)</f>
        <v>0</v>
      </c>
      <c r="E267" s="117">
        <f>VLOOKUP(MID($A267,10,2),'Free Spins Symbol'!$T$2:$Z$29,6,0)</f>
        <v>32</v>
      </c>
      <c r="F267" s="117">
        <f>VLOOKUP(MID($A267,13,2),'Free Spins Symbol'!$T$2:$Z$29,7,0)</f>
        <v>48</v>
      </c>
      <c r="G267" s="100">
        <f>(B267*C267*D267)*(E267*F267-(E266+E265+E264+E263-3*E257)*F257-(E262-E257)*F262-(E261-E257)*F261-(E260-E257)*F260-(E259-E257)*F259-(E258-E257)*F258)</f>
        <v>0</v>
      </c>
      <c r="H267" s="118" t="e">
        <f t="shared" si="46"/>
        <v>#DIV/0!</v>
      </c>
      <c r="I267" s="100">
        <v>20</v>
      </c>
      <c r="J267" s="119">
        <f>K267*I267</f>
        <v>0</v>
      </c>
      <c r="K267" s="120">
        <f>G267/B$2</f>
        <v>0</v>
      </c>
    </row>
    <row r="268" spans="1:11" x14ac:dyDescent="0.3">
      <c r="A268" s="116" t="s">
        <v>259</v>
      </c>
      <c r="B268" s="129">
        <f>'Free Spins Symbol'!$V$18</f>
        <v>100</v>
      </c>
      <c r="C268" s="129">
        <f>'Free Spins Symbol'!$W$18</f>
        <v>56</v>
      </c>
      <c r="D268" s="117">
        <f>VLOOKUP(MID($A268,7,2),'Free Spins Symbol'!$T$2:$Z$29,5,0)</f>
        <v>1</v>
      </c>
      <c r="E268" s="117">
        <f>VLOOKUP(MID($A268,10,2),'Free Spins Symbol'!$T$2:$Z$29,6,0)</f>
        <v>7</v>
      </c>
      <c r="F268" s="117">
        <f>VLOOKUP(MID($A268,13,2),'Free Spins Symbol'!$T$2:$Z$29,7,0)</f>
        <v>48</v>
      </c>
      <c r="G268" s="100">
        <f>B268*C268*D268*E268*(F268-F258)</f>
        <v>1803200</v>
      </c>
      <c r="H268" s="118">
        <f t="shared" si="46"/>
        <v>190.80745341614906</v>
      </c>
      <c r="I268" s="100">
        <v>20</v>
      </c>
      <c r="J268" s="119">
        <f t="shared" ref="J268:J287" si="50">K268*I268</f>
        <v>0.10481770833333333</v>
      </c>
      <c r="K268" s="120">
        <f t="shared" ref="K268:K287" si="51">G268/B$2</f>
        <v>5.2408854166666663E-3</v>
      </c>
    </row>
    <row r="269" spans="1:11" x14ac:dyDescent="0.3">
      <c r="A269" s="116" t="s">
        <v>260</v>
      </c>
      <c r="B269" s="129">
        <f>'Free Spins Symbol'!$V$18</f>
        <v>100</v>
      </c>
      <c r="C269" s="129">
        <f>'Free Spins Symbol'!$W$18</f>
        <v>56</v>
      </c>
      <c r="D269" s="117">
        <f>VLOOKUP(MID($A269,7,2),'Free Spins Symbol'!$T$2:$Z$29,5,0)</f>
        <v>9</v>
      </c>
      <c r="E269" s="117">
        <f>VLOOKUP(MID($A269,10,2),'Free Spins Symbol'!$T$2:$Z$29,6,0)</f>
        <v>1</v>
      </c>
      <c r="F269" s="117">
        <f>VLOOKUP(MID($A269,13,2),'Free Spins Symbol'!$T$2:$Z$29,7,0)</f>
        <v>48</v>
      </c>
      <c r="G269" s="100">
        <f t="shared" ref="G269:G272" si="52">B269*C269*D269*E269*(F269-F259)</f>
        <v>1864800</v>
      </c>
      <c r="H269" s="118">
        <f t="shared" si="46"/>
        <v>184.5045045045045</v>
      </c>
      <c r="I269" s="100">
        <v>20</v>
      </c>
      <c r="J269" s="119">
        <f t="shared" si="50"/>
        <v>0.1083984375</v>
      </c>
      <c r="K269" s="120">
        <f t="shared" si="51"/>
        <v>5.4199218749999998E-3</v>
      </c>
    </row>
    <row r="270" spans="1:11" x14ac:dyDescent="0.3">
      <c r="A270" s="116" t="s">
        <v>261</v>
      </c>
      <c r="B270" s="129">
        <f>'Free Spins Symbol'!$V$18</f>
        <v>100</v>
      </c>
      <c r="C270" s="129">
        <f>'Free Spins Symbol'!$W$18</f>
        <v>56</v>
      </c>
      <c r="D270" s="117">
        <f>VLOOKUP(MID($A270,7,2),'Free Spins Symbol'!$T$2:$Z$29,5,0)</f>
        <v>9</v>
      </c>
      <c r="E270" s="117">
        <f>VLOOKUP(MID($A270,10,2),'Free Spins Symbol'!$T$2:$Z$29,6,0)</f>
        <v>1</v>
      </c>
      <c r="F270" s="117">
        <f>VLOOKUP(MID($A270,13,2),'Free Spins Symbol'!$T$2:$Z$29,7,0)</f>
        <v>48</v>
      </c>
      <c r="G270" s="100">
        <f t="shared" si="52"/>
        <v>2368800</v>
      </c>
      <c r="H270" s="118">
        <f t="shared" si="46"/>
        <v>145.24822695035462</v>
      </c>
      <c r="I270" s="100">
        <v>20</v>
      </c>
      <c r="J270" s="119">
        <f t="shared" si="50"/>
        <v>0.1376953125</v>
      </c>
      <c r="K270" s="120">
        <f t="shared" si="51"/>
        <v>6.8847656249999998E-3</v>
      </c>
    </row>
    <row r="271" spans="1:11" x14ac:dyDescent="0.3">
      <c r="A271" s="116" t="s">
        <v>262</v>
      </c>
      <c r="B271" s="129">
        <f>'Free Spins Symbol'!$V$18</f>
        <v>100</v>
      </c>
      <c r="C271" s="129">
        <f>'Free Spins Symbol'!$W$18</f>
        <v>56</v>
      </c>
      <c r="D271" s="117">
        <f>VLOOKUP(MID($A271,7,2),'Free Spins Symbol'!$T$2:$Z$29,5,0)</f>
        <v>1</v>
      </c>
      <c r="E271" s="117">
        <f>VLOOKUP(MID($A271,10,2),'Free Spins Symbol'!$T$2:$Z$29,6,0)</f>
        <v>8</v>
      </c>
      <c r="F271" s="117">
        <f>VLOOKUP(MID($A271,13,2),'Free Spins Symbol'!$T$2:$Z$29,7,0)</f>
        <v>48</v>
      </c>
      <c r="G271" s="100">
        <f t="shared" si="52"/>
        <v>1657600</v>
      </c>
      <c r="H271" s="118">
        <f t="shared" si="46"/>
        <v>207.56756756756758</v>
      </c>
      <c r="I271" s="100">
        <v>20</v>
      </c>
      <c r="J271" s="119">
        <f t="shared" si="50"/>
        <v>9.6354166666666671E-2</v>
      </c>
      <c r="K271" s="120">
        <f t="shared" si="51"/>
        <v>4.8177083333333336E-3</v>
      </c>
    </row>
    <row r="272" spans="1:11" x14ac:dyDescent="0.3">
      <c r="A272" s="116" t="s">
        <v>263</v>
      </c>
      <c r="B272" s="129">
        <f>'Free Spins Symbol'!$V$18</f>
        <v>100</v>
      </c>
      <c r="C272" s="129">
        <f>'Free Spins Symbol'!$W$18</f>
        <v>56</v>
      </c>
      <c r="D272" s="117">
        <f>VLOOKUP(MID($A272,7,2),'Free Spins Symbol'!$T$2:$Z$29,5,0)</f>
        <v>10</v>
      </c>
      <c r="E272" s="117">
        <f>VLOOKUP(MID($A272,10,2),'Free Spins Symbol'!$T$2:$Z$29,6,0)</f>
        <v>7</v>
      </c>
      <c r="F272" s="117">
        <f>VLOOKUP(MID($A272,13,2),'Free Spins Symbol'!$T$2:$Z$29,7,0)</f>
        <v>48</v>
      </c>
      <c r="G272" s="100">
        <f t="shared" si="52"/>
        <v>14504000</v>
      </c>
      <c r="H272" s="118">
        <f t="shared" si="46"/>
        <v>23.722007722007721</v>
      </c>
      <c r="I272" s="100">
        <v>20</v>
      </c>
      <c r="J272" s="119">
        <f t="shared" si="50"/>
        <v>0.84309895833333326</v>
      </c>
      <c r="K272" s="120">
        <f t="shared" si="51"/>
        <v>4.2154947916666664E-2</v>
      </c>
    </row>
    <row r="273" spans="1:11" x14ac:dyDescent="0.3">
      <c r="A273" s="116" t="s">
        <v>265</v>
      </c>
      <c r="B273" s="129">
        <f>'Free Spins Symbol'!$V$18</f>
        <v>100</v>
      </c>
      <c r="C273" s="129">
        <f>'Free Spins Symbol'!$W$18</f>
        <v>56</v>
      </c>
      <c r="D273" s="117">
        <f>VLOOKUP(MID($A273,7,2),'Free Spins Symbol'!$T$2:$Z$29,5,0)</f>
        <v>2</v>
      </c>
      <c r="E273" s="117">
        <f>VLOOKUP(MID($A273,10,2),'Free Spins Symbol'!$T$2:$Z$29,6,0)</f>
        <v>32</v>
      </c>
      <c r="F273" s="117">
        <f>VLOOKUP(MID($A273,13,2),'Free Spins Symbol'!$T$2:$Z$29,7,0)</f>
        <v>48</v>
      </c>
      <c r="G273" s="100">
        <f>(B273*C273*D273)*(E273-E263)*F273</f>
        <v>16665600</v>
      </c>
      <c r="H273" s="118">
        <f t="shared" si="46"/>
        <v>20.64516129032258</v>
      </c>
      <c r="I273" s="100">
        <v>20</v>
      </c>
      <c r="J273" s="119">
        <f t="shared" si="50"/>
        <v>0.96875</v>
      </c>
      <c r="K273" s="120">
        <f t="shared" si="51"/>
        <v>4.8437500000000001E-2</v>
      </c>
    </row>
    <row r="274" spans="1:11" x14ac:dyDescent="0.3">
      <c r="A274" s="116" t="s">
        <v>266</v>
      </c>
      <c r="B274" s="129">
        <f>'Free Spins Symbol'!$V$18</f>
        <v>100</v>
      </c>
      <c r="C274" s="129">
        <f>'Free Spins Symbol'!$W$18</f>
        <v>56</v>
      </c>
      <c r="D274" s="117">
        <f>VLOOKUP(MID($A274,7,2),'Free Spins Symbol'!$T$2:$Z$29,5,0)</f>
        <v>3</v>
      </c>
      <c r="E274" s="117">
        <f>VLOOKUP(MID($A274,10,2),'Free Spins Symbol'!$T$2:$Z$29,6,0)</f>
        <v>32</v>
      </c>
      <c r="F274" s="117">
        <f>VLOOKUP(MID($A274,13,2),'Free Spins Symbol'!$T$2:$Z$29,7,0)</f>
        <v>48</v>
      </c>
      <c r="G274" s="100">
        <f>(B274*C274*D274)*(E274-E264)*F274</f>
        <v>24998400</v>
      </c>
      <c r="H274" s="118">
        <f t="shared" si="46"/>
        <v>13.763440860215054</v>
      </c>
      <c r="I274" s="100">
        <v>20</v>
      </c>
      <c r="J274" s="119">
        <f t="shared" si="50"/>
        <v>1.453125</v>
      </c>
      <c r="K274" s="120">
        <f t="shared" si="51"/>
        <v>7.2656250000000006E-2</v>
      </c>
    </row>
    <row r="275" spans="1:11" x14ac:dyDescent="0.3">
      <c r="A275" s="116" t="s">
        <v>267</v>
      </c>
      <c r="B275" s="129">
        <f>'Free Spins Symbol'!$V$18</f>
        <v>100</v>
      </c>
      <c r="C275" s="129">
        <f>'Free Spins Symbol'!$W$18</f>
        <v>56</v>
      </c>
      <c r="D275" s="117">
        <f>VLOOKUP(MID($A275,7,2),'Free Spins Symbol'!$T$2:$Z$29,5,0)</f>
        <v>2</v>
      </c>
      <c r="E275" s="117">
        <f>VLOOKUP(MID($A275,10,2),'Free Spins Symbol'!$T$2:$Z$29,6,0)</f>
        <v>32</v>
      </c>
      <c r="F275" s="117">
        <f>VLOOKUP(MID($A275,13,2),'Free Spins Symbol'!$T$2:$Z$29,7,0)</f>
        <v>48</v>
      </c>
      <c r="G275" s="100">
        <f>(B275*C275*D275-B267*C267*D267)*(E275-E265)*F275</f>
        <v>16665600</v>
      </c>
      <c r="H275" s="118">
        <f t="shared" si="46"/>
        <v>20.64516129032258</v>
      </c>
      <c r="I275" s="100">
        <v>10</v>
      </c>
      <c r="J275" s="119">
        <f t="shared" si="50"/>
        <v>0.484375</v>
      </c>
      <c r="K275" s="120">
        <f t="shared" si="51"/>
        <v>4.8437500000000001E-2</v>
      </c>
    </row>
    <row r="276" spans="1:11" x14ac:dyDescent="0.3">
      <c r="A276" s="116" t="s">
        <v>268</v>
      </c>
      <c r="B276" s="129">
        <f>'Free Spins Symbol'!$V$18</f>
        <v>100</v>
      </c>
      <c r="C276" s="129">
        <f>'Free Spins Symbol'!$W$18</f>
        <v>56</v>
      </c>
      <c r="D276" s="117">
        <f>VLOOKUP(MID($A276,7,2),'Free Spins Symbol'!$T$2:$Z$29,5,0)</f>
        <v>2</v>
      </c>
      <c r="E276" s="117">
        <f>VLOOKUP(MID($A276,10,2),'Free Spins Symbol'!$T$2:$Z$29,6,0)</f>
        <v>32</v>
      </c>
      <c r="F276" s="117">
        <f>VLOOKUP(MID($A276,13,2),'Free Spins Symbol'!$T$2:$Z$29,7,0)</f>
        <v>48</v>
      </c>
      <c r="G276" s="100">
        <f>(B276*C276*D276-B267*C267*D267)*(E276-E266)*F276</f>
        <v>16665600</v>
      </c>
      <c r="H276" s="118">
        <f t="shared" si="46"/>
        <v>20.64516129032258</v>
      </c>
      <c r="I276" s="100">
        <v>10</v>
      </c>
      <c r="J276" s="119">
        <f t="shared" si="50"/>
        <v>0.484375</v>
      </c>
      <c r="K276" s="120">
        <f t="shared" si="51"/>
        <v>4.8437500000000001E-2</v>
      </c>
    </row>
    <row r="277" spans="1:11" x14ac:dyDescent="0.3">
      <c r="A277" s="116" t="s">
        <v>269</v>
      </c>
      <c r="B277" s="129">
        <f>'Free Spins Symbol'!$V$18</f>
        <v>100</v>
      </c>
      <c r="C277" s="129">
        <f>'Free Spins Symbol'!$W$18</f>
        <v>56</v>
      </c>
      <c r="D277" s="117">
        <f>VLOOKUP(MID($A277,7,2),'Free Spins Symbol'!$T$2:$Z$29,5,0)</f>
        <v>1</v>
      </c>
      <c r="E277" s="117">
        <f>VLOOKUP(MID($A277,10,2),'Free Spins Symbol'!$T$2:$Z$29,6,0)</f>
        <v>32</v>
      </c>
      <c r="F277" s="117">
        <f>VLOOKUP(MID($A277,13,2),'Free Spins Symbol'!$T$2:$Z$29,7,0)</f>
        <v>48</v>
      </c>
      <c r="G277" s="100">
        <f>(B277*C277*D277-B267*C267*D267)*(E277-E268)*F277</f>
        <v>6720000</v>
      </c>
      <c r="H277" s="118">
        <f t="shared" si="46"/>
        <v>51.2</v>
      </c>
      <c r="I277" s="100">
        <v>5</v>
      </c>
      <c r="J277" s="119">
        <f t="shared" si="50"/>
        <v>9.765625E-2</v>
      </c>
      <c r="K277" s="120">
        <f t="shared" si="51"/>
        <v>1.953125E-2</v>
      </c>
    </row>
    <row r="278" spans="1:11" x14ac:dyDescent="0.3">
      <c r="A278" s="116" t="s">
        <v>270</v>
      </c>
      <c r="B278" s="129">
        <f>'Free Spins Symbol'!$V$18</f>
        <v>100</v>
      </c>
      <c r="C278" s="129">
        <f>'Free Spins Symbol'!$W$18</f>
        <v>56</v>
      </c>
      <c r="D278" s="117">
        <f>VLOOKUP(MID($A278,7,2),'Free Spins Symbol'!$T$2:$Z$29,5,0)</f>
        <v>9</v>
      </c>
      <c r="E278" s="117">
        <f>VLOOKUP(MID($A278,10,2),'Free Spins Symbol'!$T$2:$Z$29,6,0)</f>
        <v>32</v>
      </c>
      <c r="F278" s="117">
        <f>VLOOKUP(MID($A278,13,2),'Free Spins Symbol'!$T$2:$Z$29,7,0)</f>
        <v>48</v>
      </c>
      <c r="G278" s="100">
        <f>(B278*C278*D278-B267*C267*D267)*(E278-E269)*F278</f>
        <v>74995200</v>
      </c>
      <c r="H278" s="118">
        <f t="shared" si="46"/>
        <v>4.5878136200716844</v>
      </c>
      <c r="I278" s="100">
        <v>5</v>
      </c>
      <c r="J278" s="119">
        <f t="shared" si="50"/>
        <v>1.08984375</v>
      </c>
      <c r="K278" s="120">
        <f t="shared" si="51"/>
        <v>0.21796874999999999</v>
      </c>
    </row>
    <row r="279" spans="1:11" x14ac:dyDescent="0.3">
      <c r="A279" s="116" t="s">
        <v>271</v>
      </c>
      <c r="B279" s="129">
        <f>'Free Spins Symbol'!$V$18</f>
        <v>100</v>
      </c>
      <c r="C279" s="129">
        <f>'Free Spins Symbol'!$W$18</f>
        <v>56</v>
      </c>
      <c r="D279" s="117">
        <f>VLOOKUP(MID($A279,7,2),'Free Spins Symbol'!$T$2:$Z$29,5,0)</f>
        <v>9</v>
      </c>
      <c r="E279" s="117">
        <f>VLOOKUP(MID($A279,10,2),'Free Spins Symbol'!$T$2:$Z$29,6,0)</f>
        <v>32</v>
      </c>
      <c r="F279" s="117">
        <f>VLOOKUP(MID($A279,13,2),'Free Spins Symbol'!$T$2:$Z$29,7,0)</f>
        <v>48</v>
      </c>
      <c r="G279" s="100">
        <f>(B279*C279*D279-B267*C267*D267)*(E279-E270)*F279</f>
        <v>74995200</v>
      </c>
      <c r="H279" s="118">
        <f t="shared" si="46"/>
        <v>4.5878136200716844</v>
      </c>
      <c r="I279" s="100">
        <v>5</v>
      </c>
      <c r="J279" s="119">
        <f t="shared" si="50"/>
        <v>1.08984375</v>
      </c>
      <c r="K279" s="120">
        <f t="shared" si="51"/>
        <v>0.21796874999999999</v>
      </c>
    </row>
    <row r="280" spans="1:11" x14ac:dyDescent="0.3">
      <c r="A280" s="116" t="s">
        <v>272</v>
      </c>
      <c r="B280" s="129">
        <f>'Free Spins Symbol'!$V$18</f>
        <v>100</v>
      </c>
      <c r="C280" s="129">
        <f>'Free Spins Symbol'!$W$18</f>
        <v>56</v>
      </c>
      <c r="D280" s="117">
        <f>VLOOKUP(MID($A280,7,2),'Free Spins Symbol'!$T$2:$Z$29,5,0)</f>
        <v>1</v>
      </c>
      <c r="E280" s="117">
        <f>VLOOKUP(MID($A280,10,2),'Free Spins Symbol'!$T$2:$Z$29,6,0)</f>
        <v>32</v>
      </c>
      <c r="F280" s="117">
        <f>VLOOKUP(MID($A280,13,2),'Free Spins Symbol'!$T$2:$Z$29,7,0)</f>
        <v>48</v>
      </c>
      <c r="G280" s="100">
        <f>(B280*C280*D280-B267*C267*D267)*(E280-E271)*F280</f>
        <v>6451200</v>
      </c>
      <c r="H280" s="118">
        <f t="shared" si="46"/>
        <v>53.333333333333336</v>
      </c>
      <c r="I280" s="100">
        <v>5</v>
      </c>
      <c r="J280" s="119">
        <f t="shared" si="50"/>
        <v>9.375E-2</v>
      </c>
      <c r="K280" s="120">
        <f t="shared" si="51"/>
        <v>1.8749999999999999E-2</v>
      </c>
    </row>
    <row r="281" spans="1:11" x14ac:dyDescent="0.3">
      <c r="A281" s="116" t="s">
        <v>273</v>
      </c>
      <c r="B281" s="129">
        <f>'Free Spins Symbol'!$V$18</f>
        <v>100</v>
      </c>
      <c r="C281" s="129">
        <f>'Free Spins Symbol'!$W$18</f>
        <v>56</v>
      </c>
      <c r="D281" s="117">
        <f>VLOOKUP(MID($A281,7,2),'Free Spins Symbol'!$T$2:$Z$29,5,0)</f>
        <v>10</v>
      </c>
      <c r="E281" s="117">
        <f>VLOOKUP(MID($A281,10,2),'Free Spins Symbol'!$T$2:$Z$29,6,0)</f>
        <v>32</v>
      </c>
      <c r="F281" s="117">
        <f>VLOOKUP(MID($A281,13,2),'Free Spins Symbol'!$T$2:$Z$29,7,0)</f>
        <v>48</v>
      </c>
      <c r="G281" s="100">
        <f>(B281*C281*D281-B267*C267*D267)*(E281-E272)*F281</f>
        <v>67200000</v>
      </c>
      <c r="H281" s="118">
        <f t="shared" si="46"/>
        <v>5.12</v>
      </c>
      <c r="I281" s="100">
        <v>5</v>
      </c>
      <c r="J281" s="119">
        <f t="shared" si="50"/>
        <v>0.9765625</v>
      </c>
      <c r="K281" s="120">
        <f t="shared" si="51"/>
        <v>0.1953125</v>
      </c>
    </row>
    <row r="282" spans="1:11" x14ac:dyDescent="0.3">
      <c r="A282" s="116" t="s">
        <v>274</v>
      </c>
      <c r="B282" s="129">
        <f>'Free Spins Symbol'!$V$18</f>
        <v>100</v>
      </c>
      <c r="C282" s="129">
        <f>'Free Spins Symbol'!$W$18</f>
        <v>56</v>
      </c>
      <c r="D282" s="117">
        <f>VLOOKUP(MID($A282,7,2),'Free Spins Symbol'!$T$2:$Z$29,5,0)</f>
        <v>40</v>
      </c>
      <c r="E282" s="117">
        <f>VLOOKUP(MID($A282,10,2),'Free Spins Symbol'!$T$2:$Z$29,6,0)</f>
        <v>32</v>
      </c>
      <c r="F282" s="117">
        <f>VLOOKUP(MID($A282,13,2),'Free Spins Symbol'!$T$2:$Z$29,7,0)</f>
        <v>48</v>
      </c>
      <c r="G282" s="100">
        <f>B282*C282*(D282-D281-D280-D279-D278-D277-D276-D275-D274-D273+8*D267)*E282*F282</f>
        <v>8601600</v>
      </c>
      <c r="H282" s="118">
        <f t="shared" si="46"/>
        <v>40</v>
      </c>
      <c r="I282" s="100">
        <v>5</v>
      </c>
      <c r="J282" s="119">
        <f t="shared" si="50"/>
        <v>0.125</v>
      </c>
      <c r="K282" s="120">
        <f t="shared" si="51"/>
        <v>2.5000000000000001E-2</v>
      </c>
    </row>
    <row r="283" spans="1:11" x14ac:dyDescent="0.3">
      <c r="A283" s="116" t="s">
        <v>275</v>
      </c>
      <c r="B283" s="129">
        <f>'Free Spins Symbol'!$V$18</f>
        <v>100</v>
      </c>
      <c r="C283" s="129">
        <f>'Free Spins Symbol'!$W$18</f>
        <v>56</v>
      </c>
      <c r="D283" s="117">
        <f>VLOOKUP(MID($A283,7,2),'Free Spins Symbol'!$T$2:$Z$29,5,0)</f>
        <v>40</v>
      </c>
      <c r="E283" s="117">
        <f>VLOOKUP(MID($A283,10,2),'Free Spins Symbol'!$T$2:$Z$29,6,0)</f>
        <v>32</v>
      </c>
      <c r="F283" s="117">
        <f>VLOOKUP(MID($A283,13,2),'Free Spins Symbol'!$T$2:$Z$29,7,0)</f>
        <v>48</v>
      </c>
      <c r="G283" s="100">
        <f>(B283*C283-B282*C282)*(D283-D273)*E283*F283</f>
        <v>0</v>
      </c>
      <c r="H283" s="118" t="e">
        <f t="shared" si="46"/>
        <v>#DIV/0!</v>
      </c>
      <c r="I283" s="100">
        <v>5</v>
      </c>
      <c r="J283" s="119">
        <f t="shared" si="50"/>
        <v>0</v>
      </c>
      <c r="K283" s="120">
        <f t="shared" si="51"/>
        <v>0</v>
      </c>
    </row>
    <row r="284" spans="1:11" x14ac:dyDescent="0.3">
      <c r="A284" s="116" t="s">
        <v>276</v>
      </c>
      <c r="B284" s="129">
        <f>'Free Spins Symbol'!$V$18</f>
        <v>100</v>
      </c>
      <c r="C284" s="129">
        <f>'Free Spins Symbol'!$W$18</f>
        <v>56</v>
      </c>
      <c r="D284" s="117">
        <f>VLOOKUP(MID($A284,7,2),'Free Spins Symbol'!$T$2:$Z$29,5,0)</f>
        <v>40</v>
      </c>
      <c r="E284" s="117">
        <f>VLOOKUP(MID($A284,10,2),'Free Spins Symbol'!$T$2:$Z$29,6,0)</f>
        <v>32</v>
      </c>
      <c r="F284" s="117">
        <f>VLOOKUP(MID($A284,13,2),'Free Spins Symbol'!$T$2:$Z$29,7,0)</f>
        <v>48</v>
      </c>
      <c r="G284" s="100">
        <f>(B284*C284-B282*C282)*(D284-D274)*E284*F284</f>
        <v>0</v>
      </c>
      <c r="H284" s="118" t="e">
        <f t="shared" si="46"/>
        <v>#DIV/0!</v>
      </c>
      <c r="I284" s="100">
        <v>5</v>
      </c>
      <c r="J284" s="119">
        <f t="shared" si="50"/>
        <v>0</v>
      </c>
      <c r="K284" s="120">
        <f t="shared" si="51"/>
        <v>0</v>
      </c>
    </row>
    <row r="285" spans="1:11" x14ac:dyDescent="0.3">
      <c r="A285" s="116" t="s">
        <v>277</v>
      </c>
      <c r="B285" s="129">
        <f>'Free Spins Symbol'!$V$18</f>
        <v>100</v>
      </c>
      <c r="C285" s="129">
        <f>'Free Spins Symbol'!$W$18</f>
        <v>56</v>
      </c>
      <c r="D285" s="117">
        <f>VLOOKUP(MID($A285,7,2),'Free Spins Symbol'!$T$2:$Z$29,5,0)</f>
        <v>40</v>
      </c>
      <c r="E285" s="117">
        <f>VLOOKUP(MID($A285,10,2),'Free Spins Symbol'!$T$2:$Z$29,6,0)</f>
        <v>32</v>
      </c>
      <c r="F285" s="117">
        <f>VLOOKUP(MID($A285,13,2),'Free Spins Symbol'!$T$2:$Z$29,7,0)</f>
        <v>48</v>
      </c>
      <c r="G285" s="100">
        <f>(B285*C285-B282*C282)*(D285-D275)*E285*F285</f>
        <v>0</v>
      </c>
      <c r="H285" s="118" t="e">
        <f t="shared" si="46"/>
        <v>#DIV/0!</v>
      </c>
      <c r="I285" s="100">
        <v>5</v>
      </c>
      <c r="J285" s="119">
        <f t="shared" si="50"/>
        <v>0</v>
      </c>
      <c r="K285" s="120">
        <f t="shared" si="51"/>
        <v>0</v>
      </c>
    </row>
    <row r="286" spans="1:11" x14ac:dyDescent="0.3">
      <c r="A286" s="116" t="s">
        <v>278</v>
      </c>
      <c r="B286" s="129">
        <f>'Free Spins Symbol'!$V$18</f>
        <v>100</v>
      </c>
      <c r="C286" s="129">
        <f>'Free Spins Symbol'!$W$18</f>
        <v>56</v>
      </c>
      <c r="D286" s="117">
        <f>VLOOKUP(MID($A286,7,2),'Free Spins Symbol'!$T$2:$Z$29,5,0)</f>
        <v>40</v>
      </c>
      <c r="E286" s="117">
        <f>VLOOKUP(MID($A286,10,2),'Free Spins Symbol'!$T$2:$Z$29,6,0)</f>
        <v>32</v>
      </c>
      <c r="F286" s="117">
        <f>VLOOKUP(MID($A286,13,2),'Free Spins Symbol'!$T$2:$Z$29,7,0)</f>
        <v>48</v>
      </c>
      <c r="G286" s="100">
        <f>(B286*C286-B282*C282)*(D286-D276)*E286*F286</f>
        <v>0</v>
      </c>
      <c r="H286" s="118" t="e">
        <f t="shared" si="46"/>
        <v>#DIV/0!</v>
      </c>
      <c r="I286" s="100">
        <v>5</v>
      </c>
      <c r="J286" s="119">
        <f t="shared" si="50"/>
        <v>0</v>
      </c>
      <c r="K286" s="120">
        <f t="shared" si="51"/>
        <v>0</v>
      </c>
    </row>
    <row r="287" spans="1:11" x14ac:dyDescent="0.3">
      <c r="A287" s="122" t="s">
        <v>279</v>
      </c>
      <c r="B287" s="117">
        <f>VLOOKUP(MID($A287,1,2),'Free Spins Symbol'!$T$2:$Z$29,3,0)</f>
        <v>100</v>
      </c>
      <c r="C287" s="117">
        <f>VLOOKUP(MID($A287,4,2),'Free Spins Symbol'!$T$2:$Z$29,4,0)</f>
        <v>8</v>
      </c>
      <c r="D287" s="117">
        <f>VLOOKUP(MID($A287,7,2),'Free Spins Symbol'!$T$2:$Z$29,5,0)</f>
        <v>4</v>
      </c>
      <c r="E287" s="117">
        <f>VLOOKUP(MID($A287,10,2),'Free Spins Symbol'!$T$2:$Z$29,6,0)</f>
        <v>16</v>
      </c>
      <c r="F287" s="117">
        <f>VLOOKUP(MID($A287,13,2),'Free Spins Symbol'!$T$2:$Z$29,7,0)</f>
        <v>48</v>
      </c>
      <c r="G287" s="100">
        <f>B287*C287*D287*E287*F287</f>
        <v>2457600</v>
      </c>
      <c r="H287" s="118">
        <f t="shared" si="46"/>
        <v>140</v>
      </c>
      <c r="I287" s="123">
        <v>2</v>
      </c>
      <c r="J287" s="124">
        <f t="shared" si="50"/>
        <v>1.4285714285714285E-2</v>
      </c>
      <c r="K287" s="120">
        <f t="shared" si="51"/>
        <v>7.1428571428571426E-3</v>
      </c>
    </row>
    <row r="289" spans="1:11" ht="16.8" thickBot="1" x14ac:dyDescent="0.35"/>
    <row r="290" spans="1:11" ht="16.8" thickBot="1" x14ac:dyDescent="0.35">
      <c r="A290" s="125" t="s">
        <v>299</v>
      </c>
    </row>
    <row r="291" spans="1:11" ht="16.8" thickBot="1" x14ac:dyDescent="0.35">
      <c r="A291" s="95" t="s">
        <v>280</v>
      </c>
      <c r="B291" s="142">
        <f>B2</f>
        <v>344064000</v>
      </c>
      <c r="C291" s="142"/>
      <c r="D291" s="142"/>
      <c r="E291" s="142"/>
      <c r="F291" s="142"/>
      <c r="G291" s="7"/>
      <c r="H291" s="106"/>
      <c r="I291" s="107" t="s">
        <v>281</v>
      </c>
      <c r="J291" s="108">
        <f>SUM(J293:J327)</f>
        <v>10.093936011904761</v>
      </c>
      <c r="K291" s="126">
        <f>SUM(K293:K328)</f>
        <v>0.97142857142857142</v>
      </c>
    </row>
    <row r="292" spans="1:11" ht="33" thickBot="1" x14ac:dyDescent="0.35">
      <c r="A292" s="109" t="s">
        <v>233</v>
      </c>
      <c r="B292" s="110" t="s">
        <v>234</v>
      </c>
      <c r="C292" s="110" t="s">
        <v>235</v>
      </c>
      <c r="D292" s="110" t="s">
        <v>236</v>
      </c>
      <c r="E292" s="110" t="s">
        <v>237</v>
      </c>
      <c r="F292" s="110" t="s">
        <v>238</v>
      </c>
      <c r="G292" s="111" t="s">
        <v>239</v>
      </c>
      <c r="H292" s="112" t="s">
        <v>240</v>
      </c>
      <c r="I292" s="113" t="s">
        <v>241</v>
      </c>
      <c r="J292" s="114" t="s">
        <v>242</v>
      </c>
      <c r="K292" s="115" t="s">
        <v>243</v>
      </c>
    </row>
    <row r="293" spans="1:11" x14ac:dyDescent="0.3">
      <c r="A293" s="116" t="s">
        <v>244</v>
      </c>
      <c r="B293" s="129">
        <f>'Free Spins Symbol'!$V$18</f>
        <v>100</v>
      </c>
      <c r="C293" s="117">
        <f>VLOOKUP(MID($A293,4,2),'Free Spins Symbol'!$T$2:$Z$29,4,0)</f>
        <v>0</v>
      </c>
      <c r="D293" s="129">
        <f>'Free Spins Symbol'!$X$18</f>
        <v>40</v>
      </c>
      <c r="E293" s="117">
        <f>VLOOKUP(MID($A293,10,2),'Free Spins Symbol'!$T$2:$Z$29,6,0)</f>
        <v>0</v>
      </c>
      <c r="F293" s="117">
        <f>VLOOKUP(MID($A293,13,2),'Free Spins Symbol'!$T$2:$Z$29,7,0)</f>
        <v>0</v>
      </c>
      <c r="G293" s="100">
        <f>B293*C293*D293*E293*F293</f>
        <v>0</v>
      </c>
      <c r="H293" s="118" t="e">
        <f>B$2/G293</f>
        <v>#DIV/0!</v>
      </c>
      <c r="I293" s="100">
        <v>500</v>
      </c>
      <c r="J293" s="119">
        <f t="shared" ref="J293:J297" si="53">K293*I293</f>
        <v>0</v>
      </c>
      <c r="K293" s="120">
        <f>G293/B$2</f>
        <v>0</v>
      </c>
    </row>
    <row r="294" spans="1:11" x14ac:dyDescent="0.3">
      <c r="A294" s="116" t="s">
        <v>245</v>
      </c>
      <c r="B294" s="129">
        <f>'Free Spins Symbol'!$V$18</f>
        <v>100</v>
      </c>
      <c r="C294" s="117">
        <f>VLOOKUP(MID($A294,4,2),'Free Spins Symbol'!$T$2:$Z$29,4,0)</f>
        <v>2</v>
      </c>
      <c r="D294" s="129">
        <f>'Free Spins Symbol'!$X$18</f>
        <v>40</v>
      </c>
      <c r="E294" s="117">
        <f>VLOOKUP(MID($A294,10,2),'Free Spins Symbol'!$T$2:$Z$29,6,0)</f>
        <v>1</v>
      </c>
      <c r="F294" s="117">
        <f>VLOOKUP(MID($A294,13,2),'Free Spins Symbol'!$T$2:$Z$29,7,0)</f>
        <v>1</v>
      </c>
      <c r="G294" s="100">
        <f>B294*C294*D294*E294*F294-G293</f>
        <v>8000</v>
      </c>
      <c r="H294" s="118">
        <f t="shared" ref="H294:H328" si="54">B$2/G294</f>
        <v>43008</v>
      </c>
      <c r="I294" s="100">
        <v>250</v>
      </c>
      <c r="J294" s="119">
        <f t="shared" si="53"/>
        <v>5.8128720238095231E-3</v>
      </c>
      <c r="K294" s="120">
        <f t="shared" ref="K294:K297" si="55">G294/B$2</f>
        <v>2.3251488095238094E-5</v>
      </c>
    </row>
    <row r="295" spans="1:11" x14ac:dyDescent="0.3">
      <c r="A295" s="116" t="s">
        <v>246</v>
      </c>
      <c r="B295" s="129">
        <f>'Free Spins Symbol'!$V$18</f>
        <v>100</v>
      </c>
      <c r="C295" s="117">
        <f>VLOOKUP(MID($A295,4,2),'Free Spins Symbol'!$T$2:$Z$29,4,0)</f>
        <v>2</v>
      </c>
      <c r="D295" s="129">
        <f>'Free Spins Symbol'!$X$18</f>
        <v>40</v>
      </c>
      <c r="E295" s="117">
        <f>VLOOKUP(MID($A295,10,2),'Free Spins Symbol'!$T$2:$Z$29,6,0)</f>
        <v>1</v>
      </c>
      <c r="F295" s="117">
        <f>VLOOKUP(MID($A295,13,2),'Free Spins Symbol'!$T$2:$Z$29,7,0)</f>
        <v>1</v>
      </c>
      <c r="G295" s="100">
        <f>B295*C295*D295*E295*F295-G293</f>
        <v>8000</v>
      </c>
      <c r="H295" s="118">
        <f t="shared" si="54"/>
        <v>43008</v>
      </c>
      <c r="I295" s="100">
        <v>250</v>
      </c>
      <c r="J295" s="119">
        <f t="shared" si="53"/>
        <v>5.8128720238095231E-3</v>
      </c>
      <c r="K295" s="120">
        <f t="shared" si="55"/>
        <v>2.3251488095238094E-5</v>
      </c>
    </row>
    <row r="296" spans="1:11" x14ac:dyDescent="0.3">
      <c r="A296" s="116" t="s">
        <v>247</v>
      </c>
      <c r="B296" s="129">
        <f>'Free Spins Symbol'!$V$18</f>
        <v>100</v>
      </c>
      <c r="C296" s="117">
        <f>VLOOKUP(MID($A296,4,2),'Free Spins Symbol'!$T$2:$Z$29,4,0)</f>
        <v>4</v>
      </c>
      <c r="D296" s="129">
        <f>'Free Spins Symbol'!$X$18</f>
        <v>40</v>
      </c>
      <c r="E296" s="117">
        <f>VLOOKUP(MID($A296,10,2),'Free Spins Symbol'!$T$2:$Z$29,6,0)</f>
        <v>1</v>
      </c>
      <c r="F296" s="117">
        <f>VLOOKUP(MID($A296,13,2),'Free Spins Symbol'!$T$2:$Z$29,7,0)</f>
        <v>5</v>
      </c>
      <c r="G296" s="100">
        <f>B296*C296*D296*E296*F296-G293</f>
        <v>80000</v>
      </c>
      <c r="H296" s="118">
        <f t="shared" si="54"/>
        <v>4300.8</v>
      </c>
      <c r="I296" s="100">
        <v>150</v>
      </c>
      <c r="J296" s="119">
        <f t="shared" si="53"/>
        <v>3.4877232142857144E-2</v>
      </c>
      <c r="K296" s="120">
        <f t="shared" si="55"/>
        <v>2.3251488095238094E-4</v>
      </c>
    </row>
    <row r="297" spans="1:11" x14ac:dyDescent="0.3">
      <c r="A297" s="116" t="s">
        <v>248</v>
      </c>
      <c r="B297" s="129">
        <f>'Free Spins Symbol'!$V$18</f>
        <v>100</v>
      </c>
      <c r="C297" s="117">
        <f>VLOOKUP(MID($A297,4,2),'Free Spins Symbol'!$T$2:$Z$29,4,0)</f>
        <v>4</v>
      </c>
      <c r="D297" s="129">
        <f>'Free Spins Symbol'!$X$18</f>
        <v>40</v>
      </c>
      <c r="E297" s="117">
        <f>VLOOKUP(MID($A297,10,2),'Free Spins Symbol'!$T$2:$Z$29,6,0)</f>
        <v>1</v>
      </c>
      <c r="F297" s="117">
        <f>VLOOKUP(MID($A297,13,2),'Free Spins Symbol'!$T$2:$Z$29,7,0)</f>
        <v>5</v>
      </c>
      <c r="G297" s="100">
        <f>B297*C297*D297*E297*F297-G293</f>
        <v>80000</v>
      </c>
      <c r="H297" s="118">
        <f t="shared" si="54"/>
        <v>4300.8</v>
      </c>
      <c r="I297" s="100">
        <v>150</v>
      </c>
      <c r="J297" s="119">
        <f t="shared" si="53"/>
        <v>3.4877232142857144E-2</v>
      </c>
      <c r="K297" s="120">
        <f t="shared" si="55"/>
        <v>2.3251488095238094E-4</v>
      </c>
    </row>
    <row r="298" spans="1:11" x14ac:dyDescent="0.3">
      <c r="A298" s="116" t="s">
        <v>254</v>
      </c>
      <c r="B298" s="129">
        <f>'Free Spins Symbol'!$V$18</f>
        <v>100</v>
      </c>
      <c r="C298" s="117">
        <f>VLOOKUP(MID($A298,4,2),'Free Spins Symbol'!$T$2:$Z$29,4,0)</f>
        <v>0</v>
      </c>
      <c r="D298" s="129">
        <f>'Free Spins Symbol'!$X$18</f>
        <v>40</v>
      </c>
      <c r="E298" s="117">
        <f>VLOOKUP(MID($A298,10,2),'Free Spins Symbol'!$T$2:$Z$29,6,0)</f>
        <v>0</v>
      </c>
      <c r="F298" s="117">
        <f>VLOOKUP(MID($A298,13,2),'Free Spins Symbol'!$T$2:$Z$29,7,0)</f>
        <v>48</v>
      </c>
      <c r="G298" s="100">
        <f>B298*C298*D298*E298*(F298-F297-F296-F295-F294+3*F293)</f>
        <v>0</v>
      </c>
      <c r="H298" s="118" t="e">
        <f t="shared" si="54"/>
        <v>#DIV/0!</v>
      </c>
      <c r="I298" s="100">
        <v>100</v>
      </c>
      <c r="J298" s="119">
        <f>K298*I298</f>
        <v>0</v>
      </c>
      <c r="K298" s="120">
        <f>G298/B$2</f>
        <v>0</v>
      </c>
    </row>
    <row r="299" spans="1:11" x14ac:dyDescent="0.3">
      <c r="A299" s="116" t="s">
        <v>249</v>
      </c>
      <c r="B299" s="129">
        <f>'Free Spins Symbol'!$V$18</f>
        <v>100</v>
      </c>
      <c r="C299" s="117">
        <f>VLOOKUP(MID($A299,4,2),'Free Spins Symbol'!$T$2:$Z$29,4,0)</f>
        <v>13</v>
      </c>
      <c r="D299" s="129">
        <f>'Free Spins Symbol'!$X$18</f>
        <v>40</v>
      </c>
      <c r="E299" s="117">
        <f>VLOOKUP(MID($A299,10,2),'Free Spins Symbol'!$T$2:$Z$29,6,0)</f>
        <v>7</v>
      </c>
      <c r="F299" s="117">
        <f>VLOOKUP(MID($A299,13,2),'Free Spins Symbol'!$T$2:$Z$29,7,0)</f>
        <v>2</v>
      </c>
      <c r="G299" s="100">
        <f>B299*C299*D299*E299*F299-G293</f>
        <v>728000</v>
      </c>
      <c r="H299" s="118">
        <f t="shared" si="54"/>
        <v>472.61538461538464</v>
      </c>
      <c r="I299" s="100">
        <v>100</v>
      </c>
      <c r="J299" s="119">
        <f t="shared" ref="J299:J307" si="56">K299*I299</f>
        <v>0.21158854166666666</v>
      </c>
      <c r="K299" s="120">
        <f t="shared" ref="K299:K307" si="57">G299/B$2</f>
        <v>2.1158854166666665E-3</v>
      </c>
    </row>
    <row r="300" spans="1:11" x14ac:dyDescent="0.3">
      <c r="A300" s="116" t="s">
        <v>250</v>
      </c>
      <c r="B300" s="129">
        <f>'Free Spins Symbol'!$V$18</f>
        <v>100</v>
      </c>
      <c r="C300" s="117">
        <f>VLOOKUP(MID($A300,4,2),'Free Spins Symbol'!$T$2:$Z$29,4,0)</f>
        <v>1</v>
      </c>
      <c r="D300" s="129">
        <f>'Free Spins Symbol'!$X$18</f>
        <v>40</v>
      </c>
      <c r="E300" s="117">
        <f>VLOOKUP(MID($A300,10,2),'Free Spins Symbol'!$T$2:$Z$29,6,0)</f>
        <v>1</v>
      </c>
      <c r="F300" s="117">
        <f>VLOOKUP(MID($A300,13,2),'Free Spins Symbol'!$T$2:$Z$29,7,0)</f>
        <v>11</v>
      </c>
      <c r="G300" s="100">
        <f>B300*C300*D300*E300*F300-G293</f>
        <v>44000</v>
      </c>
      <c r="H300" s="118">
        <f t="shared" si="54"/>
        <v>7819.636363636364</v>
      </c>
      <c r="I300" s="100">
        <v>100</v>
      </c>
      <c r="J300" s="119">
        <f t="shared" si="56"/>
        <v>1.2788318452380954E-2</v>
      </c>
      <c r="K300" s="120">
        <f t="shared" si="57"/>
        <v>1.2788318452380953E-4</v>
      </c>
    </row>
    <row r="301" spans="1:11" x14ac:dyDescent="0.3">
      <c r="A301" s="116" t="s">
        <v>251</v>
      </c>
      <c r="B301" s="129">
        <f>'Free Spins Symbol'!$V$18</f>
        <v>100</v>
      </c>
      <c r="C301" s="117">
        <f>VLOOKUP(MID($A301,4,2),'Free Spins Symbol'!$T$2:$Z$29,4,0)</f>
        <v>13</v>
      </c>
      <c r="D301" s="129">
        <f>'Free Spins Symbol'!$X$18</f>
        <v>40</v>
      </c>
      <c r="E301" s="117">
        <f>VLOOKUP(MID($A301,10,2),'Free Spins Symbol'!$T$2:$Z$29,6,0)</f>
        <v>1</v>
      </c>
      <c r="F301" s="117">
        <f>VLOOKUP(MID($A301,13,2),'Free Spins Symbol'!$T$2:$Z$29,7,0)</f>
        <v>1</v>
      </c>
      <c r="G301" s="100">
        <f>B301*C301*D301*E301*F301-G293</f>
        <v>52000</v>
      </c>
      <c r="H301" s="118">
        <f t="shared" si="54"/>
        <v>6616.6153846153848</v>
      </c>
      <c r="I301" s="100">
        <v>100</v>
      </c>
      <c r="J301" s="119">
        <f t="shared" si="56"/>
        <v>1.5113467261904762E-2</v>
      </c>
      <c r="K301" s="120">
        <f t="shared" si="57"/>
        <v>1.5113467261904762E-4</v>
      </c>
    </row>
    <row r="302" spans="1:11" x14ac:dyDescent="0.3">
      <c r="A302" s="116" t="s">
        <v>252</v>
      </c>
      <c r="B302" s="129">
        <f>'Free Spins Symbol'!$V$18</f>
        <v>100</v>
      </c>
      <c r="C302" s="117">
        <f>VLOOKUP(MID($A302,4,2),'Free Spins Symbol'!$T$2:$Z$29,4,0)</f>
        <v>13</v>
      </c>
      <c r="D302" s="129">
        <f>'Free Spins Symbol'!$X$18</f>
        <v>40</v>
      </c>
      <c r="E302" s="117">
        <f>VLOOKUP(MID($A302,10,2),'Free Spins Symbol'!$T$2:$Z$29,6,0)</f>
        <v>8</v>
      </c>
      <c r="F302" s="117">
        <f>VLOOKUP(MID($A302,13,2),'Free Spins Symbol'!$T$2:$Z$29,7,0)</f>
        <v>11</v>
      </c>
      <c r="G302" s="100">
        <f>(B302*C302*D302*E302-B298*C298*D298*E298)*F302</f>
        <v>4576000</v>
      </c>
      <c r="H302" s="118">
        <f t="shared" si="54"/>
        <v>75.188811188811187</v>
      </c>
      <c r="I302" s="100">
        <v>100</v>
      </c>
      <c r="J302" s="119">
        <f t="shared" si="56"/>
        <v>1.3299851190476191</v>
      </c>
      <c r="K302" s="120">
        <f t="shared" si="57"/>
        <v>1.329985119047619E-2</v>
      </c>
    </row>
    <row r="303" spans="1:11" x14ac:dyDescent="0.3">
      <c r="A303" s="116" t="s">
        <v>253</v>
      </c>
      <c r="B303" s="129">
        <f>'Free Spins Symbol'!$V$18</f>
        <v>100</v>
      </c>
      <c r="C303" s="117">
        <f>VLOOKUP(MID($A303,4,2),'Free Spins Symbol'!$T$2:$Z$29,4,0)</f>
        <v>2</v>
      </c>
      <c r="D303" s="129">
        <f>'Free Spins Symbol'!$X$18</f>
        <v>40</v>
      </c>
      <c r="E303" s="117">
        <f>VLOOKUP(MID($A303,10,2),'Free Spins Symbol'!$T$2:$Z$29,6,0)</f>
        <v>7</v>
      </c>
      <c r="F303" s="117">
        <f>VLOOKUP(MID($A303,13,2),'Free Spins Symbol'!$T$2:$Z$29,7,0)</f>
        <v>11</v>
      </c>
      <c r="G303" s="100">
        <f>B303*C303*D303*E303*F303-G293</f>
        <v>616000</v>
      </c>
      <c r="H303" s="118">
        <f t="shared" si="54"/>
        <v>558.5454545454545</v>
      </c>
      <c r="I303" s="100">
        <v>100</v>
      </c>
      <c r="J303" s="119">
        <f t="shared" si="56"/>
        <v>0.17903645833333331</v>
      </c>
      <c r="K303" s="120">
        <f t="shared" si="57"/>
        <v>1.7903645833333333E-3</v>
      </c>
    </row>
    <row r="304" spans="1:11" x14ac:dyDescent="0.3">
      <c r="A304" s="116" t="s">
        <v>255</v>
      </c>
      <c r="B304" s="129">
        <f>'Free Spins Symbol'!$V$18</f>
        <v>100</v>
      </c>
      <c r="C304" s="117">
        <f>VLOOKUP(MID($A304,4,2),'Free Spins Symbol'!$T$2:$Z$29,4,0)</f>
        <v>2</v>
      </c>
      <c r="D304" s="129">
        <f>'Free Spins Symbol'!$X$18</f>
        <v>40</v>
      </c>
      <c r="E304" s="117">
        <f>VLOOKUP(MID($A304,10,2),'Free Spins Symbol'!$T$2:$Z$29,6,0)</f>
        <v>1</v>
      </c>
      <c r="F304" s="117">
        <f>VLOOKUP(MID($A304,13,2),'Free Spins Symbol'!$T$2:$Z$29,7,0)</f>
        <v>48</v>
      </c>
      <c r="G304" s="100">
        <f>(B304*C304*D304*E304-B298*C298*D298*E298)*(F304-F294)</f>
        <v>376000</v>
      </c>
      <c r="H304" s="118">
        <f t="shared" si="54"/>
        <v>915.063829787234</v>
      </c>
      <c r="I304" s="100">
        <v>50</v>
      </c>
      <c r="J304" s="119">
        <f t="shared" si="56"/>
        <v>5.4640997023809527E-2</v>
      </c>
      <c r="K304" s="120">
        <f t="shared" si="57"/>
        <v>1.0928199404761905E-3</v>
      </c>
    </row>
    <row r="305" spans="1:11" x14ac:dyDescent="0.3">
      <c r="A305" s="116" t="s">
        <v>256</v>
      </c>
      <c r="B305" s="129">
        <f>'Free Spins Symbol'!$V$18</f>
        <v>100</v>
      </c>
      <c r="C305" s="117">
        <f>VLOOKUP(MID($A305,4,2),'Free Spins Symbol'!$T$2:$Z$29,4,0)</f>
        <v>2</v>
      </c>
      <c r="D305" s="129">
        <f>'Free Spins Symbol'!$X$18</f>
        <v>40</v>
      </c>
      <c r="E305" s="117">
        <f>VLOOKUP(MID($A305,10,2),'Free Spins Symbol'!$T$2:$Z$29,6,0)</f>
        <v>1</v>
      </c>
      <c r="F305" s="117">
        <f>VLOOKUP(MID($A305,13,2),'Free Spins Symbol'!$T$2:$Z$29,7,0)</f>
        <v>48</v>
      </c>
      <c r="G305" s="100">
        <f>(B305*C305*D305*E305-B298*C298*D298*E298)*(F305-F295)</f>
        <v>376000</v>
      </c>
      <c r="H305" s="118">
        <f t="shared" si="54"/>
        <v>915.063829787234</v>
      </c>
      <c r="I305" s="100">
        <v>50</v>
      </c>
      <c r="J305" s="119">
        <f t="shared" si="56"/>
        <v>5.4640997023809527E-2</v>
      </c>
      <c r="K305" s="120">
        <f t="shared" si="57"/>
        <v>1.0928199404761905E-3</v>
      </c>
    </row>
    <row r="306" spans="1:11" x14ac:dyDescent="0.3">
      <c r="A306" s="116" t="s">
        <v>257</v>
      </c>
      <c r="B306" s="129">
        <f>'Free Spins Symbol'!$V$18</f>
        <v>100</v>
      </c>
      <c r="C306" s="117">
        <f>VLOOKUP(MID($A306,4,2),'Free Spins Symbol'!$T$2:$Z$29,4,0)</f>
        <v>4</v>
      </c>
      <c r="D306" s="129">
        <f>'Free Spins Symbol'!$X$18</f>
        <v>40</v>
      </c>
      <c r="E306" s="117">
        <f>VLOOKUP(MID($A306,10,2),'Free Spins Symbol'!$T$2:$Z$29,6,0)</f>
        <v>1</v>
      </c>
      <c r="F306" s="117">
        <f>VLOOKUP(MID($A306,13,2),'Free Spins Symbol'!$T$2:$Z$29,7,0)</f>
        <v>48</v>
      </c>
      <c r="G306" s="100">
        <f>(B306*C306*D306*E306-B298*C298*D298*E298)*(F306-F296)</f>
        <v>688000</v>
      </c>
      <c r="H306" s="118">
        <f t="shared" si="54"/>
        <v>500.09302325581393</v>
      </c>
      <c r="I306" s="100">
        <v>30</v>
      </c>
      <c r="J306" s="119">
        <f t="shared" si="56"/>
        <v>5.9988839285714281E-2</v>
      </c>
      <c r="K306" s="120">
        <f t="shared" si="57"/>
        <v>1.999627976190476E-3</v>
      </c>
    </row>
    <row r="307" spans="1:11" x14ac:dyDescent="0.3">
      <c r="A307" s="116" t="s">
        <v>258</v>
      </c>
      <c r="B307" s="129">
        <f>'Free Spins Symbol'!$V$18</f>
        <v>100</v>
      </c>
      <c r="C307" s="117">
        <f>VLOOKUP(MID($A307,4,2),'Free Spins Symbol'!$T$2:$Z$29,4,0)</f>
        <v>4</v>
      </c>
      <c r="D307" s="129">
        <f>'Free Spins Symbol'!$X$18</f>
        <v>40</v>
      </c>
      <c r="E307" s="117">
        <f>VLOOKUP(MID($A307,10,2),'Free Spins Symbol'!$T$2:$Z$29,6,0)</f>
        <v>1</v>
      </c>
      <c r="F307" s="117">
        <f>VLOOKUP(MID($A307,13,2),'Free Spins Symbol'!$T$2:$Z$29,7,0)</f>
        <v>48</v>
      </c>
      <c r="G307" s="100">
        <f>(B307*C307*D307*E307-B298*C298*D298*E298)*(F307-F297)</f>
        <v>688000</v>
      </c>
      <c r="H307" s="118">
        <f t="shared" si="54"/>
        <v>500.09302325581393</v>
      </c>
      <c r="I307" s="100">
        <v>30</v>
      </c>
      <c r="J307" s="119">
        <f t="shared" si="56"/>
        <v>5.9988839285714281E-2</v>
      </c>
      <c r="K307" s="120">
        <f t="shared" si="57"/>
        <v>1.999627976190476E-3</v>
      </c>
    </row>
    <row r="308" spans="1:11" x14ac:dyDescent="0.3">
      <c r="A308" s="116" t="s">
        <v>264</v>
      </c>
      <c r="B308" s="129">
        <f>'Free Spins Symbol'!$V$18</f>
        <v>100</v>
      </c>
      <c r="C308" s="117">
        <f>VLOOKUP(MID($A308,4,2),'Free Spins Symbol'!$T$2:$Z$29,4,0)</f>
        <v>0</v>
      </c>
      <c r="D308" s="129">
        <f>'Free Spins Symbol'!$X$18</f>
        <v>40</v>
      </c>
      <c r="E308" s="117">
        <f>VLOOKUP(MID($A308,10,2),'Free Spins Symbol'!$T$2:$Z$29,6,0)</f>
        <v>32</v>
      </c>
      <c r="F308" s="117">
        <f>VLOOKUP(MID($A308,13,2),'Free Spins Symbol'!$T$2:$Z$29,7,0)</f>
        <v>48</v>
      </c>
      <c r="G308" s="100">
        <f>(B308*C308*D308)*(E308*F308-(E307+E306+E305+E304-3*E298)*F298-(E303-E298)*F303-(E302-E298)*F302-(E301-E298)*F301-(E300-E298)*F300-(E299-E298)*F299)</f>
        <v>0</v>
      </c>
      <c r="H308" s="118" t="e">
        <f t="shared" si="54"/>
        <v>#DIV/0!</v>
      </c>
      <c r="I308" s="100">
        <v>20</v>
      </c>
      <c r="J308" s="119">
        <f>K308*I308</f>
        <v>0</v>
      </c>
      <c r="K308" s="120">
        <f>G308/B$2</f>
        <v>0</v>
      </c>
    </row>
    <row r="309" spans="1:11" x14ac:dyDescent="0.3">
      <c r="A309" s="116" t="s">
        <v>259</v>
      </c>
      <c r="B309" s="129">
        <f>'Free Spins Symbol'!$V$18</f>
        <v>100</v>
      </c>
      <c r="C309" s="117">
        <f>VLOOKUP(MID($A309,4,2),'Free Spins Symbol'!$T$2:$Z$29,4,0)</f>
        <v>13</v>
      </c>
      <c r="D309" s="129">
        <f>'Free Spins Symbol'!$X$18</f>
        <v>40</v>
      </c>
      <c r="E309" s="117">
        <f>VLOOKUP(MID($A309,10,2),'Free Spins Symbol'!$T$2:$Z$29,6,0)</f>
        <v>7</v>
      </c>
      <c r="F309" s="117">
        <f>VLOOKUP(MID($A309,13,2),'Free Spins Symbol'!$T$2:$Z$29,7,0)</f>
        <v>48</v>
      </c>
      <c r="G309" s="100">
        <f>B309*C309*D309*E309*(F309-F299)</f>
        <v>16744000</v>
      </c>
      <c r="H309" s="118">
        <f t="shared" si="54"/>
        <v>20.548494983277592</v>
      </c>
      <c r="I309" s="100">
        <v>20</v>
      </c>
      <c r="J309" s="119">
        <f t="shared" ref="J309:J328" si="58">K309*I309</f>
        <v>0.97330729166666674</v>
      </c>
      <c r="K309" s="120">
        <f t="shared" ref="K309:K328" si="59">G309/B$2</f>
        <v>4.8665364583333336E-2</v>
      </c>
    </row>
    <row r="310" spans="1:11" x14ac:dyDescent="0.3">
      <c r="A310" s="116" t="s">
        <v>260</v>
      </c>
      <c r="B310" s="129">
        <f>'Free Spins Symbol'!$V$18</f>
        <v>100</v>
      </c>
      <c r="C310" s="117">
        <f>VLOOKUP(MID($A310,4,2),'Free Spins Symbol'!$T$2:$Z$29,4,0)</f>
        <v>1</v>
      </c>
      <c r="D310" s="129">
        <f>'Free Spins Symbol'!$X$18</f>
        <v>40</v>
      </c>
      <c r="E310" s="117">
        <f>VLOOKUP(MID($A310,10,2),'Free Spins Symbol'!$T$2:$Z$29,6,0)</f>
        <v>1</v>
      </c>
      <c r="F310" s="117">
        <f>VLOOKUP(MID($A310,13,2),'Free Spins Symbol'!$T$2:$Z$29,7,0)</f>
        <v>48</v>
      </c>
      <c r="G310" s="100">
        <f t="shared" ref="G310:G313" si="60">B310*C310*D310*E310*(F310-F300)</f>
        <v>148000</v>
      </c>
      <c r="H310" s="118">
        <f t="shared" si="54"/>
        <v>2324.7567567567567</v>
      </c>
      <c r="I310" s="100">
        <v>20</v>
      </c>
      <c r="J310" s="119">
        <f t="shared" si="58"/>
        <v>8.6030505952380959E-3</v>
      </c>
      <c r="K310" s="120">
        <f t="shared" si="59"/>
        <v>4.3015252976190475E-4</v>
      </c>
    </row>
    <row r="311" spans="1:11" x14ac:dyDescent="0.3">
      <c r="A311" s="116" t="s">
        <v>261</v>
      </c>
      <c r="B311" s="129">
        <f>'Free Spins Symbol'!$V$18</f>
        <v>100</v>
      </c>
      <c r="C311" s="117">
        <f>VLOOKUP(MID($A311,4,2),'Free Spins Symbol'!$T$2:$Z$29,4,0)</f>
        <v>13</v>
      </c>
      <c r="D311" s="129">
        <f>'Free Spins Symbol'!$X$18</f>
        <v>40</v>
      </c>
      <c r="E311" s="117">
        <f>VLOOKUP(MID($A311,10,2),'Free Spins Symbol'!$T$2:$Z$29,6,0)</f>
        <v>1</v>
      </c>
      <c r="F311" s="117">
        <f>VLOOKUP(MID($A311,13,2),'Free Spins Symbol'!$T$2:$Z$29,7,0)</f>
        <v>48</v>
      </c>
      <c r="G311" s="100">
        <f t="shared" si="60"/>
        <v>2444000</v>
      </c>
      <c r="H311" s="118">
        <f t="shared" si="54"/>
        <v>140.77905073649754</v>
      </c>
      <c r="I311" s="100">
        <v>20</v>
      </c>
      <c r="J311" s="119">
        <f t="shared" si="58"/>
        <v>0.14206659226190477</v>
      </c>
      <c r="K311" s="120">
        <f t="shared" si="59"/>
        <v>7.103329613095238E-3</v>
      </c>
    </row>
    <row r="312" spans="1:11" x14ac:dyDescent="0.3">
      <c r="A312" s="116" t="s">
        <v>262</v>
      </c>
      <c r="B312" s="129">
        <f>'Free Spins Symbol'!$V$18</f>
        <v>100</v>
      </c>
      <c r="C312" s="117">
        <f>VLOOKUP(MID($A312,4,2),'Free Spins Symbol'!$T$2:$Z$29,4,0)</f>
        <v>13</v>
      </c>
      <c r="D312" s="129">
        <f>'Free Spins Symbol'!$X$18</f>
        <v>40</v>
      </c>
      <c r="E312" s="117">
        <f>VLOOKUP(MID($A312,10,2),'Free Spins Symbol'!$T$2:$Z$29,6,0)</f>
        <v>8</v>
      </c>
      <c r="F312" s="117">
        <f>VLOOKUP(MID($A312,13,2),'Free Spins Symbol'!$T$2:$Z$29,7,0)</f>
        <v>48</v>
      </c>
      <c r="G312" s="100">
        <f t="shared" si="60"/>
        <v>15392000</v>
      </c>
      <c r="H312" s="118">
        <f t="shared" si="54"/>
        <v>22.353430353430355</v>
      </c>
      <c r="I312" s="100">
        <v>20</v>
      </c>
      <c r="J312" s="119">
        <f t="shared" si="58"/>
        <v>0.89471726190476186</v>
      </c>
      <c r="K312" s="120">
        <f t="shared" si="59"/>
        <v>4.4735863095238096E-2</v>
      </c>
    </row>
    <row r="313" spans="1:11" x14ac:dyDescent="0.3">
      <c r="A313" s="116" t="s">
        <v>263</v>
      </c>
      <c r="B313" s="129">
        <f>'Free Spins Symbol'!$V$18</f>
        <v>100</v>
      </c>
      <c r="C313" s="117">
        <f>VLOOKUP(MID($A313,4,2),'Free Spins Symbol'!$T$2:$Z$29,4,0)</f>
        <v>2</v>
      </c>
      <c r="D313" s="129">
        <f>'Free Spins Symbol'!$X$18</f>
        <v>40</v>
      </c>
      <c r="E313" s="117">
        <f>VLOOKUP(MID($A313,10,2),'Free Spins Symbol'!$T$2:$Z$29,6,0)</f>
        <v>7</v>
      </c>
      <c r="F313" s="117">
        <f>VLOOKUP(MID($A313,13,2),'Free Spins Symbol'!$T$2:$Z$29,7,0)</f>
        <v>48</v>
      </c>
      <c r="G313" s="100">
        <f t="shared" si="60"/>
        <v>2072000</v>
      </c>
      <c r="H313" s="118">
        <f t="shared" si="54"/>
        <v>166.05405405405406</v>
      </c>
      <c r="I313" s="100">
        <v>20</v>
      </c>
      <c r="J313" s="119">
        <f t="shared" si="58"/>
        <v>0.12044270833333334</v>
      </c>
      <c r="K313" s="120">
        <f t="shared" si="59"/>
        <v>6.022135416666667E-3</v>
      </c>
    </row>
    <row r="314" spans="1:11" x14ac:dyDescent="0.3">
      <c r="A314" s="116" t="s">
        <v>265</v>
      </c>
      <c r="B314" s="129">
        <f>'Free Spins Symbol'!$V$18</f>
        <v>100</v>
      </c>
      <c r="C314" s="117">
        <f>VLOOKUP(MID($A314,4,2),'Free Spins Symbol'!$T$2:$Z$29,4,0)</f>
        <v>2</v>
      </c>
      <c r="D314" s="129">
        <f>'Free Spins Symbol'!$X$18</f>
        <v>40</v>
      </c>
      <c r="E314" s="117">
        <f>VLOOKUP(MID($A314,10,2),'Free Spins Symbol'!$T$2:$Z$29,6,0)</f>
        <v>32</v>
      </c>
      <c r="F314" s="117">
        <f>VLOOKUP(MID($A314,13,2),'Free Spins Symbol'!$T$2:$Z$29,7,0)</f>
        <v>48</v>
      </c>
      <c r="G314" s="100">
        <f>(B314*C314*D314)*(E314-E304)*F314</f>
        <v>11904000</v>
      </c>
      <c r="H314" s="118">
        <f t="shared" si="54"/>
        <v>28.903225806451612</v>
      </c>
      <c r="I314" s="100">
        <v>20</v>
      </c>
      <c r="J314" s="119">
        <f t="shared" si="58"/>
        <v>0.69196428571428581</v>
      </c>
      <c r="K314" s="120">
        <f t="shared" si="59"/>
        <v>3.4598214285714288E-2</v>
      </c>
    </row>
    <row r="315" spans="1:11" x14ac:dyDescent="0.3">
      <c r="A315" s="116" t="s">
        <v>266</v>
      </c>
      <c r="B315" s="129">
        <f>'Free Spins Symbol'!$V$18</f>
        <v>100</v>
      </c>
      <c r="C315" s="117">
        <f>VLOOKUP(MID($A315,4,2),'Free Spins Symbol'!$T$2:$Z$29,4,0)</f>
        <v>2</v>
      </c>
      <c r="D315" s="129">
        <f>'Free Spins Symbol'!$X$18</f>
        <v>40</v>
      </c>
      <c r="E315" s="117">
        <f>VLOOKUP(MID($A315,10,2),'Free Spins Symbol'!$T$2:$Z$29,6,0)</f>
        <v>32</v>
      </c>
      <c r="F315" s="117">
        <f>VLOOKUP(MID($A315,13,2),'Free Spins Symbol'!$T$2:$Z$29,7,0)</f>
        <v>48</v>
      </c>
      <c r="G315" s="100">
        <f>(B315*C315*D315)*(E315-E305)*F315</f>
        <v>11904000</v>
      </c>
      <c r="H315" s="118">
        <f t="shared" si="54"/>
        <v>28.903225806451612</v>
      </c>
      <c r="I315" s="100">
        <v>20</v>
      </c>
      <c r="J315" s="119">
        <f t="shared" si="58"/>
        <v>0.69196428571428581</v>
      </c>
      <c r="K315" s="120">
        <f t="shared" si="59"/>
        <v>3.4598214285714288E-2</v>
      </c>
    </row>
    <row r="316" spans="1:11" x14ac:dyDescent="0.3">
      <c r="A316" s="116" t="s">
        <v>267</v>
      </c>
      <c r="B316" s="129">
        <f>'Free Spins Symbol'!$V$18</f>
        <v>100</v>
      </c>
      <c r="C316" s="117">
        <f>VLOOKUP(MID($A316,4,2),'Free Spins Symbol'!$T$2:$Z$29,4,0)</f>
        <v>4</v>
      </c>
      <c r="D316" s="129">
        <f>'Free Spins Symbol'!$X$18</f>
        <v>40</v>
      </c>
      <c r="E316" s="117">
        <f>VLOOKUP(MID($A316,10,2),'Free Spins Symbol'!$T$2:$Z$29,6,0)</f>
        <v>32</v>
      </c>
      <c r="F316" s="117">
        <f>VLOOKUP(MID($A316,13,2),'Free Spins Symbol'!$T$2:$Z$29,7,0)</f>
        <v>48</v>
      </c>
      <c r="G316" s="100">
        <f>(B316*C316*D316-B308*C308*D308)*(E316-E306)*F316</f>
        <v>23808000</v>
      </c>
      <c r="H316" s="118">
        <f t="shared" si="54"/>
        <v>14.451612903225806</v>
      </c>
      <c r="I316" s="100">
        <v>10</v>
      </c>
      <c r="J316" s="119">
        <f t="shared" si="58"/>
        <v>0.69196428571428581</v>
      </c>
      <c r="K316" s="120">
        <f t="shared" si="59"/>
        <v>6.9196428571428575E-2</v>
      </c>
    </row>
    <row r="317" spans="1:11" x14ac:dyDescent="0.3">
      <c r="A317" s="116" t="s">
        <v>268</v>
      </c>
      <c r="B317" s="129">
        <f>'Free Spins Symbol'!$V$18</f>
        <v>100</v>
      </c>
      <c r="C317" s="117">
        <f>VLOOKUP(MID($A317,4,2),'Free Spins Symbol'!$T$2:$Z$29,4,0)</f>
        <v>4</v>
      </c>
      <c r="D317" s="129">
        <f>'Free Spins Symbol'!$X$18</f>
        <v>40</v>
      </c>
      <c r="E317" s="117">
        <f>VLOOKUP(MID($A317,10,2),'Free Spins Symbol'!$T$2:$Z$29,6,0)</f>
        <v>32</v>
      </c>
      <c r="F317" s="117">
        <f>VLOOKUP(MID($A317,13,2),'Free Spins Symbol'!$T$2:$Z$29,7,0)</f>
        <v>48</v>
      </c>
      <c r="G317" s="100">
        <f>(B317*C317*D317-B308*C308*D308)*(E317-E307)*F317</f>
        <v>23808000</v>
      </c>
      <c r="H317" s="118">
        <f t="shared" si="54"/>
        <v>14.451612903225806</v>
      </c>
      <c r="I317" s="100">
        <v>10</v>
      </c>
      <c r="J317" s="119">
        <f t="shared" si="58"/>
        <v>0.69196428571428581</v>
      </c>
      <c r="K317" s="120">
        <f t="shared" si="59"/>
        <v>6.9196428571428575E-2</v>
      </c>
    </row>
    <row r="318" spans="1:11" x14ac:dyDescent="0.3">
      <c r="A318" s="116" t="s">
        <v>269</v>
      </c>
      <c r="B318" s="129">
        <f>'Free Spins Symbol'!$V$18</f>
        <v>100</v>
      </c>
      <c r="C318" s="117">
        <f>VLOOKUP(MID($A318,4,2),'Free Spins Symbol'!$T$2:$Z$29,4,0)</f>
        <v>13</v>
      </c>
      <c r="D318" s="129">
        <f>'Free Spins Symbol'!$X$18</f>
        <v>40</v>
      </c>
      <c r="E318" s="117">
        <f>VLOOKUP(MID($A318,10,2),'Free Spins Symbol'!$T$2:$Z$29,6,0)</f>
        <v>32</v>
      </c>
      <c r="F318" s="117">
        <f>VLOOKUP(MID($A318,13,2),'Free Spins Symbol'!$T$2:$Z$29,7,0)</f>
        <v>48</v>
      </c>
      <c r="G318" s="100">
        <f>(B318*C318*D318-B308*C308*D308)*(E318-E309)*F318</f>
        <v>62400000</v>
      </c>
      <c r="H318" s="118">
        <f t="shared" si="54"/>
        <v>5.5138461538461536</v>
      </c>
      <c r="I318" s="100">
        <v>5</v>
      </c>
      <c r="J318" s="119">
        <f t="shared" si="58"/>
        <v>0.90680803571428581</v>
      </c>
      <c r="K318" s="120">
        <f t="shared" si="59"/>
        <v>0.18136160714285715</v>
      </c>
    </row>
    <row r="319" spans="1:11" x14ac:dyDescent="0.3">
      <c r="A319" s="116" t="s">
        <v>270</v>
      </c>
      <c r="B319" s="129">
        <f>'Free Spins Symbol'!$V$18</f>
        <v>100</v>
      </c>
      <c r="C319" s="117">
        <f>VLOOKUP(MID($A319,4,2),'Free Spins Symbol'!$T$2:$Z$29,4,0)</f>
        <v>1</v>
      </c>
      <c r="D319" s="129">
        <f>'Free Spins Symbol'!$X$18</f>
        <v>40</v>
      </c>
      <c r="E319" s="117">
        <f>VLOOKUP(MID($A319,10,2),'Free Spins Symbol'!$T$2:$Z$29,6,0)</f>
        <v>32</v>
      </c>
      <c r="F319" s="117">
        <f>VLOOKUP(MID($A319,13,2),'Free Spins Symbol'!$T$2:$Z$29,7,0)</f>
        <v>48</v>
      </c>
      <c r="G319" s="100">
        <f>(B319*C319*D319-B308*C308*D308)*(E319-E310)*F319</f>
        <v>5952000</v>
      </c>
      <c r="H319" s="118">
        <f t="shared" si="54"/>
        <v>57.806451612903224</v>
      </c>
      <c r="I319" s="100">
        <v>5</v>
      </c>
      <c r="J319" s="119">
        <f t="shared" si="58"/>
        <v>8.6495535714285726E-2</v>
      </c>
      <c r="K319" s="120">
        <f t="shared" si="59"/>
        <v>1.7299107142857144E-2</v>
      </c>
    </row>
    <row r="320" spans="1:11" x14ac:dyDescent="0.3">
      <c r="A320" s="116" t="s">
        <v>271</v>
      </c>
      <c r="B320" s="129">
        <f>'Free Spins Symbol'!$V$18</f>
        <v>100</v>
      </c>
      <c r="C320" s="117">
        <f>VLOOKUP(MID($A320,4,2),'Free Spins Symbol'!$T$2:$Z$29,4,0)</f>
        <v>13</v>
      </c>
      <c r="D320" s="129">
        <f>'Free Spins Symbol'!$X$18</f>
        <v>40</v>
      </c>
      <c r="E320" s="117">
        <f>VLOOKUP(MID($A320,10,2),'Free Spins Symbol'!$T$2:$Z$29,6,0)</f>
        <v>32</v>
      </c>
      <c r="F320" s="117">
        <f>VLOOKUP(MID($A320,13,2),'Free Spins Symbol'!$T$2:$Z$29,7,0)</f>
        <v>48</v>
      </c>
      <c r="G320" s="100">
        <f>(B320*C320*D320-B308*C308*D308)*(E320-E311)*F320</f>
        <v>77376000</v>
      </c>
      <c r="H320" s="118">
        <f t="shared" si="54"/>
        <v>4.4466501240694791</v>
      </c>
      <c r="I320" s="100">
        <v>5</v>
      </c>
      <c r="J320" s="119">
        <f t="shared" si="58"/>
        <v>1.1244419642857142</v>
      </c>
      <c r="K320" s="120">
        <f t="shared" si="59"/>
        <v>0.22488839285714285</v>
      </c>
    </row>
    <row r="321" spans="1:11" x14ac:dyDescent="0.3">
      <c r="A321" s="116" t="s">
        <v>272</v>
      </c>
      <c r="B321" s="129">
        <f>'Free Spins Symbol'!$V$18</f>
        <v>100</v>
      </c>
      <c r="C321" s="117">
        <f>VLOOKUP(MID($A321,4,2),'Free Spins Symbol'!$T$2:$Z$29,4,0)</f>
        <v>13</v>
      </c>
      <c r="D321" s="129">
        <f>'Free Spins Symbol'!$X$18</f>
        <v>40</v>
      </c>
      <c r="E321" s="117">
        <f>VLOOKUP(MID($A321,10,2),'Free Spins Symbol'!$T$2:$Z$29,6,0)</f>
        <v>32</v>
      </c>
      <c r="F321" s="117">
        <f>VLOOKUP(MID($A321,13,2),'Free Spins Symbol'!$T$2:$Z$29,7,0)</f>
        <v>48</v>
      </c>
      <c r="G321" s="100">
        <f>(B321*C321*D321-B308*C308*D308)*(E321-E312)*F321</f>
        <v>59904000</v>
      </c>
      <c r="H321" s="118">
        <f t="shared" si="54"/>
        <v>5.7435897435897436</v>
      </c>
      <c r="I321" s="100">
        <v>5</v>
      </c>
      <c r="J321" s="119">
        <f t="shared" si="58"/>
        <v>0.87053571428571419</v>
      </c>
      <c r="K321" s="120">
        <f t="shared" si="59"/>
        <v>0.17410714285714285</v>
      </c>
    </row>
    <row r="322" spans="1:11" x14ac:dyDescent="0.3">
      <c r="A322" s="116" t="s">
        <v>273</v>
      </c>
      <c r="B322" s="129">
        <f>'Free Spins Symbol'!$V$18</f>
        <v>100</v>
      </c>
      <c r="C322" s="117">
        <f>VLOOKUP(MID($A322,4,2),'Free Spins Symbol'!$T$2:$Z$29,4,0)</f>
        <v>2</v>
      </c>
      <c r="D322" s="129">
        <f>'Free Spins Symbol'!$X$18</f>
        <v>40</v>
      </c>
      <c r="E322" s="117">
        <f>VLOOKUP(MID($A322,10,2),'Free Spins Symbol'!$T$2:$Z$29,6,0)</f>
        <v>32</v>
      </c>
      <c r="F322" s="117">
        <f>VLOOKUP(MID($A322,13,2),'Free Spins Symbol'!$T$2:$Z$29,7,0)</f>
        <v>48</v>
      </c>
      <c r="G322" s="100">
        <f>(B322*C322*D322-B308*C308*D308)*(E322-E313)*F322</f>
        <v>9600000</v>
      </c>
      <c r="H322" s="118">
        <f t="shared" si="54"/>
        <v>35.840000000000003</v>
      </c>
      <c r="I322" s="100">
        <v>5</v>
      </c>
      <c r="J322" s="119">
        <f t="shared" si="58"/>
        <v>0.13950892857142858</v>
      </c>
      <c r="K322" s="120">
        <f t="shared" si="59"/>
        <v>2.7901785714285716E-2</v>
      </c>
    </row>
    <row r="323" spans="1:11" x14ac:dyDescent="0.3">
      <c r="A323" s="116" t="s">
        <v>274</v>
      </c>
      <c r="B323" s="129">
        <f>'Free Spins Symbol'!$V$18</f>
        <v>100</v>
      </c>
      <c r="C323" s="117">
        <f>VLOOKUP(MID($A323,4,2),'Free Spins Symbol'!$T$2:$Z$29,4,0)</f>
        <v>0</v>
      </c>
      <c r="D323" s="129">
        <f>'Free Spins Symbol'!$X$18</f>
        <v>40</v>
      </c>
      <c r="E323" s="117">
        <f>VLOOKUP(MID($A323,10,2),'Free Spins Symbol'!$T$2:$Z$29,6,0)</f>
        <v>32</v>
      </c>
      <c r="F323" s="117">
        <f>VLOOKUP(MID($A323,13,2),'Free Spins Symbol'!$T$2:$Z$29,7,0)</f>
        <v>48</v>
      </c>
      <c r="G323" s="100">
        <f>B323*C323*(D323-D322-D321-D320-D319-D318-D317-D316-D315-D314+8*D308)*E323*F323</f>
        <v>0</v>
      </c>
      <c r="H323" s="118" t="e">
        <f t="shared" si="54"/>
        <v>#DIV/0!</v>
      </c>
      <c r="I323" s="100">
        <v>5</v>
      </c>
      <c r="J323" s="119">
        <f t="shared" si="58"/>
        <v>0</v>
      </c>
      <c r="K323" s="120">
        <f t="shared" si="59"/>
        <v>0</v>
      </c>
    </row>
    <row r="324" spans="1:11" x14ac:dyDescent="0.3">
      <c r="A324" s="116" t="s">
        <v>275</v>
      </c>
      <c r="B324" s="129">
        <f>'Free Spins Symbol'!$V$18</f>
        <v>100</v>
      </c>
      <c r="C324" s="117">
        <f>VLOOKUP(MID($A324,4,2),'Free Spins Symbol'!$T$2:$Z$29,4,0)</f>
        <v>2</v>
      </c>
      <c r="D324" s="129">
        <f>'Free Spins Symbol'!$X$18</f>
        <v>40</v>
      </c>
      <c r="E324" s="117">
        <f>VLOOKUP(MID($A324,10,2),'Free Spins Symbol'!$T$2:$Z$29,6,0)</f>
        <v>32</v>
      </c>
      <c r="F324" s="117">
        <f>VLOOKUP(MID($A324,13,2),'Free Spins Symbol'!$T$2:$Z$29,7,0)</f>
        <v>48</v>
      </c>
      <c r="G324" s="100">
        <f>(B324*C324-B323*C323)*(D324-D314)*E324*F324</f>
        <v>0</v>
      </c>
      <c r="H324" s="118" t="e">
        <f t="shared" si="54"/>
        <v>#DIV/0!</v>
      </c>
      <c r="I324" s="100">
        <v>5</v>
      </c>
      <c r="J324" s="119">
        <f t="shared" si="58"/>
        <v>0</v>
      </c>
      <c r="K324" s="120">
        <f t="shared" si="59"/>
        <v>0</v>
      </c>
    </row>
    <row r="325" spans="1:11" x14ac:dyDescent="0.3">
      <c r="A325" s="116" t="s">
        <v>276</v>
      </c>
      <c r="B325" s="129">
        <f>'Free Spins Symbol'!$V$18</f>
        <v>100</v>
      </c>
      <c r="C325" s="117">
        <f>VLOOKUP(MID($A325,4,2),'Free Spins Symbol'!$T$2:$Z$29,4,0)</f>
        <v>2</v>
      </c>
      <c r="D325" s="129">
        <f>'Free Spins Symbol'!$X$18</f>
        <v>40</v>
      </c>
      <c r="E325" s="117">
        <f>VLOOKUP(MID($A325,10,2),'Free Spins Symbol'!$T$2:$Z$29,6,0)</f>
        <v>32</v>
      </c>
      <c r="F325" s="117">
        <f>VLOOKUP(MID($A325,13,2),'Free Spins Symbol'!$T$2:$Z$29,7,0)</f>
        <v>48</v>
      </c>
      <c r="G325" s="100">
        <f>(B325*C325-B323*C323)*(D325-D315)*E325*F325</f>
        <v>0</v>
      </c>
      <c r="H325" s="118" t="e">
        <f t="shared" si="54"/>
        <v>#DIV/0!</v>
      </c>
      <c r="I325" s="100">
        <v>5</v>
      </c>
      <c r="J325" s="119">
        <f t="shared" si="58"/>
        <v>0</v>
      </c>
      <c r="K325" s="120">
        <f t="shared" si="59"/>
        <v>0</v>
      </c>
    </row>
    <row r="326" spans="1:11" x14ac:dyDescent="0.3">
      <c r="A326" s="116" t="s">
        <v>277</v>
      </c>
      <c r="B326" s="129">
        <f>'Free Spins Symbol'!$V$18</f>
        <v>100</v>
      </c>
      <c r="C326" s="117">
        <f>VLOOKUP(MID($A326,4,2),'Free Spins Symbol'!$T$2:$Z$29,4,0)</f>
        <v>4</v>
      </c>
      <c r="D326" s="129">
        <f>'Free Spins Symbol'!$X$18</f>
        <v>40</v>
      </c>
      <c r="E326" s="117">
        <f>VLOOKUP(MID($A326,10,2),'Free Spins Symbol'!$T$2:$Z$29,6,0)</f>
        <v>32</v>
      </c>
      <c r="F326" s="117">
        <f>VLOOKUP(MID($A326,13,2),'Free Spins Symbol'!$T$2:$Z$29,7,0)</f>
        <v>48</v>
      </c>
      <c r="G326" s="100">
        <f>(B326*C326-B323*C323)*(D326-D316)*E326*F326</f>
        <v>0</v>
      </c>
      <c r="H326" s="118" t="e">
        <f t="shared" si="54"/>
        <v>#DIV/0!</v>
      </c>
      <c r="I326" s="100">
        <v>5</v>
      </c>
      <c r="J326" s="119">
        <f t="shared" si="58"/>
        <v>0</v>
      </c>
      <c r="K326" s="120">
        <f t="shared" si="59"/>
        <v>0</v>
      </c>
    </row>
    <row r="327" spans="1:11" x14ac:dyDescent="0.3">
      <c r="A327" s="116" t="s">
        <v>278</v>
      </c>
      <c r="B327" s="129">
        <f>'Free Spins Symbol'!$V$18</f>
        <v>100</v>
      </c>
      <c r="C327" s="117">
        <f>VLOOKUP(MID($A327,4,2),'Free Spins Symbol'!$T$2:$Z$29,4,0)</f>
        <v>4</v>
      </c>
      <c r="D327" s="129">
        <f>'Free Spins Symbol'!$X$18</f>
        <v>40</v>
      </c>
      <c r="E327" s="117">
        <f>VLOOKUP(MID($A327,10,2),'Free Spins Symbol'!$T$2:$Z$29,6,0)</f>
        <v>32</v>
      </c>
      <c r="F327" s="117">
        <f>VLOOKUP(MID($A327,13,2),'Free Spins Symbol'!$T$2:$Z$29,7,0)</f>
        <v>48</v>
      </c>
      <c r="G327" s="100">
        <f>(B327*C327-B323*C323)*(D327-D317)*E327*F327</f>
        <v>0</v>
      </c>
      <c r="H327" s="118" t="e">
        <f t="shared" si="54"/>
        <v>#DIV/0!</v>
      </c>
      <c r="I327" s="100">
        <v>5</v>
      </c>
      <c r="J327" s="119">
        <f t="shared" si="58"/>
        <v>0</v>
      </c>
      <c r="K327" s="120">
        <f t="shared" si="59"/>
        <v>0</v>
      </c>
    </row>
    <row r="328" spans="1:11" x14ac:dyDescent="0.3">
      <c r="A328" s="122" t="s">
        <v>279</v>
      </c>
      <c r="B328" s="117">
        <f>VLOOKUP(MID($A328,1,2),'Free Spins Symbol'!$T$2:$Z$29,3,0)</f>
        <v>100</v>
      </c>
      <c r="C328" s="117">
        <f>VLOOKUP(MID($A328,4,2),'Free Spins Symbol'!$T$2:$Z$29,4,0)</f>
        <v>8</v>
      </c>
      <c r="D328" s="117">
        <f>VLOOKUP(MID($A328,7,2),'Free Spins Symbol'!$T$2:$Z$29,5,0)</f>
        <v>4</v>
      </c>
      <c r="E328" s="117">
        <f>VLOOKUP(MID($A328,10,2),'Free Spins Symbol'!$T$2:$Z$29,6,0)</f>
        <v>16</v>
      </c>
      <c r="F328" s="117">
        <f>VLOOKUP(MID($A328,13,2),'Free Spins Symbol'!$T$2:$Z$29,7,0)</f>
        <v>48</v>
      </c>
      <c r="G328" s="100">
        <f>B328*C328*D328*E328*F328</f>
        <v>2457600</v>
      </c>
      <c r="H328" s="118">
        <f t="shared" si="54"/>
        <v>140</v>
      </c>
      <c r="I328" s="123">
        <v>2</v>
      </c>
      <c r="J328" s="124">
        <f t="shared" si="58"/>
        <v>1.4285714285714285E-2</v>
      </c>
      <c r="K328" s="120">
        <f t="shared" si="59"/>
        <v>7.1428571428571426E-3</v>
      </c>
    </row>
    <row r="330" spans="1:11" ht="16.8" thickBot="1" x14ac:dyDescent="0.35"/>
    <row r="331" spans="1:11" ht="16.8" thickBot="1" x14ac:dyDescent="0.35">
      <c r="A331" s="125" t="s">
        <v>300</v>
      </c>
    </row>
    <row r="332" spans="1:11" ht="16.8" thickBot="1" x14ac:dyDescent="0.35">
      <c r="A332" s="95" t="s">
        <v>280</v>
      </c>
      <c r="B332" s="142">
        <f>B2</f>
        <v>344064000</v>
      </c>
      <c r="C332" s="142"/>
      <c r="D332" s="142"/>
      <c r="E332" s="142"/>
      <c r="F332" s="142"/>
      <c r="G332" s="7"/>
      <c r="H332" s="106"/>
      <c r="I332" s="107" t="s">
        <v>281</v>
      </c>
      <c r="J332" s="108">
        <f>SUM(J334:J368)</f>
        <v>3.5446428571428577</v>
      </c>
      <c r="K332" s="126">
        <f>SUM(K334:K369)</f>
        <v>0.29821428571428565</v>
      </c>
    </row>
    <row r="333" spans="1:11" ht="33" thickBot="1" x14ac:dyDescent="0.35">
      <c r="A333" s="109" t="s">
        <v>233</v>
      </c>
      <c r="B333" s="110" t="s">
        <v>234</v>
      </c>
      <c r="C333" s="110" t="s">
        <v>235</v>
      </c>
      <c r="D333" s="110" t="s">
        <v>236</v>
      </c>
      <c r="E333" s="110" t="s">
        <v>237</v>
      </c>
      <c r="F333" s="110" t="s">
        <v>238</v>
      </c>
      <c r="G333" s="111" t="s">
        <v>239</v>
      </c>
      <c r="H333" s="112" t="s">
        <v>240</v>
      </c>
      <c r="I333" s="113" t="s">
        <v>241</v>
      </c>
      <c r="J333" s="114" t="s">
        <v>242</v>
      </c>
      <c r="K333" s="115" t="s">
        <v>243</v>
      </c>
    </row>
    <row r="334" spans="1:11" x14ac:dyDescent="0.3">
      <c r="A334" s="116" t="s">
        <v>244</v>
      </c>
      <c r="B334" s="129">
        <f>'Free Spins Symbol'!$V$18</f>
        <v>100</v>
      </c>
      <c r="C334" s="117">
        <f>VLOOKUP(MID($A334,4,2),'Free Spins Symbol'!$T$2:$Z$29,4,0)</f>
        <v>0</v>
      </c>
      <c r="D334" s="117">
        <f>VLOOKUP(MID($A334,7,2),'Free Spins Symbol'!$T$2:$Z$29,5,0)</f>
        <v>0</v>
      </c>
      <c r="E334" s="129">
        <f>'Free Spins Symbol'!$Y$18</f>
        <v>32</v>
      </c>
      <c r="F334" s="117">
        <f>VLOOKUP(MID($A334,13,2),'Free Spins Symbol'!$T$2:$Z$29,7,0)</f>
        <v>0</v>
      </c>
      <c r="G334" s="100">
        <f>B334*C334*D334*E334*F334</f>
        <v>0</v>
      </c>
      <c r="H334" s="118" t="e">
        <f>B$2/G334</f>
        <v>#DIV/0!</v>
      </c>
      <c r="I334" s="100">
        <v>500</v>
      </c>
      <c r="J334" s="119">
        <f t="shared" ref="J334:J338" si="61">K334*I334</f>
        <v>0</v>
      </c>
      <c r="K334" s="120">
        <f>G334/B$2</f>
        <v>0</v>
      </c>
    </row>
    <row r="335" spans="1:11" x14ac:dyDescent="0.3">
      <c r="A335" s="116" t="s">
        <v>245</v>
      </c>
      <c r="B335" s="129">
        <f>'Free Spins Symbol'!$V$18</f>
        <v>100</v>
      </c>
      <c r="C335" s="117">
        <f>VLOOKUP(MID($A335,4,2),'Free Spins Symbol'!$T$2:$Z$29,4,0)</f>
        <v>2</v>
      </c>
      <c r="D335" s="117">
        <f>VLOOKUP(MID($A335,7,2),'Free Spins Symbol'!$T$2:$Z$29,5,0)</f>
        <v>2</v>
      </c>
      <c r="E335" s="129">
        <f>'Free Spins Symbol'!$Y$18</f>
        <v>32</v>
      </c>
      <c r="F335" s="117">
        <f>VLOOKUP(MID($A335,13,2),'Free Spins Symbol'!$T$2:$Z$29,7,0)</f>
        <v>1</v>
      </c>
      <c r="G335" s="100">
        <f>B335*C335*D335*E335*F335-G334</f>
        <v>12800</v>
      </c>
      <c r="H335" s="118">
        <f t="shared" ref="H335:H369" si="62">B$2/G335</f>
        <v>26880</v>
      </c>
      <c r="I335" s="100">
        <v>250</v>
      </c>
      <c r="J335" s="119">
        <f t="shared" si="61"/>
        <v>9.3005952380952397E-3</v>
      </c>
      <c r="K335" s="120">
        <f t="shared" ref="K335:K338" si="63">G335/B$2</f>
        <v>3.7202380952380956E-5</v>
      </c>
    </row>
    <row r="336" spans="1:11" x14ac:dyDescent="0.3">
      <c r="A336" s="116" t="s">
        <v>246</v>
      </c>
      <c r="B336" s="129">
        <f>'Free Spins Symbol'!$V$18</f>
        <v>100</v>
      </c>
      <c r="C336" s="117">
        <f>VLOOKUP(MID($A336,4,2),'Free Spins Symbol'!$T$2:$Z$29,4,0)</f>
        <v>2</v>
      </c>
      <c r="D336" s="117">
        <f>VLOOKUP(MID($A336,7,2),'Free Spins Symbol'!$T$2:$Z$29,5,0)</f>
        <v>3</v>
      </c>
      <c r="E336" s="129">
        <f>'Free Spins Symbol'!$Y$18</f>
        <v>32</v>
      </c>
      <c r="F336" s="117">
        <f>VLOOKUP(MID($A336,13,2),'Free Spins Symbol'!$T$2:$Z$29,7,0)</f>
        <v>1</v>
      </c>
      <c r="G336" s="100">
        <f>B336*C336*D336*E336*F336-G334</f>
        <v>19200</v>
      </c>
      <c r="H336" s="118">
        <f t="shared" si="62"/>
        <v>17920</v>
      </c>
      <c r="I336" s="100">
        <v>250</v>
      </c>
      <c r="J336" s="119">
        <f t="shared" si="61"/>
        <v>1.3950892857142856E-2</v>
      </c>
      <c r="K336" s="120">
        <f t="shared" si="63"/>
        <v>5.5803571428571427E-5</v>
      </c>
    </row>
    <row r="337" spans="1:11" x14ac:dyDescent="0.3">
      <c r="A337" s="116" t="s">
        <v>247</v>
      </c>
      <c r="B337" s="129">
        <f>'Free Spins Symbol'!$V$18</f>
        <v>100</v>
      </c>
      <c r="C337" s="117">
        <f>VLOOKUP(MID($A337,4,2),'Free Spins Symbol'!$T$2:$Z$29,4,0)</f>
        <v>4</v>
      </c>
      <c r="D337" s="117">
        <f>VLOOKUP(MID($A337,7,2),'Free Spins Symbol'!$T$2:$Z$29,5,0)</f>
        <v>2</v>
      </c>
      <c r="E337" s="129">
        <f>'Free Spins Symbol'!$Y$18</f>
        <v>32</v>
      </c>
      <c r="F337" s="117">
        <f>VLOOKUP(MID($A337,13,2),'Free Spins Symbol'!$T$2:$Z$29,7,0)</f>
        <v>5</v>
      </c>
      <c r="G337" s="100">
        <f>B337*C337*D337*E337*F337-G334</f>
        <v>128000</v>
      </c>
      <c r="H337" s="118">
        <f t="shared" si="62"/>
        <v>2688</v>
      </c>
      <c r="I337" s="100">
        <v>150</v>
      </c>
      <c r="J337" s="119">
        <f t="shared" si="61"/>
        <v>5.5803571428571425E-2</v>
      </c>
      <c r="K337" s="120">
        <f t="shared" si="63"/>
        <v>3.720238095238095E-4</v>
      </c>
    </row>
    <row r="338" spans="1:11" x14ac:dyDescent="0.3">
      <c r="A338" s="116" t="s">
        <v>248</v>
      </c>
      <c r="B338" s="129">
        <f>'Free Spins Symbol'!$V$18</f>
        <v>100</v>
      </c>
      <c r="C338" s="117">
        <f>VLOOKUP(MID($A338,4,2),'Free Spins Symbol'!$T$2:$Z$29,4,0)</f>
        <v>4</v>
      </c>
      <c r="D338" s="117">
        <f>VLOOKUP(MID($A338,7,2),'Free Spins Symbol'!$T$2:$Z$29,5,0)</f>
        <v>2</v>
      </c>
      <c r="E338" s="129">
        <f>'Free Spins Symbol'!$Y$18</f>
        <v>32</v>
      </c>
      <c r="F338" s="117">
        <f>VLOOKUP(MID($A338,13,2),'Free Spins Symbol'!$T$2:$Z$29,7,0)</f>
        <v>5</v>
      </c>
      <c r="G338" s="100">
        <f>B338*C338*D338*E338*F338-G334</f>
        <v>128000</v>
      </c>
      <c r="H338" s="118">
        <f t="shared" si="62"/>
        <v>2688</v>
      </c>
      <c r="I338" s="100">
        <v>150</v>
      </c>
      <c r="J338" s="119">
        <f t="shared" si="61"/>
        <v>5.5803571428571425E-2</v>
      </c>
      <c r="K338" s="120">
        <f t="shared" si="63"/>
        <v>3.720238095238095E-4</v>
      </c>
    </row>
    <row r="339" spans="1:11" x14ac:dyDescent="0.3">
      <c r="A339" s="116" t="s">
        <v>254</v>
      </c>
      <c r="B339" s="129">
        <f>'Free Spins Symbol'!$V$18</f>
        <v>100</v>
      </c>
      <c r="C339" s="117">
        <f>VLOOKUP(MID($A339,4,2),'Free Spins Symbol'!$T$2:$Z$29,4,0)</f>
        <v>0</v>
      </c>
      <c r="D339" s="117">
        <f>VLOOKUP(MID($A339,7,2),'Free Spins Symbol'!$T$2:$Z$29,5,0)</f>
        <v>0</v>
      </c>
      <c r="E339" s="129">
        <f>'Free Spins Symbol'!$Y$18</f>
        <v>32</v>
      </c>
      <c r="F339" s="117">
        <f>VLOOKUP(MID($A339,13,2),'Free Spins Symbol'!$T$2:$Z$29,7,0)</f>
        <v>48</v>
      </c>
      <c r="G339" s="100">
        <f>B339*C339*D339*E339*(F339-F338-F337-F336-F335+3*F334)</f>
        <v>0</v>
      </c>
      <c r="H339" s="118" t="e">
        <f t="shared" si="62"/>
        <v>#DIV/0!</v>
      </c>
      <c r="I339" s="100">
        <v>100</v>
      </c>
      <c r="J339" s="119">
        <f>K339*I339</f>
        <v>0</v>
      </c>
      <c r="K339" s="120">
        <f>G339/B$2</f>
        <v>0</v>
      </c>
    </row>
    <row r="340" spans="1:11" x14ac:dyDescent="0.3">
      <c r="A340" s="116" t="s">
        <v>249</v>
      </c>
      <c r="B340" s="129">
        <f>'Free Spins Symbol'!$V$18</f>
        <v>100</v>
      </c>
      <c r="C340" s="117">
        <f>VLOOKUP(MID($A340,4,2),'Free Spins Symbol'!$T$2:$Z$29,4,0)</f>
        <v>13</v>
      </c>
      <c r="D340" s="117">
        <f>VLOOKUP(MID($A340,7,2),'Free Spins Symbol'!$T$2:$Z$29,5,0)</f>
        <v>1</v>
      </c>
      <c r="E340" s="129">
        <f>'Free Spins Symbol'!$Y$18</f>
        <v>32</v>
      </c>
      <c r="F340" s="117">
        <f>VLOOKUP(MID($A340,13,2),'Free Spins Symbol'!$T$2:$Z$29,7,0)</f>
        <v>2</v>
      </c>
      <c r="G340" s="100">
        <f>B340*C340*D340*E340*F340-G334</f>
        <v>83200</v>
      </c>
      <c r="H340" s="118">
        <f t="shared" si="62"/>
        <v>4135.3846153846152</v>
      </c>
      <c r="I340" s="100">
        <v>100</v>
      </c>
      <c r="J340" s="119">
        <f t="shared" ref="J340:J348" si="64">K340*I340</f>
        <v>2.418154761904762E-2</v>
      </c>
      <c r="K340" s="120">
        <f t="shared" ref="K340:K348" si="65">G340/B$2</f>
        <v>2.418154761904762E-4</v>
      </c>
    </row>
    <row r="341" spans="1:11" x14ac:dyDescent="0.3">
      <c r="A341" s="116" t="s">
        <v>250</v>
      </c>
      <c r="B341" s="129">
        <f>'Free Spins Symbol'!$V$18</f>
        <v>100</v>
      </c>
      <c r="C341" s="117">
        <f>VLOOKUP(MID($A341,4,2),'Free Spins Symbol'!$T$2:$Z$29,4,0)</f>
        <v>1</v>
      </c>
      <c r="D341" s="117">
        <f>VLOOKUP(MID($A341,7,2),'Free Spins Symbol'!$T$2:$Z$29,5,0)</f>
        <v>9</v>
      </c>
      <c r="E341" s="129">
        <f>'Free Spins Symbol'!$Y$18</f>
        <v>32</v>
      </c>
      <c r="F341" s="117">
        <f>VLOOKUP(MID($A341,13,2),'Free Spins Symbol'!$T$2:$Z$29,7,0)</f>
        <v>11</v>
      </c>
      <c r="G341" s="100">
        <f>B341*C341*D341*E341*F341-G334</f>
        <v>316800</v>
      </c>
      <c r="H341" s="118">
        <f t="shared" si="62"/>
        <v>1086.060606060606</v>
      </c>
      <c r="I341" s="100">
        <v>100</v>
      </c>
      <c r="J341" s="119">
        <f t="shared" si="64"/>
        <v>9.2075892857142849E-2</v>
      </c>
      <c r="K341" s="120">
        <f t="shared" si="65"/>
        <v>9.2075892857142855E-4</v>
      </c>
    </row>
    <row r="342" spans="1:11" x14ac:dyDescent="0.3">
      <c r="A342" s="116" t="s">
        <v>251</v>
      </c>
      <c r="B342" s="129">
        <f>'Free Spins Symbol'!$V$18</f>
        <v>100</v>
      </c>
      <c r="C342" s="117">
        <f>VLOOKUP(MID($A342,4,2),'Free Spins Symbol'!$T$2:$Z$29,4,0)</f>
        <v>13</v>
      </c>
      <c r="D342" s="117">
        <f>VLOOKUP(MID($A342,7,2),'Free Spins Symbol'!$T$2:$Z$29,5,0)</f>
        <v>9</v>
      </c>
      <c r="E342" s="129">
        <f>'Free Spins Symbol'!$Y$18</f>
        <v>32</v>
      </c>
      <c r="F342" s="117">
        <f>VLOOKUP(MID($A342,13,2),'Free Spins Symbol'!$T$2:$Z$29,7,0)</f>
        <v>1</v>
      </c>
      <c r="G342" s="100">
        <f>B342*C342*D342*E342*F342-G334</f>
        <v>374400</v>
      </c>
      <c r="H342" s="118">
        <f t="shared" si="62"/>
        <v>918.97435897435901</v>
      </c>
      <c r="I342" s="100">
        <v>100</v>
      </c>
      <c r="J342" s="119">
        <f t="shared" si="64"/>
        <v>0.10881696428571429</v>
      </c>
      <c r="K342" s="120">
        <f t="shared" si="65"/>
        <v>1.0881696428571429E-3</v>
      </c>
    </row>
    <row r="343" spans="1:11" x14ac:dyDescent="0.3">
      <c r="A343" s="116" t="s">
        <v>252</v>
      </c>
      <c r="B343" s="129">
        <f>'Free Spins Symbol'!$V$18</f>
        <v>100</v>
      </c>
      <c r="C343" s="117">
        <f>VLOOKUP(MID($A343,4,2),'Free Spins Symbol'!$T$2:$Z$29,4,0)</f>
        <v>13</v>
      </c>
      <c r="D343" s="117">
        <f>VLOOKUP(MID($A343,7,2),'Free Spins Symbol'!$T$2:$Z$29,5,0)</f>
        <v>1</v>
      </c>
      <c r="E343" s="129">
        <f>'Free Spins Symbol'!$Y$18</f>
        <v>32</v>
      </c>
      <c r="F343" s="117">
        <f>VLOOKUP(MID($A343,13,2),'Free Spins Symbol'!$T$2:$Z$29,7,0)</f>
        <v>11</v>
      </c>
      <c r="G343" s="100">
        <f>(B343*C343*D343*E343-B339*C339*D339*E339)*F343</f>
        <v>457600</v>
      </c>
      <c r="H343" s="118">
        <f t="shared" si="62"/>
        <v>751.88811188811189</v>
      </c>
      <c r="I343" s="100">
        <v>100</v>
      </c>
      <c r="J343" s="119">
        <f t="shared" si="64"/>
        <v>0.13299851190476192</v>
      </c>
      <c r="K343" s="120">
        <f t="shared" si="65"/>
        <v>1.3299851190476191E-3</v>
      </c>
    </row>
    <row r="344" spans="1:11" x14ac:dyDescent="0.3">
      <c r="A344" s="116" t="s">
        <v>253</v>
      </c>
      <c r="B344" s="129">
        <f>'Free Spins Symbol'!$V$18</f>
        <v>100</v>
      </c>
      <c r="C344" s="117">
        <f>VLOOKUP(MID($A344,4,2),'Free Spins Symbol'!$T$2:$Z$29,4,0)</f>
        <v>2</v>
      </c>
      <c r="D344" s="117">
        <f>VLOOKUP(MID($A344,7,2),'Free Spins Symbol'!$T$2:$Z$29,5,0)</f>
        <v>10</v>
      </c>
      <c r="E344" s="129">
        <f>'Free Spins Symbol'!$Y$18</f>
        <v>32</v>
      </c>
      <c r="F344" s="117">
        <f>VLOOKUP(MID($A344,13,2),'Free Spins Symbol'!$T$2:$Z$29,7,0)</f>
        <v>11</v>
      </c>
      <c r="G344" s="100">
        <f>B344*C344*D344*E344*F344-G334</f>
        <v>704000</v>
      </c>
      <c r="H344" s="118">
        <f t="shared" si="62"/>
        <v>488.72727272727275</v>
      </c>
      <c r="I344" s="100">
        <v>100</v>
      </c>
      <c r="J344" s="119">
        <f t="shared" si="64"/>
        <v>0.20461309523809526</v>
      </c>
      <c r="K344" s="120">
        <f t="shared" si="65"/>
        <v>2.0461309523809525E-3</v>
      </c>
    </row>
    <row r="345" spans="1:11" x14ac:dyDescent="0.3">
      <c r="A345" s="116" t="s">
        <v>255</v>
      </c>
      <c r="B345" s="129">
        <f>'Free Spins Symbol'!$V$18</f>
        <v>100</v>
      </c>
      <c r="C345" s="117">
        <f>VLOOKUP(MID($A345,4,2),'Free Spins Symbol'!$T$2:$Z$29,4,0)</f>
        <v>2</v>
      </c>
      <c r="D345" s="117">
        <f>VLOOKUP(MID($A345,7,2),'Free Spins Symbol'!$T$2:$Z$29,5,0)</f>
        <v>2</v>
      </c>
      <c r="E345" s="129">
        <f>'Free Spins Symbol'!$Y$18</f>
        <v>32</v>
      </c>
      <c r="F345" s="117">
        <f>VLOOKUP(MID($A345,13,2),'Free Spins Symbol'!$T$2:$Z$29,7,0)</f>
        <v>48</v>
      </c>
      <c r="G345" s="100">
        <f>(B345*C345*D345*E345-B339*C339*D339*E339)*(F345-F335)</f>
        <v>601600</v>
      </c>
      <c r="H345" s="118">
        <f t="shared" si="62"/>
        <v>571.91489361702122</v>
      </c>
      <c r="I345" s="100">
        <v>50</v>
      </c>
      <c r="J345" s="119">
        <f t="shared" si="64"/>
        <v>8.7425595238095247E-2</v>
      </c>
      <c r="K345" s="120">
        <f t="shared" si="65"/>
        <v>1.7485119047619048E-3</v>
      </c>
    </row>
    <row r="346" spans="1:11" x14ac:dyDescent="0.3">
      <c r="A346" s="116" t="s">
        <v>256</v>
      </c>
      <c r="B346" s="129">
        <f>'Free Spins Symbol'!$V$18</f>
        <v>100</v>
      </c>
      <c r="C346" s="117">
        <f>VLOOKUP(MID($A346,4,2),'Free Spins Symbol'!$T$2:$Z$29,4,0)</f>
        <v>2</v>
      </c>
      <c r="D346" s="117">
        <f>VLOOKUP(MID($A346,7,2),'Free Spins Symbol'!$T$2:$Z$29,5,0)</f>
        <v>3</v>
      </c>
      <c r="E346" s="129">
        <f>'Free Spins Symbol'!$Y$18</f>
        <v>32</v>
      </c>
      <c r="F346" s="117">
        <f>VLOOKUP(MID($A346,13,2),'Free Spins Symbol'!$T$2:$Z$29,7,0)</f>
        <v>48</v>
      </c>
      <c r="G346" s="100">
        <f>(B346*C346*D346*E346-B339*C339*D339*E339)*(F346-F336)</f>
        <v>902400</v>
      </c>
      <c r="H346" s="118">
        <f t="shared" si="62"/>
        <v>381.27659574468083</v>
      </c>
      <c r="I346" s="100">
        <v>50</v>
      </c>
      <c r="J346" s="119">
        <f t="shared" si="64"/>
        <v>0.13113839285714285</v>
      </c>
      <c r="K346" s="120">
        <f t="shared" si="65"/>
        <v>2.6227678571428569E-3</v>
      </c>
    </row>
    <row r="347" spans="1:11" x14ac:dyDescent="0.3">
      <c r="A347" s="116" t="s">
        <v>257</v>
      </c>
      <c r="B347" s="129">
        <f>'Free Spins Symbol'!$V$18</f>
        <v>100</v>
      </c>
      <c r="C347" s="117">
        <f>VLOOKUP(MID($A347,4,2),'Free Spins Symbol'!$T$2:$Z$29,4,0)</f>
        <v>4</v>
      </c>
      <c r="D347" s="117">
        <f>VLOOKUP(MID($A347,7,2),'Free Spins Symbol'!$T$2:$Z$29,5,0)</f>
        <v>2</v>
      </c>
      <c r="E347" s="129">
        <f>'Free Spins Symbol'!$Y$18</f>
        <v>32</v>
      </c>
      <c r="F347" s="117">
        <f>VLOOKUP(MID($A347,13,2),'Free Spins Symbol'!$T$2:$Z$29,7,0)</f>
        <v>48</v>
      </c>
      <c r="G347" s="100">
        <f>(B347*C347*D347*E347-B339*C339*D339*E339)*(F347-F337)</f>
        <v>1100800</v>
      </c>
      <c r="H347" s="118">
        <f t="shared" si="62"/>
        <v>312.55813953488371</v>
      </c>
      <c r="I347" s="100">
        <v>30</v>
      </c>
      <c r="J347" s="119">
        <f t="shared" si="64"/>
        <v>9.5982142857142849E-2</v>
      </c>
      <c r="K347" s="120">
        <f t="shared" si="65"/>
        <v>3.1994047619047618E-3</v>
      </c>
    </row>
    <row r="348" spans="1:11" x14ac:dyDescent="0.3">
      <c r="A348" s="116" t="s">
        <v>258</v>
      </c>
      <c r="B348" s="129">
        <f>'Free Spins Symbol'!$V$18</f>
        <v>100</v>
      </c>
      <c r="C348" s="117">
        <f>VLOOKUP(MID($A348,4,2),'Free Spins Symbol'!$T$2:$Z$29,4,0)</f>
        <v>4</v>
      </c>
      <c r="D348" s="117">
        <f>VLOOKUP(MID($A348,7,2),'Free Spins Symbol'!$T$2:$Z$29,5,0)</f>
        <v>2</v>
      </c>
      <c r="E348" s="129">
        <f>'Free Spins Symbol'!$Y$18</f>
        <v>32</v>
      </c>
      <c r="F348" s="117">
        <f>VLOOKUP(MID($A348,13,2),'Free Spins Symbol'!$T$2:$Z$29,7,0)</f>
        <v>48</v>
      </c>
      <c r="G348" s="100">
        <f>(B348*C348*D348*E348-B339*C339*D339*E339)*(F348-F338)</f>
        <v>1100800</v>
      </c>
      <c r="H348" s="118">
        <f t="shared" si="62"/>
        <v>312.55813953488371</v>
      </c>
      <c r="I348" s="100">
        <v>30</v>
      </c>
      <c r="J348" s="119">
        <f t="shared" si="64"/>
        <v>9.5982142857142849E-2</v>
      </c>
      <c r="K348" s="120">
        <f t="shared" si="65"/>
        <v>3.1994047619047618E-3</v>
      </c>
    </row>
    <row r="349" spans="1:11" x14ac:dyDescent="0.3">
      <c r="A349" s="116" t="s">
        <v>264</v>
      </c>
      <c r="B349" s="129">
        <f>'Free Spins Symbol'!$V$18</f>
        <v>100</v>
      </c>
      <c r="C349" s="117">
        <f>VLOOKUP(MID($A349,4,2),'Free Spins Symbol'!$T$2:$Z$29,4,0)</f>
        <v>0</v>
      </c>
      <c r="D349" s="117">
        <f>VLOOKUP(MID($A349,7,2),'Free Spins Symbol'!$T$2:$Z$29,5,0)</f>
        <v>0</v>
      </c>
      <c r="E349" s="129">
        <f>'Free Spins Symbol'!$Y$18</f>
        <v>32</v>
      </c>
      <c r="F349" s="117">
        <f>VLOOKUP(MID($A349,13,2),'Free Spins Symbol'!$T$2:$Z$29,7,0)</f>
        <v>48</v>
      </c>
      <c r="G349" s="100">
        <f>(B349*C349*D349)*(E349*F349-(E348+E347+E346+E345-3*E339)*F339-(E344-E339)*F344-(E343-E339)*F343-(E342-E339)*F342-(E341-E339)*F341-(E340-E339)*F340)</f>
        <v>0</v>
      </c>
      <c r="H349" s="118" t="e">
        <f t="shared" si="62"/>
        <v>#DIV/0!</v>
      </c>
      <c r="I349" s="100">
        <v>20</v>
      </c>
      <c r="J349" s="119">
        <f>K349*I349</f>
        <v>0</v>
      </c>
      <c r="K349" s="120">
        <f>G349/B$2</f>
        <v>0</v>
      </c>
    </row>
    <row r="350" spans="1:11" x14ac:dyDescent="0.3">
      <c r="A350" s="116" t="s">
        <v>259</v>
      </c>
      <c r="B350" s="129">
        <f>'Free Spins Symbol'!$V$18</f>
        <v>100</v>
      </c>
      <c r="C350" s="117">
        <f>VLOOKUP(MID($A350,4,2),'Free Spins Symbol'!$T$2:$Z$29,4,0)</f>
        <v>13</v>
      </c>
      <c r="D350" s="117">
        <f>VLOOKUP(MID($A350,7,2),'Free Spins Symbol'!$T$2:$Z$29,5,0)</f>
        <v>1</v>
      </c>
      <c r="E350" s="129">
        <f>'Free Spins Symbol'!$Y$18</f>
        <v>32</v>
      </c>
      <c r="F350" s="117">
        <f>VLOOKUP(MID($A350,13,2),'Free Spins Symbol'!$T$2:$Z$29,7,0)</f>
        <v>48</v>
      </c>
      <c r="G350" s="100">
        <f>B350*C350*D350*E350*(F350-F340)</f>
        <v>1913600</v>
      </c>
      <c r="H350" s="118">
        <f t="shared" si="62"/>
        <v>179.79933110367892</v>
      </c>
      <c r="I350" s="100">
        <v>20</v>
      </c>
      <c r="J350" s="119">
        <f t="shared" ref="J350:J369" si="66">K350*I350</f>
        <v>0.11123511904761905</v>
      </c>
      <c r="K350" s="120">
        <f t="shared" ref="K350:K369" si="67">G350/B$2</f>
        <v>5.5617559523809526E-3</v>
      </c>
    </row>
    <row r="351" spans="1:11" x14ac:dyDescent="0.3">
      <c r="A351" s="116" t="s">
        <v>260</v>
      </c>
      <c r="B351" s="129">
        <f>'Free Spins Symbol'!$V$18</f>
        <v>100</v>
      </c>
      <c r="C351" s="117">
        <f>VLOOKUP(MID($A351,4,2),'Free Spins Symbol'!$T$2:$Z$29,4,0)</f>
        <v>1</v>
      </c>
      <c r="D351" s="117">
        <f>VLOOKUP(MID($A351,7,2),'Free Spins Symbol'!$T$2:$Z$29,5,0)</f>
        <v>9</v>
      </c>
      <c r="E351" s="129">
        <f>'Free Spins Symbol'!$Y$18</f>
        <v>32</v>
      </c>
      <c r="F351" s="117">
        <f>VLOOKUP(MID($A351,13,2),'Free Spins Symbol'!$T$2:$Z$29,7,0)</f>
        <v>48</v>
      </c>
      <c r="G351" s="100">
        <f t="shared" ref="G351:G354" si="68">B351*C351*D351*E351*(F351-F341)</f>
        <v>1065600</v>
      </c>
      <c r="H351" s="118">
        <f t="shared" si="62"/>
        <v>322.88288288288288</v>
      </c>
      <c r="I351" s="100">
        <v>20</v>
      </c>
      <c r="J351" s="119">
        <f t="shared" si="66"/>
        <v>6.1941964285714281E-2</v>
      </c>
      <c r="K351" s="120">
        <f t="shared" si="67"/>
        <v>3.0970982142857141E-3</v>
      </c>
    </row>
    <row r="352" spans="1:11" x14ac:dyDescent="0.3">
      <c r="A352" s="116" t="s">
        <v>261</v>
      </c>
      <c r="B352" s="129">
        <f>'Free Spins Symbol'!$V$18</f>
        <v>100</v>
      </c>
      <c r="C352" s="117">
        <f>VLOOKUP(MID($A352,4,2),'Free Spins Symbol'!$T$2:$Z$29,4,0)</f>
        <v>13</v>
      </c>
      <c r="D352" s="117">
        <f>VLOOKUP(MID($A352,7,2),'Free Spins Symbol'!$T$2:$Z$29,5,0)</f>
        <v>9</v>
      </c>
      <c r="E352" s="129">
        <f>'Free Spins Symbol'!$Y$18</f>
        <v>32</v>
      </c>
      <c r="F352" s="117">
        <f>VLOOKUP(MID($A352,13,2),'Free Spins Symbol'!$T$2:$Z$29,7,0)</f>
        <v>48</v>
      </c>
      <c r="G352" s="100">
        <f t="shared" si="68"/>
        <v>17596800</v>
      </c>
      <c r="H352" s="118">
        <f t="shared" si="62"/>
        <v>19.55264593562466</v>
      </c>
      <c r="I352" s="100">
        <v>20</v>
      </c>
      <c r="J352" s="119">
        <f t="shared" si="66"/>
        <v>1.0228794642857144</v>
      </c>
      <c r="K352" s="120">
        <f t="shared" si="67"/>
        <v>5.1143973214285716E-2</v>
      </c>
    </row>
    <row r="353" spans="1:11" x14ac:dyDescent="0.3">
      <c r="A353" s="116" t="s">
        <v>262</v>
      </c>
      <c r="B353" s="129">
        <f>'Free Spins Symbol'!$V$18</f>
        <v>100</v>
      </c>
      <c r="C353" s="117">
        <f>VLOOKUP(MID($A353,4,2),'Free Spins Symbol'!$T$2:$Z$29,4,0)</f>
        <v>13</v>
      </c>
      <c r="D353" s="117">
        <f>VLOOKUP(MID($A353,7,2),'Free Spins Symbol'!$T$2:$Z$29,5,0)</f>
        <v>1</v>
      </c>
      <c r="E353" s="129">
        <f>'Free Spins Symbol'!$Y$18</f>
        <v>32</v>
      </c>
      <c r="F353" s="117">
        <f>VLOOKUP(MID($A353,13,2),'Free Spins Symbol'!$T$2:$Z$29,7,0)</f>
        <v>48</v>
      </c>
      <c r="G353" s="100">
        <f t="shared" si="68"/>
        <v>1539200</v>
      </c>
      <c r="H353" s="118">
        <f t="shared" si="62"/>
        <v>223.53430353430355</v>
      </c>
      <c r="I353" s="100">
        <v>20</v>
      </c>
      <c r="J353" s="119">
        <f t="shared" si="66"/>
        <v>8.9471726190476192E-2</v>
      </c>
      <c r="K353" s="120">
        <f t="shared" si="67"/>
        <v>4.4735863095238092E-3</v>
      </c>
    </row>
    <row r="354" spans="1:11" x14ac:dyDescent="0.3">
      <c r="A354" s="116" t="s">
        <v>263</v>
      </c>
      <c r="B354" s="129">
        <f>'Free Spins Symbol'!$V$18</f>
        <v>100</v>
      </c>
      <c r="C354" s="117">
        <f>VLOOKUP(MID($A354,4,2),'Free Spins Symbol'!$T$2:$Z$29,4,0)</f>
        <v>2</v>
      </c>
      <c r="D354" s="117">
        <f>VLOOKUP(MID($A354,7,2),'Free Spins Symbol'!$T$2:$Z$29,5,0)</f>
        <v>10</v>
      </c>
      <c r="E354" s="129">
        <f>'Free Spins Symbol'!$Y$18</f>
        <v>32</v>
      </c>
      <c r="F354" s="117">
        <f>VLOOKUP(MID($A354,13,2),'Free Spins Symbol'!$T$2:$Z$29,7,0)</f>
        <v>48</v>
      </c>
      <c r="G354" s="100">
        <f t="shared" si="68"/>
        <v>2368000</v>
      </c>
      <c r="H354" s="118">
        <f t="shared" si="62"/>
        <v>145.29729729729729</v>
      </c>
      <c r="I354" s="100">
        <v>20</v>
      </c>
      <c r="J354" s="119">
        <f t="shared" si="66"/>
        <v>0.13764880952380953</v>
      </c>
      <c r="K354" s="120">
        <f t="shared" si="67"/>
        <v>6.882440476190476E-3</v>
      </c>
    </row>
    <row r="355" spans="1:11" x14ac:dyDescent="0.3">
      <c r="A355" s="116" t="s">
        <v>265</v>
      </c>
      <c r="B355" s="129">
        <f>'Free Spins Symbol'!$V$18</f>
        <v>100</v>
      </c>
      <c r="C355" s="117">
        <f>VLOOKUP(MID($A355,4,2),'Free Spins Symbol'!$T$2:$Z$29,4,0)</f>
        <v>2</v>
      </c>
      <c r="D355" s="117">
        <f>VLOOKUP(MID($A355,7,2),'Free Spins Symbol'!$T$2:$Z$29,5,0)</f>
        <v>2</v>
      </c>
      <c r="E355" s="129">
        <f>'Free Spins Symbol'!$Y$18</f>
        <v>32</v>
      </c>
      <c r="F355" s="117">
        <f>VLOOKUP(MID($A355,13,2),'Free Spins Symbol'!$T$2:$Z$29,7,0)</f>
        <v>48</v>
      </c>
      <c r="G355" s="100">
        <f>(B355*C355*D355)*(E355-E345)*F355</f>
        <v>0</v>
      </c>
      <c r="H355" s="118" t="e">
        <f t="shared" si="62"/>
        <v>#DIV/0!</v>
      </c>
      <c r="I355" s="100">
        <v>20</v>
      </c>
      <c r="J355" s="119">
        <f t="shared" si="66"/>
        <v>0</v>
      </c>
      <c r="K355" s="120">
        <f t="shared" si="67"/>
        <v>0</v>
      </c>
    </row>
    <row r="356" spans="1:11" x14ac:dyDescent="0.3">
      <c r="A356" s="116" t="s">
        <v>266</v>
      </c>
      <c r="B356" s="129">
        <f>'Free Spins Symbol'!$V$18</f>
        <v>100</v>
      </c>
      <c r="C356" s="117">
        <f>VLOOKUP(MID($A356,4,2),'Free Spins Symbol'!$T$2:$Z$29,4,0)</f>
        <v>2</v>
      </c>
      <c r="D356" s="117">
        <f>VLOOKUP(MID($A356,7,2),'Free Spins Symbol'!$T$2:$Z$29,5,0)</f>
        <v>3</v>
      </c>
      <c r="E356" s="129">
        <f>'Free Spins Symbol'!$Y$18</f>
        <v>32</v>
      </c>
      <c r="F356" s="117">
        <f>VLOOKUP(MID($A356,13,2),'Free Spins Symbol'!$T$2:$Z$29,7,0)</f>
        <v>48</v>
      </c>
      <c r="G356" s="100">
        <f>(B356*C356*D356)*(E356-E346)*F356</f>
        <v>0</v>
      </c>
      <c r="H356" s="118" t="e">
        <f t="shared" si="62"/>
        <v>#DIV/0!</v>
      </c>
      <c r="I356" s="100">
        <v>20</v>
      </c>
      <c r="J356" s="119">
        <f t="shared" si="66"/>
        <v>0</v>
      </c>
      <c r="K356" s="120">
        <f t="shared" si="67"/>
        <v>0</v>
      </c>
    </row>
    <row r="357" spans="1:11" x14ac:dyDescent="0.3">
      <c r="A357" s="116" t="s">
        <v>267</v>
      </c>
      <c r="B357" s="129">
        <f>'Free Spins Symbol'!$V$18</f>
        <v>100</v>
      </c>
      <c r="C357" s="117">
        <f>VLOOKUP(MID($A357,4,2),'Free Spins Symbol'!$T$2:$Z$29,4,0)</f>
        <v>4</v>
      </c>
      <c r="D357" s="117">
        <f>VLOOKUP(MID($A357,7,2),'Free Spins Symbol'!$T$2:$Z$29,5,0)</f>
        <v>2</v>
      </c>
      <c r="E357" s="129">
        <f>'Free Spins Symbol'!$Y$18</f>
        <v>32</v>
      </c>
      <c r="F357" s="117">
        <f>VLOOKUP(MID($A357,13,2),'Free Spins Symbol'!$T$2:$Z$29,7,0)</f>
        <v>48</v>
      </c>
      <c r="G357" s="100">
        <f>(B357*C357*D357-B349*C349*D349)*(E357-E347)*F357</f>
        <v>0</v>
      </c>
      <c r="H357" s="118" t="e">
        <f t="shared" si="62"/>
        <v>#DIV/0!</v>
      </c>
      <c r="I357" s="100">
        <v>10</v>
      </c>
      <c r="J357" s="119">
        <f t="shared" si="66"/>
        <v>0</v>
      </c>
      <c r="K357" s="120">
        <f t="shared" si="67"/>
        <v>0</v>
      </c>
    </row>
    <row r="358" spans="1:11" x14ac:dyDescent="0.3">
      <c r="A358" s="116" t="s">
        <v>268</v>
      </c>
      <c r="B358" s="129">
        <f>'Free Spins Symbol'!$V$18</f>
        <v>100</v>
      </c>
      <c r="C358" s="117">
        <f>VLOOKUP(MID($A358,4,2),'Free Spins Symbol'!$T$2:$Z$29,4,0)</f>
        <v>4</v>
      </c>
      <c r="D358" s="117">
        <f>VLOOKUP(MID($A358,7,2),'Free Spins Symbol'!$T$2:$Z$29,5,0)</f>
        <v>2</v>
      </c>
      <c r="E358" s="129">
        <f>'Free Spins Symbol'!$Y$18</f>
        <v>32</v>
      </c>
      <c r="F358" s="117">
        <f>VLOOKUP(MID($A358,13,2),'Free Spins Symbol'!$T$2:$Z$29,7,0)</f>
        <v>48</v>
      </c>
      <c r="G358" s="100">
        <f>(B358*C358*D358-B349*C349*D349)*(E358-E348)*F358</f>
        <v>0</v>
      </c>
      <c r="H358" s="118" t="e">
        <f t="shared" si="62"/>
        <v>#DIV/0!</v>
      </c>
      <c r="I358" s="100">
        <v>10</v>
      </c>
      <c r="J358" s="119">
        <f t="shared" si="66"/>
        <v>0</v>
      </c>
      <c r="K358" s="120">
        <f t="shared" si="67"/>
        <v>0</v>
      </c>
    </row>
    <row r="359" spans="1:11" x14ac:dyDescent="0.3">
      <c r="A359" s="116" t="s">
        <v>269</v>
      </c>
      <c r="B359" s="129">
        <f>'Free Spins Symbol'!$V$18</f>
        <v>100</v>
      </c>
      <c r="C359" s="117">
        <f>VLOOKUP(MID($A359,4,2),'Free Spins Symbol'!$T$2:$Z$29,4,0)</f>
        <v>13</v>
      </c>
      <c r="D359" s="117">
        <f>VLOOKUP(MID($A359,7,2),'Free Spins Symbol'!$T$2:$Z$29,5,0)</f>
        <v>1</v>
      </c>
      <c r="E359" s="129">
        <f>'Free Spins Symbol'!$Y$18</f>
        <v>32</v>
      </c>
      <c r="F359" s="117">
        <f>VLOOKUP(MID($A359,13,2),'Free Spins Symbol'!$T$2:$Z$29,7,0)</f>
        <v>48</v>
      </c>
      <c r="G359" s="100">
        <f>(B359*C359*D359-B349*C349*D349)*(E359-E350)*F359</f>
        <v>0</v>
      </c>
      <c r="H359" s="118" t="e">
        <f t="shared" si="62"/>
        <v>#DIV/0!</v>
      </c>
      <c r="I359" s="100">
        <v>5</v>
      </c>
      <c r="J359" s="119">
        <f t="shared" si="66"/>
        <v>0</v>
      </c>
      <c r="K359" s="120">
        <f t="shared" si="67"/>
        <v>0</v>
      </c>
    </row>
    <row r="360" spans="1:11" x14ac:dyDescent="0.3">
      <c r="A360" s="116" t="s">
        <v>270</v>
      </c>
      <c r="B360" s="129">
        <f>'Free Spins Symbol'!$V$18</f>
        <v>100</v>
      </c>
      <c r="C360" s="117">
        <f>VLOOKUP(MID($A360,4,2),'Free Spins Symbol'!$T$2:$Z$29,4,0)</f>
        <v>1</v>
      </c>
      <c r="D360" s="117">
        <f>VLOOKUP(MID($A360,7,2),'Free Spins Symbol'!$T$2:$Z$29,5,0)</f>
        <v>9</v>
      </c>
      <c r="E360" s="129">
        <f>'Free Spins Symbol'!$Y$18</f>
        <v>32</v>
      </c>
      <c r="F360" s="117">
        <f>VLOOKUP(MID($A360,13,2),'Free Spins Symbol'!$T$2:$Z$29,7,0)</f>
        <v>48</v>
      </c>
      <c r="G360" s="100">
        <f>(B360*C360*D360-B349*C349*D349)*(E360-E351)*F360</f>
        <v>0</v>
      </c>
      <c r="H360" s="118" t="e">
        <f t="shared" si="62"/>
        <v>#DIV/0!</v>
      </c>
      <c r="I360" s="100">
        <v>5</v>
      </c>
      <c r="J360" s="119">
        <f t="shared" si="66"/>
        <v>0</v>
      </c>
      <c r="K360" s="120">
        <f t="shared" si="67"/>
        <v>0</v>
      </c>
    </row>
    <row r="361" spans="1:11" x14ac:dyDescent="0.3">
      <c r="A361" s="116" t="s">
        <v>271</v>
      </c>
      <c r="B361" s="129">
        <f>'Free Spins Symbol'!$V$18</f>
        <v>100</v>
      </c>
      <c r="C361" s="117">
        <f>VLOOKUP(MID($A361,4,2),'Free Spins Symbol'!$T$2:$Z$29,4,0)</f>
        <v>13</v>
      </c>
      <c r="D361" s="117">
        <f>VLOOKUP(MID($A361,7,2),'Free Spins Symbol'!$T$2:$Z$29,5,0)</f>
        <v>9</v>
      </c>
      <c r="E361" s="129">
        <f>'Free Spins Symbol'!$Y$18</f>
        <v>32</v>
      </c>
      <c r="F361" s="117">
        <f>VLOOKUP(MID($A361,13,2),'Free Spins Symbol'!$T$2:$Z$29,7,0)</f>
        <v>48</v>
      </c>
      <c r="G361" s="100">
        <f>(B361*C361*D361-B349*C349*D349)*(E361-E352)*F361</f>
        <v>0</v>
      </c>
      <c r="H361" s="118" t="e">
        <f t="shared" si="62"/>
        <v>#DIV/0!</v>
      </c>
      <c r="I361" s="100">
        <v>5</v>
      </c>
      <c r="J361" s="119">
        <f t="shared" si="66"/>
        <v>0</v>
      </c>
      <c r="K361" s="120">
        <f t="shared" si="67"/>
        <v>0</v>
      </c>
    </row>
    <row r="362" spans="1:11" x14ac:dyDescent="0.3">
      <c r="A362" s="116" t="s">
        <v>272</v>
      </c>
      <c r="B362" s="129">
        <f>'Free Spins Symbol'!$V$18</f>
        <v>100</v>
      </c>
      <c r="C362" s="117">
        <f>VLOOKUP(MID($A362,4,2),'Free Spins Symbol'!$T$2:$Z$29,4,0)</f>
        <v>13</v>
      </c>
      <c r="D362" s="117">
        <f>VLOOKUP(MID($A362,7,2),'Free Spins Symbol'!$T$2:$Z$29,5,0)</f>
        <v>1</v>
      </c>
      <c r="E362" s="129">
        <f>'Free Spins Symbol'!$Y$18</f>
        <v>32</v>
      </c>
      <c r="F362" s="117">
        <f>VLOOKUP(MID($A362,13,2),'Free Spins Symbol'!$T$2:$Z$29,7,0)</f>
        <v>48</v>
      </c>
      <c r="G362" s="100">
        <f>(B362*C362*D362-B349*C349*D349)*(E362-E353)*F362</f>
        <v>0</v>
      </c>
      <c r="H362" s="118" t="e">
        <f t="shared" si="62"/>
        <v>#DIV/0!</v>
      </c>
      <c r="I362" s="100">
        <v>5</v>
      </c>
      <c r="J362" s="119">
        <f t="shared" si="66"/>
        <v>0</v>
      </c>
      <c r="K362" s="120">
        <f t="shared" si="67"/>
        <v>0</v>
      </c>
    </row>
    <row r="363" spans="1:11" x14ac:dyDescent="0.3">
      <c r="A363" s="116" t="s">
        <v>273</v>
      </c>
      <c r="B363" s="129">
        <f>'Free Spins Symbol'!$V$18</f>
        <v>100</v>
      </c>
      <c r="C363" s="117">
        <f>VLOOKUP(MID($A363,4,2),'Free Spins Symbol'!$T$2:$Z$29,4,0)</f>
        <v>2</v>
      </c>
      <c r="D363" s="117">
        <f>VLOOKUP(MID($A363,7,2),'Free Spins Symbol'!$T$2:$Z$29,5,0)</f>
        <v>10</v>
      </c>
      <c r="E363" s="129">
        <f>'Free Spins Symbol'!$Y$18</f>
        <v>32</v>
      </c>
      <c r="F363" s="117">
        <f>VLOOKUP(MID($A363,13,2),'Free Spins Symbol'!$T$2:$Z$29,7,0)</f>
        <v>48</v>
      </c>
      <c r="G363" s="100">
        <f t="shared" ref="G363" si="69">(B363*C363*D363-B351*C351*D351)*(E363-E354)*F363</f>
        <v>0</v>
      </c>
      <c r="H363" s="118" t="e">
        <f t="shared" si="62"/>
        <v>#DIV/0!</v>
      </c>
      <c r="I363" s="100">
        <v>5</v>
      </c>
      <c r="J363" s="119">
        <f t="shared" si="66"/>
        <v>0</v>
      </c>
      <c r="K363" s="120">
        <f t="shared" si="67"/>
        <v>0</v>
      </c>
    </row>
    <row r="364" spans="1:11" x14ac:dyDescent="0.3">
      <c r="A364" s="116" t="s">
        <v>274</v>
      </c>
      <c r="B364" s="129">
        <f>'Free Spins Symbol'!$V$18</f>
        <v>100</v>
      </c>
      <c r="C364" s="117">
        <f>VLOOKUP(MID($A364,4,2),'Free Spins Symbol'!$T$2:$Z$29,4,0)</f>
        <v>0</v>
      </c>
      <c r="D364" s="117">
        <f>VLOOKUP(MID($A364,7,2),'Free Spins Symbol'!$T$2:$Z$29,5,0)</f>
        <v>40</v>
      </c>
      <c r="E364" s="129">
        <f>'Free Spins Symbol'!$Y$18</f>
        <v>32</v>
      </c>
      <c r="F364" s="117">
        <f>VLOOKUP(MID($A364,13,2),'Free Spins Symbol'!$T$2:$Z$29,7,0)</f>
        <v>48</v>
      </c>
      <c r="G364" s="100">
        <f>B364*C364*(D364-D363-D362-D361-D360-D359-D358-D357-D356-D355+8*D349)*E364*F364</f>
        <v>0</v>
      </c>
      <c r="H364" s="118" t="e">
        <f t="shared" si="62"/>
        <v>#DIV/0!</v>
      </c>
      <c r="I364" s="100">
        <v>5</v>
      </c>
      <c r="J364" s="119">
        <f t="shared" si="66"/>
        <v>0</v>
      </c>
      <c r="K364" s="120">
        <f t="shared" si="67"/>
        <v>0</v>
      </c>
    </row>
    <row r="365" spans="1:11" x14ac:dyDescent="0.3">
      <c r="A365" s="116" t="s">
        <v>275</v>
      </c>
      <c r="B365" s="129">
        <f>'Free Spins Symbol'!$V$18</f>
        <v>100</v>
      </c>
      <c r="C365" s="117">
        <f>VLOOKUP(MID($A365,4,2),'Free Spins Symbol'!$T$2:$Z$29,4,0)</f>
        <v>2</v>
      </c>
      <c r="D365" s="117">
        <f>VLOOKUP(MID($A365,7,2),'Free Spins Symbol'!$T$2:$Z$29,5,0)</f>
        <v>40</v>
      </c>
      <c r="E365" s="129">
        <f>'Free Spins Symbol'!$Y$18</f>
        <v>32</v>
      </c>
      <c r="F365" s="117">
        <f>VLOOKUP(MID($A365,13,2),'Free Spins Symbol'!$T$2:$Z$29,7,0)</f>
        <v>48</v>
      </c>
      <c r="G365" s="100">
        <f>(B365*C365-B364*C364)*(D365-D355)*E365*F365</f>
        <v>11673600</v>
      </c>
      <c r="H365" s="118">
        <f t="shared" si="62"/>
        <v>29.473684210526315</v>
      </c>
      <c r="I365" s="100">
        <v>5</v>
      </c>
      <c r="J365" s="119">
        <f t="shared" si="66"/>
        <v>0.16964285714285712</v>
      </c>
      <c r="K365" s="120">
        <f t="shared" si="67"/>
        <v>3.3928571428571426E-2</v>
      </c>
    </row>
    <row r="366" spans="1:11" x14ac:dyDescent="0.3">
      <c r="A366" s="116" t="s">
        <v>276</v>
      </c>
      <c r="B366" s="129">
        <f>'Free Spins Symbol'!$V$18</f>
        <v>100</v>
      </c>
      <c r="C366" s="117">
        <f>VLOOKUP(MID($A366,4,2),'Free Spins Symbol'!$T$2:$Z$29,4,0)</f>
        <v>2</v>
      </c>
      <c r="D366" s="117">
        <f>VLOOKUP(MID($A366,7,2),'Free Spins Symbol'!$T$2:$Z$29,5,0)</f>
        <v>40</v>
      </c>
      <c r="E366" s="129">
        <f>'Free Spins Symbol'!$Y$18</f>
        <v>32</v>
      </c>
      <c r="F366" s="117">
        <f>VLOOKUP(MID($A366,13,2),'Free Spins Symbol'!$T$2:$Z$29,7,0)</f>
        <v>48</v>
      </c>
      <c r="G366" s="100">
        <f>(B366*C366-B364*C364)*(D366-D356)*E366*F366</f>
        <v>11366400</v>
      </c>
      <c r="H366" s="118">
        <f t="shared" si="62"/>
        <v>30.27027027027027</v>
      </c>
      <c r="I366" s="100">
        <v>5</v>
      </c>
      <c r="J366" s="119">
        <f t="shared" si="66"/>
        <v>0.16517857142857142</v>
      </c>
      <c r="K366" s="120">
        <f t="shared" si="67"/>
        <v>3.3035714285714286E-2</v>
      </c>
    </row>
    <row r="367" spans="1:11" x14ac:dyDescent="0.3">
      <c r="A367" s="116" t="s">
        <v>277</v>
      </c>
      <c r="B367" s="129">
        <f>'Free Spins Symbol'!$V$18</f>
        <v>100</v>
      </c>
      <c r="C367" s="117">
        <f>VLOOKUP(MID($A367,4,2),'Free Spins Symbol'!$T$2:$Z$29,4,0)</f>
        <v>4</v>
      </c>
      <c r="D367" s="117">
        <f>VLOOKUP(MID($A367,7,2),'Free Spins Symbol'!$T$2:$Z$29,5,0)</f>
        <v>40</v>
      </c>
      <c r="E367" s="129">
        <f>'Free Spins Symbol'!$Y$18</f>
        <v>32</v>
      </c>
      <c r="F367" s="117">
        <f>VLOOKUP(MID($A367,13,2),'Free Spins Symbol'!$T$2:$Z$29,7,0)</f>
        <v>48</v>
      </c>
      <c r="G367" s="100">
        <f>(B367*C367-B364*C364)*(D367-D357)*E367*F367</f>
        <v>23347200</v>
      </c>
      <c r="H367" s="118">
        <f t="shared" si="62"/>
        <v>14.736842105263158</v>
      </c>
      <c r="I367" s="100">
        <v>5</v>
      </c>
      <c r="J367" s="119">
        <f t="shared" si="66"/>
        <v>0.33928571428571425</v>
      </c>
      <c r="K367" s="120">
        <f t="shared" si="67"/>
        <v>6.7857142857142852E-2</v>
      </c>
    </row>
    <row r="368" spans="1:11" x14ac:dyDescent="0.3">
      <c r="A368" s="116" t="s">
        <v>278</v>
      </c>
      <c r="B368" s="129">
        <f>'Free Spins Symbol'!$V$18</f>
        <v>100</v>
      </c>
      <c r="C368" s="117">
        <f>VLOOKUP(MID($A368,4,2),'Free Spins Symbol'!$T$2:$Z$29,4,0)</f>
        <v>4</v>
      </c>
      <c r="D368" s="117">
        <f>VLOOKUP(MID($A368,7,2),'Free Spins Symbol'!$T$2:$Z$29,5,0)</f>
        <v>40</v>
      </c>
      <c r="E368" s="129">
        <f>'Free Spins Symbol'!$Y$18</f>
        <v>32</v>
      </c>
      <c r="F368" s="117">
        <f>VLOOKUP(MID($A368,13,2),'Free Spins Symbol'!$T$2:$Z$29,7,0)</f>
        <v>48</v>
      </c>
      <c r="G368" s="100">
        <f>(B368*C368-B364*C364)*(D368-D358)*E368*F368</f>
        <v>23347200</v>
      </c>
      <c r="H368" s="118">
        <f t="shared" si="62"/>
        <v>14.736842105263158</v>
      </c>
      <c r="I368" s="100">
        <v>5</v>
      </c>
      <c r="J368" s="119">
        <f t="shared" si="66"/>
        <v>0.33928571428571425</v>
      </c>
      <c r="K368" s="120">
        <f t="shared" si="67"/>
        <v>6.7857142857142852E-2</v>
      </c>
    </row>
    <row r="369" spans="1:11" x14ac:dyDescent="0.3">
      <c r="A369" s="122" t="s">
        <v>279</v>
      </c>
      <c r="B369" s="117">
        <f>VLOOKUP(MID($A369,1,2),'Free Spins Symbol'!$T$2:$Z$29,3,0)</f>
        <v>100</v>
      </c>
      <c r="C369" s="117">
        <f>VLOOKUP(MID($A369,4,2),'Free Spins Symbol'!$T$2:$Z$29,4,0)</f>
        <v>8</v>
      </c>
      <c r="D369" s="117">
        <f>VLOOKUP(MID($A369,7,2),'Free Spins Symbol'!$T$2:$Z$29,5,0)</f>
        <v>4</v>
      </c>
      <c r="E369" s="117">
        <f>VLOOKUP(MID($A369,10,2),'Free Spins Symbol'!$T$2:$Z$29,6,0)</f>
        <v>16</v>
      </c>
      <c r="F369" s="117">
        <f>VLOOKUP(MID($A369,13,2),'Free Spins Symbol'!$T$2:$Z$29,7,0)</f>
        <v>48</v>
      </c>
      <c r="G369" s="100">
        <f>B369*C369*D369*E369*F369</f>
        <v>2457600</v>
      </c>
      <c r="H369" s="118">
        <f t="shared" si="62"/>
        <v>140</v>
      </c>
      <c r="I369" s="123">
        <v>2</v>
      </c>
      <c r="J369" s="124">
        <f t="shared" si="66"/>
        <v>1.4285714285714285E-2</v>
      </c>
      <c r="K369" s="120">
        <f t="shared" si="67"/>
        <v>7.1428571428571426E-3</v>
      </c>
    </row>
    <row r="371" spans="1:11" ht="16.8" thickBot="1" x14ac:dyDescent="0.35"/>
    <row r="372" spans="1:11" ht="16.8" thickBot="1" x14ac:dyDescent="0.35">
      <c r="A372" s="125" t="s">
        <v>301</v>
      </c>
    </row>
    <row r="373" spans="1:11" ht="16.8" thickBot="1" x14ac:dyDescent="0.35">
      <c r="A373" s="95" t="s">
        <v>280</v>
      </c>
      <c r="B373" s="142">
        <f>B2</f>
        <v>344064000</v>
      </c>
      <c r="C373" s="142"/>
      <c r="D373" s="142"/>
      <c r="E373" s="142"/>
      <c r="F373" s="142"/>
      <c r="G373" s="7"/>
      <c r="H373" s="106"/>
      <c r="I373" s="107" t="s">
        <v>281</v>
      </c>
      <c r="J373" s="108">
        <f>SUM(J375:J409)</f>
        <v>2.2166573660714284</v>
      </c>
      <c r="K373" s="126">
        <f>SUM(K375:K410)</f>
        <v>0.2950753348214285</v>
      </c>
    </row>
    <row r="374" spans="1:11" ht="33" thickBot="1" x14ac:dyDescent="0.35">
      <c r="A374" s="109" t="s">
        <v>233</v>
      </c>
      <c r="B374" s="110" t="s">
        <v>234</v>
      </c>
      <c r="C374" s="110" t="s">
        <v>235</v>
      </c>
      <c r="D374" s="110" t="s">
        <v>236</v>
      </c>
      <c r="E374" s="110" t="s">
        <v>237</v>
      </c>
      <c r="F374" s="110" t="s">
        <v>238</v>
      </c>
      <c r="G374" s="111" t="s">
        <v>239</v>
      </c>
      <c r="H374" s="112" t="s">
        <v>240</v>
      </c>
      <c r="I374" s="113" t="s">
        <v>241</v>
      </c>
      <c r="J374" s="114" t="s">
        <v>242</v>
      </c>
      <c r="K374" s="115" t="s">
        <v>243</v>
      </c>
    </row>
    <row r="375" spans="1:11" x14ac:dyDescent="0.3">
      <c r="A375" s="116" t="s">
        <v>244</v>
      </c>
      <c r="B375" s="129">
        <f>'Free Spins Symbol'!$V$18</f>
        <v>100</v>
      </c>
      <c r="C375" s="117">
        <f>VLOOKUP(MID($A375,4,2),'Free Spins Symbol'!$T$2:$Z$29,4,0)</f>
        <v>0</v>
      </c>
      <c r="D375" s="117">
        <f>VLOOKUP(MID($A375,7,2),'Free Spins Symbol'!$T$2:$Z$29,5,0)</f>
        <v>0</v>
      </c>
      <c r="E375" s="117">
        <f>VLOOKUP(MID($A375,10,2),'Free Spins Symbol'!$T$2:$Z$29,6,0)</f>
        <v>0</v>
      </c>
      <c r="F375" s="129">
        <f>'Free Spins Symbol'!$Z$18</f>
        <v>48</v>
      </c>
      <c r="G375" s="100">
        <f>B375*C375*D375*E375*F375</f>
        <v>0</v>
      </c>
      <c r="H375" s="118" t="e">
        <f>B$2/G375</f>
        <v>#DIV/0!</v>
      </c>
      <c r="I375" s="100">
        <v>500</v>
      </c>
      <c r="J375" s="119">
        <f t="shared" ref="J375:J379" si="70">K375*I375</f>
        <v>0</v>
      </c>
      <c r="K375" s="120">
        <f>G375/B$2</f>
        <v>0</v>
      </c>
    </row>
    <row r="376" spans="1:11" x14ac:dyDescent="0.3">
      <c r="A376" s="116" t="s">
        <v>245</v>
      </c>
      <c r="B376" s="129">
        <f>'Free Spins Symbol'!$V$18</f>
        <v>100</v>
      </c>
      <c r="C376" s="117">
        <f>VLOOKUP(MID($A376,4,2),'Free Spins Symbol'!$T$2:$Z$29,4,0)</f>
        <v>2</v>
      </c>
      <c r="D376" s="117">
        <f>VLOOKUP(MID($A376,7,2),'Free Spins Symbol'!$T$2:$Z$29,5,0)</f>
        <v>2</v>
      </c>
      <c r="E376" s="117">
        <f>VLOOKUP(MID($A376,10,2),'Free Spins Symbol'!$T$2:$Z$29,6,0)</f>
        <v>1</v>
      </c>
      <c r="F376" s="129">
        <f>'Free Spins Symbol'!$Z$18</f>
        <v>48</v>
      </c>
      <c r="G376" s="100">
        <f>B376*C376*D376*E376*F376-G375</f>
        <v>19200</v>
      </c>
      <c r="H376" s="118">
        <f t="shared" ref="H376:H410" si="71">B$2/G376</f>
        <v>17920</v>
      </c>
      <c r="I376" s="100">
        <v>250</v>
      </c>
      <c r="J376" s="119">
        <f t="shared" si="70"/>
        <v>1.3950892857142856E-2</v>
      </c>
      <c r="K376" s="120">
        <f t="shared" ref="K376:K379" si="72">G376/B$2</f>
        <v>5.5803571428571427E-5</v>
      </c>
    </row>
    <row r="377" spans="1:11" x14ac:dyDescent="0.3">
      <c r="A377" s="116" t="s">
        <v>246</v>
      </c>
      <c r="B377" s="129">
        <f>'Free Spins Symbol'!$V$18</f>
        <v>100</v>
      </c>
      <c r="C377" s="117">
        <f>VLOOKUP(MID($A377,4,2),'Free Spins Symbol'!$T$2:$Z$29,4,0)</f>
        <v>2</v>
      </c>
      <c r="D377" s="117">
        <f>VLOOKUP(MID($A377,7,2),'Free Spins Symbol'!$T$2:$Z$29,5,0)</f>
        <v>3</v>
      </c>
      <c r="E377" s="117">
        <f>VLOOKUP(MID($A377,10,2),'Free Spins Symbol'!$T$2:$Z$29,6,0)</f>
        <v>1</v>
      </c>
      <c r="F377" s="129">
        <f>'Free Spins Symbol'!$Z$18</f>
        <v>48</v>
      </c>
      <c r="G377" s="100">
        <f>B377*C377*D377*E377*F377-G375</f>
        <v>28800</v>
      </c>
      <c r="H377" s="118">
        <f t="shared" si="71"/>
        <v>11946.666666666666</v>
      </c>
      <c r="I377" s="100">
        <v>250</v>
      </c>
      <c r="J377" s="119">
        <f t="shared" si="70"/>
        <v>2.0926339285714284E-2</v>
      </c>
      <c r="K377" s="120">
        <f t="shared" si="72"/>
        <v>8.3705357142857144E-5</v>
      </c>
    </row>
    <row r="378" spans="1:11" x14ac:dyDescent="0.3">
      <c r="A378" s="116" t="s">
        <v>247</v>
      </c>
      <c r="B378" s="129">
        <f>'Free Spins Symbol'!$V$18</f>
        <v>100</v>
      </c>
      <c r="C378" s="117">
        <f>VLOOKUP(MID($A378,4,2),'Free Spins Symbol'!$T$2:$Z$29,4,0)</f>
        <v>4</v>
      </c>
      <c r="D378" s="117">
        <f>VLOOKUP(MID($A378,7,2),'Free Spins Symbol'!$T$2:$Z$29,5,0)</f>
        <v>2</v>
      </c>
      <c r="E378" s="117">
        <f>VLOOKUP(MID($A378,10,2),'Free Spins Symbol'!$T$2:$Z$29,6,0)</f>
        <v>1</v>
      </c>
      <c r="F378" s="129">
        <f>'Free Spins Symbol'!$Z$18</f>
        <v>48</v>
      </c>
      <c r="G378" s="100">
        <f>B378*C378*D378*E378*F378-G375</f>
        <v>38400</v>
      </c>
      <c r="H378" s="118">
        <f t="shared" si="71"/>
        <v>8960</v>
      </c>
      <c r="I378" s="100">
        <v>150</v>
      </c>
      <c r="J378" s="119">
        <f t="shared" si="70"/>
        <v>1.6741071428571428E-2</v>
      </c>
      <c r="K378" s="120">
        <f t="shared" si="72"/>
        <v>1.1160714285714285E-4</v>
      </c>
    </row>
    <row r="379" spans="1:11" x14ac:dyDescent="0.3">
      <c r="A379" s="116" t="s">
        <v>248</v>
      </c>
      <c r="B379" s="129">
        <f>'Free Spins Symbol'!$V$18</f>
        <v>100</v>
      </c>
      <c r="C379" s="117">
        <f>VLOOKUP(MID($A379,4,2),'Free Spins Symbol'!$T$2:$Z$29,4,0)</f>
        <v>4</v>
      </c>
      <c r="D379" s="117">
        <f>VLOOKUP(MID($A379,7,2),'Free Spins Symbol'!$T$2:$Z$29,5,0)</f>
        <v>2</v>
      </c>
      <c r="E379" s="117">
        <f>VLOOKUP(MID($A379,10,2),'Free Spins Symbol'!$T$2:$Z$29,6,0)</f>
        <v>1</v>
      </c>
      <c r="F379" s="129">
        <f>'Free Spins Symbol'!$Z$18</f>
        <v>48</v>
      </c>
      <c r="G379" s="100">
        <f>B379*C379*D379*E379*F379-G375</f>
        <v>38400</v>
      </c>
      <c r="H379" s="118">
        <f t="shared" si="71"/>
        <v>8960</v>
      </c>
      <c r="I379" s="100">
        <v>150</v>
      </c>
      <c r="J379" s="119">
        <f t="shared" si="70"/>
        <v>1.6741071428571428E-2</v>
      </c>
      <c r="K379" s="120">
        <f t="shared" si="72"/>
        <v>1.1160714285714285E-4</v>
      </c>
    </row>
    <row r="380" spans="1:11" x14ac:dyDescent="0.3">
      <c r="A380" s="116" t="s">
        <v>254</v>
      </c>
      <c r="B380" s="129">
        <f>'Free Spins Symbol'!$V$18</f>
        <v>100</v>
      </c>
      <c r="C380" s="117">
        <f>VLOOKUP(MID($A380,4,2),'Free Spins Symbol'!$T$2:$Z$29,4,0)</f>
        <v>0</v>
      </c>
      <c r="D380" s="117">
        <f>VLOOKUP(MID($A380,7,2),'Free Spins Symbol'!$T$2:$Z$29,5,0)</f>
        <v>0</v>
      </c>
      <c r="E380" s="117">
        <f>VLOOKUP(MID($A380,10,2),'Free Spins Symbol'!$T$2:$Z$29,6,0)</f>
        <v>0</v>
      </c>
      <c r="F380" s="129">
        <f>'Free Spins Symbol'!$Z$18</f>
        <v>48</v>
      </c>
      <c r="G380" s="100">
        <f>B380*C380*D380*E380*(F380-F379-F378-F377-F376+3*F375)</f>
        <v>0</v>
      </c>
      <c r="H380" s="118" t="e">
        <f t="shared" si="71"/>
        <v>#DIV/0!</v>
      </c>
      <c r="I380" s="100">
        <v>100</v>
      </c>
      <c r="J380" s="119">
        <f>K380*I380</f>
        <v>0</v>
      </c>
      <c r="K380" s="120">
        <f>G380/B$2</f>
        <v>0</v>
      </c>
    </row>
    <row r="381" spans="1:11" x14ac:dyDescent="0.3">
      <c r="A381" s="116" t="s">
        <v>249</v>
      </c>
      <c r="B381" s="129">
        <f>'Free Spins Symbol'!$V$18</f>
        <v>100</v>
      </c>
      <c r="C381" s="117">
        <f>VLOOKUP(MID($A381,4,2),'Free Spins Symbol'!$T$2:$Z$29,4,0)</f>
        <v>13</v>
      </c>
      <c r="D381" s="117">
        <f>VLOOKUP(MID($A381,7,2),'Free Spins Symbol'!$T$2:$Z$29,5,0)</f>
        <v>1</v>
      </c>
      <c r="E381" s="117">
        <f>VLOOKUP(MID($A381,10,2),'Free Spins Symbol'!$T$2:$Z$29,6,0)</f>
        <v>7</v>
      </c>
      <c r="F381" s="129">
        <f>'Free Spins Symbol'!$Z$18</f>
        <v>48</v>
      </c>
      <c r="G381" s="100">
        <f>B381*C381*D381*E381*F381-G375</f>
        <v>436800</v>
      </c>
      <c r="H381" s="118">
        <f t="shared" si="71"/>
        <v>787.69230769230774</v>
      </c>
      <c r="I381" s="100">
        <v>100</v>
      </c>
      <c r="J381" s="119">
        <f t="shared" ref="J381:J389" si="73">K381*I381</f>
        <v>0.126953125</v>
      </c>
      <c r="K381" s="120">
        <f t="shared" ref="K381:K389" si="74">G381/B$2</f>
        <v>1.26953125E-3</v>
      </c>
    </row>
    <row r="382" spans="1:11" x14ac:dyDescent="0.3">
      <c r="A382" s="116" t="s">
        <v>250</v>
      </c>
      <c r="B382" s="129">
        <f>'Free Spins Symbol'!$V$18</f>
        <v>100</v>
      </c>
      <c r="C382" s="117">
        <f>VLOOKUP(MID($A382,4,2),'Free Spins Symbol'!$T$2:$Z$29,4,0)</f>
        <v>1</v>
      </c>
      <c r="D382" s="117">
        <f>VLOOKUP(MID($A382,7,2),'Free Spins Symbol'!$T$2:$Z$29,5,0)</f>
        <v>9</v>
      </c>
      <c r="E382" s="117">
        <f>VLOOKUP(MID($A382,10,2),'Free Spins Symbol'!$T$2:$Z$29,6,0)</f>
        <v>1</v>
      </c>
      <c r="F382" s="129">
        <f>'Free Spins Symbol'!$Z$18</f>
        <v>48</v>
      </c>
      <c r="G382" s="100">
        <f>B382*C382*D382*E382*F382-G375</f>
        <v>43200</v>
      </c>
      <c r="H382" s="118">
        <f t="shared" si="71"/>
        <v>7964.4444444444443</v>
      </c>
      <c r="I382" s="100">
        <v>100</v>
      </c>
      <c r="J382" s="119">
        <f t="shared" si="73"/>
        <v>1.255580357142857E-2</v>
      </c>
      <c r="K382" s="120">
        <f t="shared" si="74"/>
        <v>1.255580357142857E-4</v>
      </c>
    </row>
    <row r="383" spans="1:11" x14ac:dyDescent="0.3">
      <c r="A383" s="116" t="s">
        <v>251</v>
      </c>
      <c r="B383" s="129">
        <f>'Free Spins Symbol'!$V$18</f>
        <v>100</v>
      </c>
      <c r="C383" s="117">
        <f>VLOOKUP(MID($A383,4,2),'Free Spins Symbol'!$T$2:$Z$29,4,0)</f>
        <v>13</v>
      </c>
      <c r="D383" s="117">
        <f>VLOOKUP(MID($A383,7,2),'Free Spins Symbol'!$T$2:$Z$29,5,0)</f>
        <v>9</v>
      </c>
      <c r="E383" s="117">
        <f>VLOOKUP(MID($A383,10,2),'Free Spins Symbol'!$T$2:$Z$29,6,0)</f>
        <v>1</v>
      </c>
      <c r="F383" s="129">
        <f>'Free Spins Symbol'!$Z$18</f>
        <v>48</v>
      </c>
      <c r="G383" s="100">
        <f>B383*C383*D383*E383*F383-G375</f>
        <v>561600</v>
      </c>
      <c r="H383" s="118">
        <f t="shared" si="71"/>
        <v>612.64957264957263</v>
      </c>
      <c r="I383" s="100">
        <v>100</v>
      </c>
      <c r="J383" s="119">
        <f t="shared" si="73"/>
        <v>0.16322544642857142</v>
      </c>
      <c r="K383" s="120">
        <f t="shared" si="74"/>
        <v>1.6322544642857143E-3</v>
      </c>
    </row>
    <row r="384" spans="1:11" x14ac:dyDescent="0.3">
      <c r="A384" s="116" t="s">
        <v>252</v>
      </c>
      <c r="B384" s="129">
        <f>'Free Spins Symbol'!$V$18</f>
        <v>100</v>
      </c>
      <c r="C384" s="117">
        <f>VLOOKUP(MID($A384,4,2),'Free Spins Symbol'!$T$2:$Z$29,4,0)</f>
        <v>13</v>
      </c>
      <c r="D384" s="117">
        <f>VLOOKUP(MID($A384,7,2),'Free Spins Symbol'!$T$2:$Z$29,5,0)</f>
        <v>1</v>
      </c>
      <c r="E384" s="117">
        <f>VLOOKUP(MID($A384,10,2),'Free Spins Symbol'!$T$2:$Z$29,6,0)</f>
        <v>8</v>
      </c>
      <c r="F384" s="129">
        <f>'Free Spins Symbol'!$Z$18</f>
        <v>48</v>
      </c>
      <c r="G384" s="100">
        <f>(B384*C384*D384*E384-B380*C380*D380*E380)*F384</f>
        <v>499200</v>
      </c>
      <c r="H384" s="118">
        <f t="shared" si="71"/>
        <v>689.23076923076928</v>
      </c>
      <c r="I384" s="100">
        <v>100</v>
      </c>
      <c r="J384" s="119">
        <f t="shared" si="73"/>
        <v>0.14508928571428573</v>
      </c>
      <c r="K384" s="120">
        <f t="shared" si="74"/>
        <v>1.4508928571428572E-3</v>
      </c>
    </row>
    <row r="385" spans="1:11" x14ac:dyDescent="0.3">
      <c r="A385" s="116" t="s">
        <v>253</v>
      </c>
      <c r="B385" s="129">
        <f>'Free Spins Symbol'!$V$18</f>
        <v>100</v>
      </c>
      <c r="C385" s="117">
        <f>VLOOKUP(MID($A385,4,2),'Free Spins Symbol'!$T$2:$Z$29,4,0)</f>
        <v>2</v>
      </c>
      <c r="D385" s="117">
        <f>VLOOKUP(MID($A385,7,2),'Free Spins Symbol'!$T$2:$Z$29,5,0)</f>
        <v>10</v>
      </c>
      <c r="E385" s="117">
        <f>VLOOKUP(MID($A385,10,2),'Free Spins Symbol'!$T$2:$Z$29,6,0)</f>
        <v>7</v>
      </c>
      <c r="F385" s="129">
        <f>'Free Spins Symbol'!$Z$18</f>
        <v>48</v>
      </c>
      <c r="G385" s="100">
        <f>B385*C385*D385*E385*F385-G375</f>
        <v>672000</v>
      </c>
      <c r="H385" s="118">
        <f t="shared" si="71"/>
        <v>512</v>
      </c>
      <c r="I385" s="100">
        <v>100</v>
      </c>
      <c r="J385" s="119">
        <f t="shared" si="73"/>
        <v>0.1953125</v>
      </c>
      <c r="K385" s="120">
        <f t="shared" si="74"/>
        <v>1.953125E-3</v>
      </c>
    </row>
    <row r="386" spans="1:11" x14ac:dyDescent="0.3">
      <c r="A386" s="116" t="s">
        <v>255</v>
      </c>
      <c r="B386" s="129">
        <f>'Free Spins Symbol'!$V$18</f>
        <v>100</v>
      </c>
      <c r="C386" s="117">
        <f>VLOOKUP(MID($A386,4,2),'Free Spins Symbol'!$T$2:$Z$29,4,0)</f>
        <v>2</v>
      </c>
      <c r="D386" s="117">
        <f>VLOOKUP(MID($A386,7,2),'Free Spins Symbol'!$T$2:$Z$29,5,0)</f>
        <v>2</v>
      </c>
      <c r="E386" s="117">
        <f>VLOOKUP(MID($A386,10,2),'Free Spins Symbol'!$T$2:$Z$29,6,0)</f>
        <v>1</v>
      </c>
      <c r="F386" s="129">
        <f>'Free Spins Symbol'!$Z$18</f>
        <v>48</v>
      </c>
      <c r="G386" s="100">
        <f>(B386*C386*D386*E386-B380*C380*D380*E380)*(F386-F376)</f>
        <v>0</v>
      </c>
      <c r="H386" s="118" t="e">
        <f t="shared" si="71"/>
        <v>#DIV/0!</v>
      </c>
      <c r="I386" s="100">
        <v>50</v>
      </c>
      <c r="J386" s="119">
        <f t="shared" si="73"/>
        <v>0</v>
      </c>
      <c r="K386" s="120">
        <f t="shared" si="74"/>
        <v>0</v>
      </c>
    </row>
    <row r="387" spans="1:11" x14ac:dyDescent="0.3">
      <c r="A387" s="116" t="s">
        <v>256</v>
      </c>
      <c r="B387" s="129">
        <f>'Free Spins Symbol'!$V$18</f>
        <v>100</v>
      </c>
      <c r="C387" s="117">
        <f>VLOOKUP(MID($A387,4,2),'Free Spins Symbol'!$T$2:$Z$29,4,0)</f>
        <v>2</v>
      </c>
      <c r="D387" s="117">
        <f>VLOOKUP(MID($A387,7,2),'Free Spins Symbol'!$T$2:$Z$29,5,0)</f>
        <v>3</v>
      </c>
      <c r="E387" s="117">
        <f>VLOOKUP(MID($A387,10,2),'Free Spins Symbol'!$T$2:$Z$29,6,0)</f>
        <v>1</v>
      </c>
      <c r="F387" s="129">
        <f>'Free Spins Symbol'!$Z$18</f>
        <v>48</v>
      </c>
      <c r="G387" s="100">
        <f>(B387*C387*D387*E387-B380*C380*D380*E380)*(F387-F377)</f>
        <v>0</v>
      </c>
      <c r="H387" s="118" t="e">
        <f t="shared" si="71"/>
        <v>#DIV/0!</v>
      </c>
      <c r="I387" s="100">
        <v>50</v>
      </c>
      <c r="J387" s="119">
        <f t="shared" si="73"/>
        <v>0</v>
      </c>
      <c r="K387" s="120">
        <f t="shared" si="74"/>
        <v>0</v>
      </c>
    </row>
    <row r="388" spans="1:11" x14ac:dyDescent="0.3">
      <c r="A388" s="116" t="s">
        <v>257</v>
      </c>
      <c r="B388" s="129">
        <f>'Free Spins Symbol'!$V$18</f>
        <v>100</v>
      </c>
      <c r="C388" s="117">
        <f>VLOOKUP(MID($A388,4,2),'Free Spins Symbol'!$T$2:$Z$29,4,0)</f>
        <v>4</v>
      </c>
      <c r="D388" s="117">
        <f>VLOOKUP(MID($A388,7,2),'Free Spins Symbol'!$T$2:$Z$29,5,0)</f>
        <v>2</v>
      </c>
      <c r="E388" s="117">
        <f>VLOOKUP(MID($A388,10,2),'Free Spins Symbol'!$T$2:$Z$29,6,0)</f>
        <v>1</v>
      </c>
      <c r="F388" s="129">
        <f>'Free Spins Symbol'!$Z$18</f>
        <v>48</v>
      </c>
      <c r="G388" s="100">
        <f>(B388*C388*D388*E388-B380*C380*D380*E380)*(F388-F378)</f>
        <v>0</v>
      </c>
      <c r="H388" s="118" t="e">
        <f t="shared" si="71"/>
        <v>#DIV/0!</v>
      </c>
      <c r="I388" s="100">
        <v>30</v>
      </c>
      <c r="J388" s="119">
        <f t="shared" si="73"/>
        <v>0</v>
      </c>
      <c r="K388" s="120">
        <f t="shared" si="74"/>
        <v>0</v>
      </c>
    </row>
    <row r="389" spans="1:11" x14ac:dyDescent="0.3">
      <c r="A389" s="116" t="s">
        <v>258</v>
      </c>
      <c r="B389" s="129">
        <f>'Free Spins Symbol'!$V$18</f>
        <v>100</v>
      </c>
      <c r="C389" s="117">
        <f>VLOOKUP(MID($A389,4,2),'Free Spins Symbol'!$T$2:$Z$29,4,0)</f>
        <v>4</v>
      </c>
      <c r="D389" s="117">
        <f>VLOOKUP(MID($A389,7,2),'Free Spins Symbol'!$T$2:$Z$29,5,0)</f>
        <v>2</v>
      </c>
      <c r="E389" s="117">
        <f>VLOOKUP(MID($A389,10,2),'Free Spins Symbol'!$T$2:$Z$29,6,0)</f>
        <v>1</v>
      </c>
      <c r="F389" s="129">
        <f>'Free Spins Symbol'!$Z$18</f>
        <v>48</v>
      </c>
      <c r="G389" s="100">
        <f>(B389*C389*D389*E389-B380*C380*D380*E380)*(F389-F379)</f>
        <v>0</v>
      </c>
      <c r="H389" s="118" t="e">
        <f t="shared" si="71"/>
        <v>#DIV/0!</v>
      </c>
      <c r="I389" s="100">
        <v>30</v>
      </c>
      <c r="J389" s="119">
        <f t="shared" si="73"/>
        <v>0</v>
      </c>
      <c r="K389" s="120">
        <f t="shared" si="74"/>
        <v>0</v>
      </c>
    </row>
    <row r="390" spans="1:11" x14ac:dyDescent="0.3">
      <c r="A390" s="116" t="s">
        <v>264</v>
      </c>
      <c r="B390" s="129">
        <f>'Free Spins Symbol'!$V$18</f>
        <v>100</v>
      </c>
      <c r="C390" s="117">
        <f>VLOOKUP(MID($A390,4,2),'Free Spins Symbol'!$T$2:$Z$29,4,0)</f>
        <v>0</v>
      </c>
      <c r="D390" s="117">
        <f>VLOOKUP(MID($A390,7,2),'Free Spins Symbol'!$T$2:$Z$29,5,0)</f>
        <v>0</v>
      </c>
      <c r="E390" s="117">
        <f>VLOOKUP(MID($A390,10,2),'Free Spins Symbol'!$T$2:$Z$29,6,0)</f>
        <v>32</v>
      </c>
      <c r="F390" s="129">
        <f>'Free Spins Symbol'!$Z$18</f>
        <v>48</v>
      </c>
      <c r="G390" s="100">
        <f>(B390*C390*D390)*(E390*F390-(E389+E388+E387+E386-3*E380)*F380-(E385-E380)*F385-(E384-E380)*F384-(E383-E380)*F383-(E382-E380)*F382-(E381-E380)*F381)</f>
        <v>0</v>
      </c>
      <c r="H390" s="118" t="e">
        <f t="shared" si="71"/>
        <v>#DIV/0!</v>
      </c>
      <c r="I390" s="100">
        <v>20</v>
      </c>
      <c r="J390" s="119">
        <f>K390*I390</f>
        <v>0</v>
      </c>
      <c r="K390" s="120">
        <f>G390/B$2</f>
        <v>0</v>
      </c>
    </row>
    <row r="391" spans="1:11" x14ac:dyDescent="0.3">
      <c r="A391" s="116" t="s">
        <v>259</v>
      </c>
      <c r="B391" s="129">
        <f>'Free Spins Symbol'!$V$18</f>
        <v>100</v>
      </c>
      <c r="C391" s="117">
        <f>VLOOKUP(MID($A391,4,2),'Free Spins Symbol'!$T$2:$Z$29,4,0)</f>
        <v>13</v>
      </c>
      <c r="D391" s="117">
        <f>VLOOKUP(MID($A391,7,2),'Free Spins Symbol'!$T$2:$Z$29,5,0)</f>
        <v>1</v>
      </c>
      <c r="E391" s="117">
        <f>VLOOKUP(MID($A391,10,2),'Free Spins Symbol'!$T$2:$Z$29,6,0)</f>
        <v>7</v>
      </c>
      <c r="F391" s="129">
        <f>'Free Spins Symbol'!$Z$18</f>
        <v>48</v>
      </c>
      <c r="G391" s="100">
        <f>B391*C391*D391*E391*(F391-F381)</f>
        <v>0</v>
      </c>
      <c r="H391" s="118" t="e">
        <f t="shared" si="71"/>
        <v>#DIV/0!</v>
      </c>
      <c r="I391" s="100">
        <v>20</v>
      </c>
      <c r="J391" s="119">
        <f t="shared" ref="J391:J410" si="75">K391*I391</f>
        <v>0</v>
      </c>
      <c r="K391" s="120">
        <f t="shared" ref="K391:K410" si="76">G391/B$2</f>
        <v>0</v>
      </c>
    </row>
    <row r="392" spans="1:11" x14ac:dyDescent="0.3">
      <c r="A392" s="116" t="s">
        <v>260</v>
      </c>
      <c r="B392" s="129">
        <f>'Free Spins Symbol'!$V$18</f>
        <v>100</v>
      </c>
      <c r="C392" s="117">
        <f>VLOOKUP(MID($A392,4,2),'Free Spins Symbol'!$T$2:$Z$29,4,0)</f>
        <v>1</v>
      </c>
      <c r="D392" s="117">
        <f>VLOOKUP(MID($A392,7,2),'Free Spins Symbol'!$T$2:$Z$29,5,0)</f>
        <v>9</v>
      </c>
      <c r="E392" s="117">
        <f>VLOOKUP(MID($A392,10,2),'Free Spins Symbol'!$T$2:$Z$29,6,0)</f>
        <v>1</v>
      </c>
      <c r="F392" s="129">
        <f>'Free Spins Symbol'!$Z$18</f>
        <v>48</v>
      </c>
      <c r="G392" s="100">
        <f t="shared" ref="G392:G395" si="77">B392*C392*D392*E392*(F392-F382)</f>
        <v>0</v>
      </c>
      <c r="H392" s="118" t="e">
        <f t="shared" si="71"/>
        <v>#DIV/0!</v>
      </c>
      <c r="I392" s="100">
        <v>20</v>
      </c>
      <c r="J392" s="119">
        <f t="shared" si="75"/>
        <v>0</v>
      </c>
      <c r="K392" s="120">
        <f t="shared" si="76"/>
        <v>0</v>
      </c>
    </row>
    <row r="393" spans="1:11" x14ac:dyDescent="0.3">
      <c r="A393" s="116" t="s">
        <v>261</v>
      </c>
      <c r="B393" s="129">
        <f>'Free Spins Symbol'!$V$18</f>
        <v>100</v>
      </c>
      <c r="C393" s="117">
        <f>VLOOKUP(MID($A393,4,2),'Free Spins Symbol'!$T$2:$Z$29,4,0)</f>
        <v>13</v>
      </c>
      <c r="D393" s="117">
        <f>VLOOKUP(MID($A393,7,2),'Free Spins Symbol'!$T$2:$Z$29,5,0)</f>
        <v>9</v>
      </c>
      <c r="E393" s="117">
        <f>VLOOKUP(MID($A393,10,2),'Free Spins Symbol'!$T$2:$Z$29,6,0)</f>
        <v>1</v>
      </c>
      <c r="F393" s="129">
        <f>'Free Spins Symbol'!$Z$18</f>
        <v>48</v>
      </c>
      <c r="G393" s="100">
        <f t="shared" si="77"/>
        <v>0</v>
      </c>
      <c r="H393" s="118" t="e">
        <f t="shared" si="71"/>
        <v>#DIV/0!</v>
      </c>
      <c r="I393" s="100">
        <v>20</v>
      </c>
      <c r="J393" s="119">
        <f t="shared" si="75"/>
        <v>0</v>
      </c>
      <c r="K393" s="120">
        <f t="shared" si="76"/>
        <v>0</v>
      </c>
    </row>
    <row r="394" spans="1:11" x14ac:dyDescent="0.3">
      <c r="A394" s="116" t="s">
        <v>262</v>
      </c>
      <c r="B394" s="129">
        <f>'Free Spins Symbol'!$V$18</f>
        <v>100</v>
      </c>
      <c r="C394" s="117">
        <f>VLOOKUP(MID($A394,4,2),'Free Spins Symbol'!$T$2:$Z$29,4,0)</f>
        <v>13</v>
      </c>
      <c r="D394" s="117">
        <f>VLOOKUP(MID($A394,7,2),'Free Spins Symbol'!$T$2:$Z$29,5,0)</f>
        <v>1</v>
      </c>
      <c r="E394" s="117">
        <f>VLOOKUP(MID($A394,10,2),'Free Spins Symbol'!$T$2:$Z$29,6,0)</f>
        <v>8</v>
      </c>
      <c r="F394" s="129">
        <f>'Free Spins Symbol'!$Z$18</f>
        <v>48</v>
      </c>
      <c r="G394" s="100">
        <f t="shared" si="77"/>
        <v>0</v>
      </c>
      <c r="H394" s="118" t="e">
        <f t="shared" si="71"/>
        <v>#DIV/0!</v>
      </c>
      <c r="I394" s="100">
        <v>20</v>
      </c>
      <c r="J394" s="119">
        <f t="shared" si="75"/>
        <v>0</v>
      </c>
      <c r="K394" s="120">
        <f t="shared" si="76"/>
        <v>0</v>
      </c>
    </row>
    <row r="395" spans="1:11" x14ac:dyDescent="0.3">
      <c r="A395" s="116" t="s">
        <v>263</v>
      </c>
      <c r="B395" s="129">
        <f>'Free Spins Symbol'!$V$18</f>
        <v>100</v>
      </c>
      <c r="C395" s="117">
        <f>VLOOKUP(MID($A395,4,2),'Free Spins Symbol'!$T$2:$Z$29,4,0)</f>
        <v>2</v>
      </c>
      <c r="D395" s="117">
        <f>VLOOKUP(MID($A395,7,2),'Free Spins Symbol'!$T$2:$Z$29,5,0)</f>
        <v>10</v>
      </c>
      <c r="E395" s="117">
        <f>VLOOKUP(MID($A395,10,2),'Free Spins Symbol'!$T$2:$Z$29,6,0)</f>
        <v>7</v>
      </c>
      <c r="F395" s="129">
        <f>'Free Spins Symbol'!$Z$18</f>
        <v>48</v>
      </c>
      <c r="G395" s="100">
        <f t="shared" si="77"/>
        <v>0</v>
      </c>
      <c r="H395" s="118" t="e">
        <f t="shared" si="71"/>
        <v>#DIV/0!</v>
      </c>
      <c r="I395" s="100">
        <v>20</v>
      </c>
      <c r="J395" s="119">
        <f t="shared" si="75"/>
        <v>0</v>
      </c>
      <c r="K395" s="120">
        <f t="shared" si="76"/>
        <v>0</v>
      </c>
    </row>
    <row r="396" spans="1:11" x14ac:dyDescent="0.3">
      <c r="A396" s="116" t="s">
        <v>265</v>
      </c>
      <c r="B396" s="129">
        <f>'Free Spins Symbol'!$V$18</f>
        <v>100</v>
      </c>
      <c r="C396" s="117">
        <f>VLOOKUP(MID($A396,4,2),'Free Spins Symbol'!$T$2:$Z$29,4,0)</f>
        <v>2</v>
      </c>
      <c r="D396" s="117">
        <f>VLOOKUP(MID($A396,7,2),'Free Spins Symbol'!$T$2:$Z$29,5,0)</f>
        <v>2</v>
      </c>
      <c r="E396" s="117">
        <f>VLOOKUP(MID($A396,10,2),'Free Spins Symbol'!$T$2:$Z$29,6,0)</f>
        <v>32</v>
      </c>
      <c r="F396" s="129">
        <f>'Free Spins Symbol'!$Z$18</f>
        <v>48</v>
      </c>
      <c r="G396" s="100">
        <f>(B396*C396*D396)*(E396-E386)*F396</f>
        <v>595200</v>
      </c>
      <c r="H396" s="118">
        <f t="shared" si="71"/>
        <v>578.06451612903231</v>
      </c>
      <c r="I396" s="100">
        <v>20</v>
      </c>
      <c r="J396" s="119">
        <f t="shared" si="75"/>
        <v>3.4598214285714288E-2</v>
      </c>
      <c r="K396" s="120">
        <f t="shared" si="76"/>
        <v>1.7299107142857142E-3</v>
      </c>
    </row>
    <row r="397" spans="1:11" x14ac:dyDescent="0.3">
      <c r="A397" s="116" t="s">
        <v>266</v>
      </c>
      <c r="B397" s="129">
        <f>'Free Spins Symbol'!$V$18</f>
        <v>100</v>
      </c>
      <c r="C397" s="117">
        <f>VLOOKUP(MID($A397,4,2),'Free Spins Symbol'!$T$2:$Z$29,4,0)</f>
        <v>2</v>
      </c>
      <c r="D397" s="117">
        <f>VLOOKUP(MID($A397,7,2),'Free Spins Symbol'!$T$2:$Z$29,5,0)</f>
        <v>3</v>
      </c>
      <c r="E397" s="117">
        <f>VLOOKUP(MID($A397,10,2),'Free Spins Symbol'!$T$2:$Z$29,6,0)</f>
        <v>32</v>
      </c>
      <c r="F397" s="129">
        <f>'Free Spins Symbol'!$Z$18</f>
        <v>48</v>
      </c>
      <c r="G397" s="100">
        <f>(B397*C397*D397)*(E397-E387)*F397</f>
        <v>892800</v>
      </c>
      <c r="H397" s="118">
        <f t="shared" si="71"/>
        <v>385.3763440860215</v>
      </c>
      <c r="I397" s="100">
        <v>20</v>
      </c>
      <c r="J397" s="119">
        <f t="shared" si="75"/>
        <v>5.1897321428571425E-2</v>
      </c>
      <c r="K397" s="120">
        <f t="shared" si="76"/>
        <v>2.5948660714285713E-3</v>
      </c>
    </row>
    <row r="398" spans="1:11" x14ac:dyDescent="0.3">
      <c r="A398" s="116" t="s">
        <v>267</v>
      </c>
      <c r="B398" s="129">
        <f>'Free Spins Symbol'!$V$18</f>
        <v>100</v>
      </c>
      <c r="C398" s="117">
        <f>VLOOKUP(MID($A398,4,2),'Free Spins Symbol'!$T$2:$Z$29,4,0)</f>
        <v>4</v>
      </c>
      <c r="D398" s="117">
        <f>VLOOKUP(MID($A398,7,2),'Free Spins Symbol'!$T$2:$Z$29,5,0)</f>
        <v>2</v>
      </c>
      <c r="E398" s="117">
        <f>VLOOKUP(MID($A398,10,2),'Free Spins Symbol'!$T$2:$Z$29,6,0)</f>
        <v>32</v>
      </c>
      <c r="F398" s="129">
        <f>'Free Spins Symbol'!$Z$18</f>
        <v>48</v>
      </c>
      <c r="G398" s="100">
        <f>(B398*C398*D398-B390*C390*D390)*(E398-E388)*F398</f>
        <v>1190400</v>
      </c>
      <c r="H398" s="118">
        <f t="shared" si="71"/>
        <v>289.03225806451616</v>
      </c>
      <c r="I398" s="100">
        <v>10</v>
      </c>
      <c r="J398" s="119">
        <f t="shared" si="75"/>
        <v>3.4598214285714288E-2</v>
      </c>
      <c r="K398" s="120">
        <f t="shared" si="76"/>
        <v>3.4598214285714284E-3</v>
      </c>
    </row>
    <row r="399" spans="1:11" x14ac:dyDescent="0.3">
      <c r="A399" s="116" t="s">
        <v>268</v>
      </c>
      <c r="B399" s="129">
        <f>'Free Spins Symbol'!$V$18</f>
        <v>100</v>
      </c>
      <c r="C399" s="117">
        <f>VLOOKUP(MID($A399,4,2),'Free Spins Symbol'!$T$2:$Z$29,4,0)</f>
        <v>4</v>
      </c>
      <c r="D399" s="117">
        <f>VLOOKUP(MID($A399,7,2),'Free Spins Symbol'!$T$2:$Z$29,5,0)</f>
        <v>2</v>
      </c>
      <c r="E399" s="117">
        <f>VLOOKUP(MID($A399,10,2),'Free Spins Symbol'!$T$2:$Z$29,6,0)</f>
        <v>32</v>
      </c>
      <c r="F399" s="129">
        <f>'Free Spins Symbol'!$Z$18</f>
        <v>48</v>
      </c>
      <c r="G399" s="100">
        <f>(B399*C399*D399-B390*C390*D390)*(E399-E389)*F399</f>
        <v>1190400</v>
      </c>
      <c r="H399" s="118">
        <f t="shared" si="71"/>
        <v>289.03225806451616</v>
      </c>
      <c r="I399" s="100">
        <v>10</v>
      </c>
      <c r="J399" s="119">
        <f t="shared" si="75"/>
        <v>3.4598214285714288E-2</v>
      </c>
      <c r="K399" s="120">
        <f t="shared" si="76"/>
        <v>3.4598214285714284E-3</v>
      </c>
    </row>
    <row r="400" spans="1:11" x14ac:dyDescent="0.3">
      <c r="A400" s="116" t="s">
        <v>269</v>
      </c>
      <c r="B400" s="129">
        <f>'Free Spins Symbol'!$V$18</f>
        <v>100</v>
      </c>
      <c r="C400" s="117">
        <f>VLOOKUP(MID($A400,4,2),'Free Spins Symbol'!$T$2:$Z$29,4,0)</f>
        <v>13</v>
      </c>
      <c r="D400" s="117">
        <f>VLOOKUP(MID($A400,7,2),'Free Spins Symbol'!$T$2:$Z$29,5,0)</f>
        <v>1</v>
      </c>
      <c r="E400" s="117">
        <f>VLOOKUP(MID($A400,10,2),'Free Spins Symbol'!$T$2:$Z$29,6,0)</f>
        <v>32</v>
      </c>
      <c r="F400" s="129">
        <f>'Free Spins Symbol'!$Z$18</f>
        <v>48</v>
      </c>
      <c r="G400" s="100">
        <f>(B400*C400*D400-B390*C390*D390)*(E400-E391)*F400</f>
        <v>1560000</v>
      </c>
      <c r="H400" s="118">
        <f t="shared" si="71"/>
        <v>220.55384615384617</v>
      </c>
      <c r="I400" s="100">
        <v>5</v>
      </c>
      <c r="J400" s="119">
        <f t="shared" si="75"/>
        <v>2.2670200892857144E-2</v>
      </c>
      <c r="K400" s="120">
        <f t="shared" si="76"/>
        <v>4.5340401785714289E-3</v>
      </c>
    </row>
    <row r="401" spans="1:11" x14ac:dyDescent="0.3">
      <c r="A401" s="116" t="s">
        <v>270</v>
      </c>
      <c r="B401" s="129">
        <f>'Free Spins Symbol'!$V$18</f>
        <v>100</v>
      </c>
      <c r="C401" s="117">
        <f>VLOOKUP(MID($A401,4,2),'Free Spins Symbol'!$T$2:$Z$29,4,0)</f>
        <v>1</v>
      </c>
      <c r="D401" s="117">
        <f>VLOOKUP(MID($A401,7,2),'Free Spins Symbol'!$T$2:$Z$29,5,0)</f>
        <v>9</v>
      </c>
      <c r="E401" s="117">
        <f>VLOOKUP(MID($A401,10,2),'Free Spins Symbol'!$T$2:$Z$29,6,0)</f>
        <v>32</v>
      </c>
      <c r="F401" s="129">
        <f>'Free Spins Symbol'!$Z$18</f>
        <v>48</v>
      </c>
      <c r="G401" s="100">
        <f>(B401*C401*D401-B390*C390*D390)*(E401-E392)*F401</f>
        <v>1339200</v>
      </c>
      <c r="H401" s="118">
        <f t="shared" si="71"/>
        <v>256.91756272401432</v>
      </c>
      <c r="I401" s="100">
        <v>5</v>
      </c>
      <c r="J401" s="119">
        <f t="shared" si="75"/>
        <v>1.9461495535714288E-2</v>
      </c>
      <c r="K401" s="120">
        <f t="shared" si="76"/>
        <v>3.8922991071428572E-3</v>
      </c>
    </row>
    <row r="402" spans="1:11" x14ac:dyDescent="0.3">
      <c r="A402" s="116" t="s">
        <v>271</v>
      </c>
      <c r="B402" s="129">
        <f>'Free Spins Symbol'!$V$18</f>
        <v>100</v>
      </c>
      <c r="C402" s="117">
        <f>VLOOKUP(MID($A402,4,2),'Free Spins Symbol'!$T$2:$Z$29,4,0)</f>
        <v>13</v>
      </c>
      <c r="D402" s="117">
        <f>VLOOKUP(MID($A402,7,2),'Free Spins Symbol'!$T$2:$Z$29,5,0)</f>
        <v>9</v>
      </c>
      <c r="E402" s="117">
        <f>VLOOKUP(MID($A402,10,2),'Free Spins Symbol'!$T$2:$Z$29,6,0)</f>
        <v>32</v>
      </c>
      <c r="F402" s="129">
        <f>'Free Spins Symbol'!$Z$18</f>
        <v>48</v>
      </c>
      <c r="G402" s="100">
        <f>(B402*C402*D402-B390*C390*D390)*(E402-E393)*F402</f>
        <v>17409600</v>
      </c>
      <c r="H402" s="118">
        <f t="shared" si="71"/>
        <v>19.762889440308797</v>
      </c>
      <c r="I402" s="100">
        <v>5</v>
      </c>
      <c r="J402" s="119">
        <f t="shared" si="75"/>
        <v>0.2529994419642857</v>
      </c>
      <c r="K402" s="120">
        <f t="shared" si="76"/>
        <v>5.0599888392857145E-2</v>
      </c>
    </row>
    <row r="403" spans="1:11" x14ac:dyDescent="0.3">
      <c r="A403" s="116" t="s">
        <v>272</v>
      </c>
      <c r="B403" s="129">
        <f>'Free Spins Symbol'!$V$18</f>
        <v>100</v>
      </c>
      <c r="C403" s="117">
        <f>VLOOKUP(MID($A403,4,2),'Free Spins Symbol'!$T$2:$Z$29,4,0)</f>
        <v>13</v>
      </c>
      <c r="D403" s="117">
        <f>VLOOKUP(MID($A403,7,2),'Free Spins Symbol'!$T$2:$Z$29,5,0)</f>
        <v>1</v>
      </c>
      <c r="E403" s="117">
        <f>VLOOKUP(MID($A403,10,2),'Free Spins Symbol'!$T$2:$Z$29,6,0)</f>
        <v>32</v>
      </c>
      <c r="F403" s="129">
        <f>'Free Spins Symbol'!$Z$18</f>
        <v>48</v>
      </c>
      <c r="G403" s="100">
        <f>(B403*C403*D403-B390*C390*D390)*(E403-E394)*F403</f>
        <v>1497600</v>
      </c>
      <c r="H403" s="118">
        <f t="shared" si="71"/>
        <v>229.74358974358975</v>
      </c>
      <c r="I403" s="100">
        <v>5</v>
      </c>
      <c r="J403" s="119">
        <f t="shared" si="75"/>
        <v>2.1763392857142856E-2</v>
      </c>
      <c r="K403" s="120">
        <f t="shared" si="76"/>
        <v>4.3526785714285716E-3</v>
      </c>
    </row>
    <row r="404" spans="1:11" x14ac:dyDescent="0.3">
      <c r="A404" s="116" t="s">
        <v>273</v>
      </c>
      <c r="B404" s="129">
        <f>'Free Spins Symbol'!$V$18</f>
        <v>100</v>
      </c>
      <c r="C404" s="117">
        <f>VLOOKUP(MID($A404,4,2),'Free Spins Symbol'!$T$2:$Z$29,4,0)</f>
        <v>2</v>
      </c>
      <c r="D404" s="117">
        <f>VLOOKUP(MID($A404,7,2),'Free Spins Symbol'!$T$2:$Z$29,5,0)</f>
        <v>10</v>
      </c>
      <c r="E404" s="117">
        <f>VLOOKUP(MID($A404,10,2),'Free Spins Symbol'!$T$2:$Z$29,6,0)</f>
        <v>32</v>
      </c>
      <c r="F404" s="129">
        <f>'Free Spins Symbol'!$Z$18</f>
        <v>48</v>
      </c>
      <c r="G404" s="100">
        <f t="shared" ref="G404" si="78">(B404*C404*D404-B392*C392*D392)*(E404-E395)*F404</f>
        <v>1320000</v>
      </c>
      <c r="H404" s="118">
        <f t="shared" si="71"/>
        <v>260.65454545454543</v>
      </c>
      <c r="I404" s="100">
        <v>5</v>
      </c>
      <c r="J404" s="119">
        <f t="shared" si="75"/>
        <v>1.9182477678571428E-2</v>
      </c>
      <c r="K404" s="120">
        <f t="shared" si="76"/>
        <v>3.8364955357142855E-3</v>
      </c>
    </row>
    <row r="405" spans="1:11" x14ac:dyDescent="0.3">
      <c r="A405" s="116" t="s">
        <v>274</v>
      </c>
      <c r="B405" s="129">
        <f>'Free Spins Symbol'!$V$18</f>
        <v>100</v>
      </c>
      <c r="C405" s="117">
        <f>VLOOKUP(MID($A405,4,2),'Free Spins Symbol'!$T$2:$Z$29,4,0)</f>
        <v>0</v>
      </c>
      <c r="D405" s="117">
        <f>VLOOKUP(MID($A405,7,2),'Free Spins Symbol'!$T$2:$Z$29,5,0)</f>
        <v>40</v>
      </c>
      <c r="E405" s="117">
        <f>VLOOKUP(MID($A405,10,2),'Free Spins Symbol'!$T$2:$Z$29,6,0)</f>
        <v>32</v>
      </c>
      <c r="F405" s="129">
        <f>'Free Spins Symbol'!$Z$18</f>
        <v>48</v>
      </c>
      <c r="G405" s="100">
        <f>B405*C405*(D405-D404-D403-D402-D401-D400-D399-D398-D397-D396+8*D390)*E405*F405</f>
        <v>0</v>
      </c>
      <c r="H405" s="118" t="e">
        <f t="shared" si="71"/>
        <v>#DIV/0!</v>
      </c>
      <c r="I405" s="100">
        <v>5</v>
      </c>
      <c r="J405" s="119">
        <f t="shared" si="75"/>
        <v>0</v>
      </c>
      <c r="K405" s="120">
        <f t="shared" si="76"/>
        <v>0</v>
      </c>
    </row>
    <row r="406" spans="1:11" x14ac:dyDescent="0.3">
      <c r="A406" s="116" t="s">
        <v>275</v>
      </c>
      <c r="B406" s="129">
        <f>'Free Spins Symbol'!$V$18</f>
        <v>100</v>
      </c>
      <c r="C406" s="117">
        <f>VLOOKUP(MID($A406,4,2),'Free Spins Symbol'!$T$2:$Z$29,4,0)</f>
        <v>2</v>
      </c>
      <c r="D406" s="117">
        <f>VLOOKUP(MID($A406,7,2),'Free Spins Symbol'!$T$2:$Z$29,5,0)</f>
        <v>40</v>
      </c>
      <c r="E406" s="117">
        <f>VLOOKUP(MID($A406,10,2),'Free Spins Symbol'!$T$2:$Z$29,6,0)</f>
        <v>32</v>
      </c>
      <c r="F406" s="129">
        <f>'Free Spins Symbol'!$Z$18</f>
        <v>48</v>
      </c>
      <c r="G406" s="100">
        <f>(B406*C406-B405*C405)*(D406-D396)*E406*F406</f>
        <v>11673600</v>
      </c>
      <c r="H406" s="118">
        <f t="shared" si="71"/>
        <v>29.473684210526315</v>
      </c>
      <c r="I406" s="100">
        <v>5</v>
      </c>
      <c r="J406" s="119">
        <f t="shared" si="75"/>
        <v>0.16964285714285712</v>
      </c>
      <c r="K406" s="120">
        <f t="shared" si="76"/>
        <v>3.3928571428571426E-2</v>
      </c>
    </row>
    <row r="407" spans="1:11" x14ac:dyDescent="0.3">
      <c r="A407" s="116" t="s">
        <v>276</v>
      </c>
      <c r="B407" s="129">
        <f>'Free Spins Symbol'!$V$18</f>
        <v>100</v>
      </c>
      <c r="C407" s="117">
        <f>VLOOKUP(MID($A407,4,2),'Free Spins Symbol'!$T$2:$Z$29,4,0)</f>
        <v>2</v>
      </c>
      <c r="D407" s="117">
        <f>VLOOKUP(MID($A407,7,2),'Free Spins Symbol'!$T$2:$Z$29,5,0)</f>
        <v>40</v>
      </c>
      <c r="E407" s="117">
        <f>VLOOKUP(MID($A407,10,2),'Free Spins Symbol'!$T$2:$Z$29,6,0)</f>
        <v>32</v>
      </c>
      <c r="F407" s="129">
        <f>'Free Spins Symbol'!$Z$18</f>
        <v>48</v>
      </c>
      <c r="G407" s="100">
        <f>(B407*C407-B405*C405)*(D407-D397)*E407*F407</f>
        <v>11366400</v>
      </c>
      <c r="H407" s="118">
        <f t="shared" si="71"/>
        <v>30.27027027027027</v>
      </c>
      <c r="I407" s="100">
        <v>5</v>
      </c>
      <c r="J407" s="119">
        <f t="shared" si="75"/>
        <v>0.16517857142857142</v>
      </c>
      <c r="K407" s="120">
        <f t="shared" si="76"/>
        <v>3.3035714285714286E-2</v>
      </c>
    </row>
    <row r="408" spans="1:11" x14ac:dyDescent="0.3">
      <c r="A408" s="116" t="s">
        <v>277</v>
      </c>
      <c r="B408" s="129">
        <f>'Free Spins Symbol'!$V$18</f>
        <v>100</v>
      </c>
      <c r="C408" s="117">
        <f>VLOOKUP(MID($A408,4,2),'Free Spins Symbol'!$T$2:$Z$29,4,0)</f>
        <v>4</v>
      </c>
      <c r="D408" s="117">
        <f>VLOOKUP(MID($A408,7,2),'Free Spins Symbol'!$T$2:$Z$29,5,0)</f>
        <v>40</v>
      </c>
      <c r="E408" s="117">
        <f>VLOOKUP(MID($A408,10,2),'Free Spins Symbol'!$T$2:$Z$29,6,0)</f>
        <v>32</v>
      </c>
      <c r="F408" s="129">
        <f>'Free Spins Symbol'!$Z$18</f>
        <v>48</v>
      </c>
      <c r="G408" s="100">
        <f>(B408*C408-B405*C405)*(D408-D398)*E408*F408</f>
        <v>23347200</v>
      </c>
      <c r="H408" s="118">
        <f t="shared" si="71"/>
        <v>14.736842105263158</v>
      </c>
      <c r="I408" s="100">
        <v>5</v>
      </c>
      <c r="J408" s="119">
        <f t="shared" si="75"/>
        <v>0.33928571428571425</v>
      </c>
      <c r="K408" s="120">
        <f t="shared" si="76"/>
        <v>6.7857142857142852E-2</v>
      </c>
    </row>
    <row r="409" spans="1:11" x14ac:dyDescent="0.3">
      <c r="A409" s="116" t="s">
        <v>278</v>
      </c>
      <c r="B409" s="129">
        <f>'Free Spins Symbol'!$V$18</f>
        <v>100</v>
      </c>
      <c r="C409" s="117">
        <f>VLOOKUP(MID($A409,4,2),'Free Spins Symbol'!$T$2:$Z$29,4,0)</f>
        <v>4</v>
      </c>
      <c r="D409" s="117">
        <f>VLOOKUP(MID($A409,7,2),'Free Spins Symbol'!$T$2:$Z$29,5,0)</f>
        <v>40</v>
      </c>
      <c r="E409" s="117">
        <f>VLOOKUP(MID($A409,10,2),'Free Spins Symbol'!$T$2:$Z$29,6,0)</f>
        <v>32</v>
      </c>
      <c r="F409" s="129">
        <f>'Free Spins Symbol'!$Z$18</f>
        <v>48</v>
      </c>
      <c r="G409" s="100">
        <f>(B409*C409-B405*C405)*(D409-D399)*E409*F409</f>
        <v>23347200</v>
      </c>
      <c r="H409" s="118">
        <f t="shared" si="71"/>
        <v>14.736842105263158</v>
      </c>
      <c r="I409" s="100">
        <v>5</v>
      </c>
      <c r="J409" s="119">
        <f t="shared" si="75"/>
        <v>0.33928571428571425</v>
      </c>
      <c r="K409" s="120">
        <f t="shared" si="76"/>
        <v>6.7857142857142852E-2</v>
      </c>
    </row>
    <row r="410" spans="1:11" x14ac:dyDescent="0.3">
      <c r="A410" s="122" t="s">
        <v>279</v>
      </c>
      <c r="B410" s="117">
        <f>VLOOKUP(MID($A410,1,2),'Free Spins Symbol'!$T$2:$Z$29,3,0)</f>
        <v>100</v>
      </c>
      <c r="C410" s="117">
        <f>VLOOKUP(MID($A410,4,2),'Free Spins Symbol'!$T$2:$Z$29,4,0)</f>
        <v>8</v>
      </c>
      <c r="D410" s="117">
        <f>VLOOKUP(MID($A410,7,2),'Free Spins Symbol'!$T$2:$Z$29,5,0)</f>
        <v>4</v>
      </c>
      <c r="E410" s="117">
        <f>VLOOKUP(MID($A410,10,2),'Free Spins Symbol'!$T$2:$Z$29,6,0)</f>
        <v>16</v>
      </c>
      <c r="F410" s="117">
        <f>VLOOKUP(MID($A410,13,2),'Free Spins Symbol'!$T$2:$Z$29,7,0)</f>
        <v>48</v>
      </c>
      <c r="G410" s="100">
        <f>B410*C410*D410*E410*F410</f>
        <v>2457600</v>
      </c>
      <c r="H410" s="118">
        <f t="shared" si="71"/>
        <v>140</v>
      </c>
      <c r="I410" s="123">
        <v>2</v>
      </c>
      <c r="J410" s="124">
        <f t="shared" si="75"/>
        <v>1.4285714285714285E-2</v>
      </c>
      <c r="K410" s="120">
        <f t="shared" si="76"/>
        <v>7.1428571428571426E-3</v>
      </c>
    </row>
    <row r="412" spans="1:11" ht="16.8" thickBot="1" x14ac:dyDescent="0.35"/>
    <row r="413" spans="1:11" ht="16.8" thickBot="1" x14ac:dyDescent="0.35">
      <c r="A413" s="125" t="s">
        <v>302</v>
      </c>
    </row>
    <row r="414" spans="1:11" ht="16.8" thickBot="1" x14ac:dyDescent="0.35">
      <c r="A414" s="95" t="s">
        <v>280</v>
      </c>
      <c r="B414" s="142">
        <f>B2</f>
        <v>344064000</v>
      </c>
      <c r="C414" s="142"/>
      <c r="D414" s="142"/>
      <c r="E414" s="142"/>
      <c r="F414" s="142"/>
      <c r="G414" s="7"/>
      <c r="H414" s="106"/>
      <c r="I414" s="107" t="s">
        <v>281</v>
      </c>
      <c r="J414" s="108">
        <f>SUM(J416:J450)</f>
        <v>23.478906250000005</v>
      </c>
      <c r="K414" s="126">
        <f>SUM(K416:K451)</f>
        <v>1.4685100446428572</v>
      </c>
    </row>
    <row r="415" spans="1:11" ht="33" thickBot="1" x14ac:dyDescent="0.35">
      <c r="A415" s="109" t="s">
        <v>233</v>
      </c>
      <c r="B415" s="110" t="s">
        <v>234</v>
      </c>
      <c r="C415" s="110" t="s">
        <v>235</v>
      </c>
      <c r="D415" s="110" t="s">
        <v>236</v>
      </c>
      <c r="E415" s="110" t="s">
        <v>237</v>
      </c>
      <c r="F415" s="110" t="s">
        <v>238</v>
      </c>
      <c r="G415" s="111" t="s">
        <v>239</v>
      </c>
      <c r="H415" s="112" t="s">
        <v>240</v>
      </c>
      <c r="I415" s="113" t="s">
        <v>241</v>
      </c>
      <c r="J415" s="114" t="s">
        <v>242</v>
      </c>
      <c r="K415" s="115" t="s">
        <v>243</v>
      </c>
    </row>
    <row r="416" spans="1:11" x14ac:dyDescent="0.3">
      <c r="A416" s="116" t="s">
        <v>244</v>
      </c>
      <c r="B416" s="117">
        <f>VLOOKUP(MID($A416,1,2),'Free Spins Symbol'!$T$2:$Z$29,3,0)</f>
        <v>18</v>
      </c>
      <c r="C416" s="129">
        <f>'Free Spins Symbol'!$W$18</f>
        <v>56</v>
      </c>
      <c r="D416" s="129">
        <f>'Free Spins Symbol'!$X$18</f>
        <v>40</v>
      </c>
      <c r="E416" s="117">
        <f>VLOOKUP(MID($A416,10,2),'Free Spins Symbol'!$T$2:$Z$29,6,0)</f>
        <v>0</v>
      </c>
      <c r="F416" s="117">
        <f>VLOOKUP(MID($A416,13,2),'Free Spins Symbol'!$T$2:$Z$29,7,0)</f>
        <v>0</v>
      </c>
      <c r="G416" s="100">
        <f>B416*C416*D416*E416*F416</f>
        <v>0</v>
      </c>
      <c r="H416" s="118" t="e">
        <f>B$2/G416</f>
        <v>#DIV/0!</v>
      </c>
      <c r="I416" s="100">
        <v>500</v>
      </c>
      <c r="J416" s="119">
        <f t="shared" ref="J416:J420" si="79">K416*I416</f>
        <v>0</v>
      </c>
      <c r="K416" s="120">
        <f>G416/B$2</f>
        <v>0</v>
      </c>
    </row>
    <row r="417" spans="1:11" x14ac:dyDescent="0.3">
      <c r="A417" s="116" t="s">
        <v>245</v>
      </c>
      <c r="B417" s="117">
        <f>VLOOKUP(MID($A417,1,2),'Free Spins Symbol'!$T$2:$Z$29,3,0)</f>
        <v>20</v>
      </c>
      <c r="C417" s="129">
        <f>'Free Spins Symbol'!$W$18</f>
        <v>56</v>
      </c>
      <c r="D417" s="129">
        <f>'Free Spins Symbol'!$X$18</f>
        <v>40</v>
      </c>
      <c r="E417" s="117">
        <f>VLOOKUP(MID($A417,10,2),'Free Spins Symbol'!$T$2:$Z$29,6,0)</f>
        <v>1</v>
      </c>
      <c r="F417" s="117">
        <f>VLOOKUP(MID($A417,13,2),'Free Spins Symbol'!$T$2:$Z$29,7,0)</f>
        <v>1</v>
      </c>
      <c r="G417" s="100">
        <f>B417*C417*D417*E417*F417-G416</f>
        <v>44800</v>
      </c>
      <c r="H417" s="118">
        <f t="shared" ref="H417:H450" si="80">B$2/G417</f>
        <v>7680</v>
      </c>
      <c r="I417" s="100">
        <v>250</v>
      </c>
      <c r="J417" s="119">
        <f t="shared" si="79"/>
        <v>3.2552083333333336E-2</v>
      </c>
      <c r="K417" s="120">
        <f t="shared" ref="K417:K420" si="81">G417/B$2</f>
        <v>1.3020833333333333E-4</v>
      </c>
    </row>
    <row r="418" spans="1:11" x14ac:dyDescent="0.3">
      <c r="A418" s="116" t="s">
        <v>246</v>
      </c>
      <c r="B418" s="117">
        <f>VLOOKUP(MID($A418,1,2),'Free Spins Symbol'!$T$2:$Z$29,3,0)</f>
        <v>22</v>
      </c>
      <c r="C418" s="129">
        <f>'Free Spins Symbol'!$W$18</f>
        <v>56</v>
      </c>
      <c r="D418" s="129">
        <f>'Free Spins Symbol'!$X$18</f>
        <v>40</v>
      </c>
      <c r="E418" s="117">
        <f>VLOOKUP(MID($A418,10,2),'Free Spins Symbol'!$T$2:$Z$29,6,0)</f>
        <v>1</v>
      </c>
      <c r="F418" s="117">
        <f>VLOOKUP(MID($A418,13,2),'Free Spins Symbol'!$T$2:$Z$29,7,0)</f>
        <v>1</v>
      </c>
      <c r="G418" s="100">
        <f>B418*C418*D418*E418*F418-G416</f>
        <v>49280</v>
      </c>
      <c r="H418" s="118">
        <f t="shared" si="80"/>
        <v>6981.818181818182</v>
      </c>
      <c r="I418" s="100">
        <v>250</v>
      </c>
      <c r="J418" s="119">
        <f t="shared" si="79"/>
        <v>3.5807291666666664E-2</v>
      </c>
      <c r="K418" s="120">
        <f t="shared" si="81"/>
        <v>1.4322916666666667E-4</v>
      </c>
    </row>
    <row r="419" spans="1:11" x14ac:dyDescent="0.3">
      <c r="A419" s="116" t="s">
        <v>247</v>
      </c>
      <c r="B419" s="117">
        <f>VLOOKUP(MID($A419,1,2),'Free Spins Symbol'!$T$2:$Z$29,3,0)</f>
        <v>24</v>
      </c>
      <c r="C419" s="129">
        <f>'Free Spins Symbol'!$W$18</f>
        <v>56</v>
      </c>
      <c r="D419" s="129">
        <f>'Free Spins Symbol'!$X$18</f>
        <v>40</v>
      </c>
      <c r="E419" s="117">
        <f>VLOOKUP(MID($A419,10,2),'Free Spins Symbol'!$T$2:$Z$29,6,0)</f>
        <v>1</v>
      </c>
      <c r="F419" s="117">
        <f>VLOOKUP(MID($A419,13,2),'Free Spins Symbol'!$T$2:$Z$29,7,0)</f>
        <v>5</v>
      </c>
      <c r="G419" s="100">
        <f>B419*C419*D419*E419*F419-G416</f>
        <v>268800</v>
      </c>
      <c r="H419" s="118">
        <f t="shared" si="80"/>
        <v>1280</v>
      </c>
      <c r="I419" s="100">
        <v>150</v>
      </c>
      <c r="J419" s="119">
        <f t="shared" si="79"/>
        <v>0.1171875</v>
      </c>
      <c r="K419" s="120">
        <f t="shared" si="81"/>
        <v>7.8125000000000004E-4</v>
      </c>
    </row>
    <row r="420" spans="1:11" x14ac:dyDescent="0.3">
      <c r="A420" s="116" t="s">
        <v>248</v>
      </c>
      <c r="B420" s="117">
        <f>VLOOKUP(MID($A420,1,2),'Free Spins Symbol'!$T$2:$Z$29,3,0)</f>
        <v>24</v>
      </c>
      <c r="C420" s="129">
        <f>'Free Spins Symbol'!$W$18</f>
        <v>56</v>
      </c>
      <c r="D420" s="129">
        <f>'Free Spins Symbol'!$X$18</f>
        <v>40</v>
      </c>
      <c r="E420" s="117">
        <f>VLOOKUP(MID($A420,10,2),'Free Spins Symbol'!$T$2:$Z$29,6,0)</f>
        <v>1</v>
      </c>
      <c r="F420" s="117">
        <f>VLOOKUP(MID($A420,13,2),'Free Spins Symbol'!$T$2:$Z$29,7,0)</f>
        <v>5</v>
      </c>
      <c r="G420" s="100">
        <f>B420*C420*D420*E420*F420-G416</f>
        <v>268800</v>
      </c>
      <c r="H420" s="118">
        <f t="shared" si="80"/>
        <v>1280</v>
      </c>
      <c r="I420" s="100">
        <v>150</v>
      </c>
      <c r="J420" s="119">
        <f t="shared" si="79"/>
        <v>0.1171875</v>
      </c>
      <c r="K420" s="120">
        <f t="shared" si="81"/>
        <v>7.8125000000000004E-4</v>
      </c>
    </row>
    <row r="421" spans="1:11" x14ac:dyDescent="0.3">
      <c r="A421" s="116" t="s">
        <v>254</v>
      </c>
      <c r="B421" s="117">
        <f>VLOOKUP(MID($A421,1,2),'Free Spins Symbol'!$T$2:$Z$29,3,0)</f>
        <v>18</v>
      </c>
      <c r="C421" s="129">
        <f>'Free Spins Symbol'!$W$18</f>
        <v>56</v>
      </c>
      <c r="D421" s="129">
        <f>'Free Spins Symbol'!$X$18</f>
        <v>40</v>
      </c>
      <c r="E421" s="117">
        <f>VLOOKUP(MID($A421,10,2),'Free Spins Symbol'!$T$2:$Z$29,6,0)</f>
        <v>0</v>
      </c>
      <c r="F421" s="117">
        <f>VLOOKUP(MID($A421,13,2),'Free Spins Symbol'!$T$2:$Z$29,7,0)</f>
        <v>48</v>
      </c>
      <c r="G421" s="100">
        <f>B421*C421*D421*E421*(F421-F420-F419-F418-F417+3*F416)</f>
        <v>0</v>
      </c>
      <c r="H421" s="118" t="e">
        <f t="shared" si="80"/>
        <v>#DIV/0!</v>
      </c>
      <c r="I421" s="100">
        <v>100</v>
      </c>
      <c r="J421" s="119">
        <f>K421*I421</f>
        <v>0</v>
      </c>
      <c r="K421" s="120">
        <f>G421/B$2</f>
        <v>0</v>
      </c>
    </row>
    <row r="422" spans="1:11" x14ac:dyDescent="0.3">
      <c r="A422" s="116" t="s">
        <v>249</v>
      </c>
      <c r="B422" s="117">
        <f>VLOOKUP(MID($A422,1,2),'Free Spins Symbol'!$T$2:$Z$29,3,0)</f>
        <v>38</v>
      </c>
      <c r="C422" s="129">
        <f>'Free Spins Symbol'!$W$18</f>
        <v>56</v>
      </c>
      <c r="D422" s="129">
        <f>'Free Spins Symbol'!$X$18</f>
        <v>40</v>
      </c>
      <c r="E422" s="117">
        <f>VLOOKUP(MID($A422,10,2),'Free Spins Symbol'!$T$2:$Z$29,6,0)</f>
        <v>7</v>
      </c>
      <c r="F422" s="117">
        <f>VLOOKUP(MID($A422,13,2),'Free Spins Symbol'!$T$2:$Z$29,7,0)</f>
        <v>2</v>
      </c>
      <c r="G422" s="100">
        <f>B422*C422*D422*E422*F422-G416</f>
        <v>1191680</v>
      </c>
      <c r="H422" s="118">
        <f t="shared" si="80"/>
        <v>288.72180451127821</v>
      </c>
      <c r="I422" s="100">
        <v>100</v>
      </c>
      <c r="J422" s="119">
        <f t="shared" ref="J422:J430" si="82">K422*I422</f>
        <v>0.34635416666666669</v>
      </c>
      <c r="K422" s="120">
        <f t="shared" ref="K422:K430" si="83">G422/B$2</f>
        <v>3.4635416666666669E-3</v>
      </c>
    </row>
    <row r="423" spans="1:11" x14ac:dyDescent="0.3">
      <c r="A423" s="116" t="s">
        <v>250</v>
      </c>
      <c r="B423" s="117">
        <f>VLOOKUP(MID($A423,1,2),'Free Spins Symbol'!$T$2:$Z$29,3,0)</f>
        <v>35</v>
      </c>
      <c r="C423" s="129">
        <f>'Free Spins Symbol'!$W$18</f>
        <v>56</v>
      </c>
      <c r="D423" s="129">
        <f>'Free Spins Symbol'!$X$18</f>
        <v>40</v>
      </c>
      <c r="E423" s="117">
        <f>VLOOKUP(MID($A423,10,2),'Free Spins Symbol'!$T$2:$Z$29,6,0)</f>
        <v>1</v>
      </c>
      <c r="F423" s="117">
        <f>VLOOKUP(MID($A423,13,2),'Free Spins Symbol'!$T$2:$Z$29,7,0)</f>
        <v>11</v>
      </c>
      <c r="G423" s="100">
        <f>B423*C423*D423*E423*F423-G416</f>
        <v>862400</v>
      </c>
      <c r="H423" s="118">
        <f t="shared" si="80"/>
        <v>398.96103896103898</v>
      </c>
      <c r="I423" s="100">
        <v>100</v>
      </c>
      <c r="J423" s="119">
        <f t="shared" si="82"/>
        <v>0.25065104166666669</v>
      </c>
      <c r="K423" s="120">
        <f t="shared" si="83"/>
        <v>2.5065104166666669E-3</v>
      </c>
    </row>
    <row r="424" spans="1:11" x14ac:dyDescent="0.3">
      <c r="A424" s="116" t="s">
        <v>251</v>
      </c>
      <c r="B424" s="117">
        <f>VLOOKUP(MID($A424,1,2),'Free Spins Symbol'!$T$2:$Z$29,3,0)</f>
        <v>28</v>
      </c>
      <c r="C424" s="129">
        <f>'Free Spins Symbol'!$W$18</f>
        <v>56</v>
      </c>
      <c r="D424" s="129">
        <f>'Free Spins Symbol'!$X$18</f>
        <v>40</v>
      </c>
      <c r="E424" s="117">
        <f>VLOOKUP(MID($A424,10,2),'Free Spins Symbol'!$T$2:$Z$29,6,0)</f>
        <v>1</v>
      </c>
      <c r="F424" s="117">
        <f>VLOOKUP(MID($A424,13,2),'Free Spins Symbol'!$T$2:$Z$29,7,0)</f>
        <v>1</v>
      </c>
      <c r="G424" s="100">
        <f>B424*C424*D424*E424*F424-G416</f>
        <v>62720</v>
      </c>
      <c r="H424" s="118">
        <f t="shared" si="80"/>
        <v>5485.7142857142853</v>
      </c>
      <c r="I424" s="100">
        <v>100</v>
      </c>
      <c r="J424" s="119">
        <f t="shared" si="82"/>
        <v>1.8229166666666668E-2</v>
      </c>
      <c r="K424" s="120">
        <f t="shared" si="83"/>
        <v>1.8229166666666667E-4</v>
      </c>
    </row>
    <row r="425" spans="1:11" x14ac:dyDescent="0.3">
      <c r="A425" s="116" t="s">
        <v>252</v>
      </c>
      <c r="B425" s="117">
        <f>VLOOKUP(MID($A425,1,2),'Free Spins Symbol'!$T$2:$Z$29,3,0)</f>
        <v>34</v>
      </c>
      <c r="C425" s="129">
        <f>'Free Spins Symbol'!$W$18</f>
        <v>56</v>
      </c>
      <c r="D425" s="129">
        <f>'Free Spins Symbol'!$X$18</f>
        <v>40</v>
      </c>
      <c r="E425" s="117">
        <f>VLOOKUP(MID($A425,10,2),'Free Spins Symbol'!$T$2:$Z$29,6,0)</f>
        <v>8</v>
      </c>
      <c r="F425" s="117">
        <f>VLOOKUP(MID($A425,13,2),'Free Spins Symbol'!$T$2:$Z$29,7,0)</f>
        <v>11</v>
      </c>
      <c r="G425" s="100">
        <f>(B425*C425*D425*E425-B421*C421*D421*E421)*F425</f>
        <v>6702080</v>
      </c>
      <c r="H425" s="118">
        <f t="shared" si="80"/>
        <v>51.336898395721924</v>
      </c>
      <c r="I425" s="100">
        <v>100</v>
      </c>
      <c r="J425" s="119">
        <f t="shared" si="82"/>
        <v>1.9479166666666665</v>
      </c>
      <c r="K425" s="120">
        <f t="shared" si="83"/>
        <v>1.9479166666666665E-2</v>
      </c>
    </row>
    <row r="426" spans="1:11" x14ac:dyDescent="0.3">
      <c r="A426" s="116" t="s">
        <v>253</v>
      </c>
      <c r="B426" s="117">
        <f>VLOOKUP(MID($A426,1,2),'Free Spins Symbol'!$T$2:$Z$29,3,0)</f>
        <v>19</v>
      </c>
      <c r="C426" s="129">
        <f>'Free Spins Symbol'!$W$18</f>
        <v>56</v>
      </c>
      <c r="D426" s="129">
        <f>'Free Spins Symbol'!$X$18</f>
        <v>40</v>
      </c>
      <c r="E426" s="117">
        <f>VLOOKUP(MID($A426,10,2),'Free Spins Symbol'!$T$2:$Z$29,6,0)</f>
        <v>7</v>
      </c>
      <c r="F426" s="117">
        <f>VLOOKUP(MID($A426,13,2),'Free Spins Symbol'!$T$2:$Z$29,7,0)</f>
        <v>11</v>
      </c>
      <c r="G426" s="100">
        <f>B426*C426*D426*E426*F426-G416</f>
        <v>3277120</v>
      </c>
      <c r="H426" s="118">
        <f t="shared" si="80"/>
        <v>104.98974709501026</v>
      </c>
      <c r="I426" s="100">
        <v>100</v>
      </c>
      <c r="J426" s="119">
        <f t="shared" si="82"/>
        <v>0.95247395833333337</v>
      </c>
      <c r="K426" s="120">
        <f t="shared" si="83"/>
        <v>9.5247395833333338E-3</v>
      </c>
    </row>
    <row r="427" spans="1:11" x14ac:dyDescent="0.3">
      <c r="A427" s="116" t="s">
        <v>255</v>
      </c>
      <c r="B427" s="117">
        <f>VLOOKUP(MID($A427,1,2),'Free Spins Symbol'!$T$2:$Z$29,3,0)</f>
        <v>20</v>
      </c>
      <c r="C427" s="129">
        <f>'Free Spins Symbol'!$W$18</f>
        <v>56</v>
      </c>
      <c r="D427" s="129">
        <f>'Free Spins Symbol'!$X$18</f>
        <v>40</v>
      </c>
      <c r="E427" s="117">
        <f>VLOOKUP(MID($A427,10,2),'Free Spins Symbol'!$T$2:$Z$29,6,0)</f>
        <v>1</v>
      </c>
      <c r="F427" s="117">
        <f>VLOOKUP(MID($A427,13,2),'Free Spins Symbol'!$T$2:$Z$29,7,0)</f>
        <v>48</v>
      </c>
      <c r="G427" s="100">
        <f>(B427*C427*D427*E427-B421*C421*D421*E421)*(F427-F417)</f>
        <v>2105600</v>
      </c>
      <c r="H427" s="118">
        <f t="shared" si="80"/>
        <v>163.40425531914894</v>
      </c>
      <c r="I427" s="100">
        <v>50</v>
      </c>
      <c r="J427" s="119">
        <f t="shared" si="82"/>
        <v>0.30598958333333331</v>
      </c>
      <c r="K427" s="120">
        <f t="shared" si="83"/>
        <v>6.1197916666666666E-3</v>
      </c>
    </row>
    <row r="428" spans="1:11" x14ac:dyDescent="0.3">
      <c r="A428" s="116" t="s">
        <v>256</v>
      </c>
      <c r="B428" s="117">
        <f>VLOOKUP(MID($A428,1,2),'Free Spins Symbol'!$T$2:$Z$29,3,0)</f>
        <v>22</v>
      </c>
      <c r="C428" s="129">
        <f>'Free Spins Symbol'!$W$18</f>
        <v>56</v>
      </c>
      <c r="D428" s="129">
        <f>'Free Spins Symbol'!$X$18</f>
        <v>40</v>
      </c>
      <c r="E428" s="117">
        <f>VLOOKUP(MID($A428,10,2),'Free Spins Symbol'!$T$2:$Z$29,6,0)</f>
        <v>1</v>
      </c>
      <c r="F428" s="117">
        <f>VLOOKUP(MID($A428,13,2),'Free Spins Symbol'!$T$2:$Z$29,7,0)</f>
        <v>48</v>
      </c>
      <c r="G428" s="100">
        <f>(B428*C428*D428*E428-B421*C421*D421*E421)*(F428-F418)</f>
        <v>2316160</v>
      </c>
      <c r="H428" s="118">
        <f t="shared" si="80"/>
        <v>148.54932301740811</v>
      </c>
      <c r="I428" s="100">
        <v>50</v>
      </c>
      <c r="J428" s="119">
        <f t="shared" si="82"/>
        <v>0.33658854166666669</v>
      </c>
      <c r="K428" s="120">
        <f t="shared" si="83"/>
        <v>6.7317708333333335E-3</v>
      </c>
    </row>
    <row r="429" spans="1:11" x14ac:dyDescent="0.3">
      <c r="A429" s="116" t="s">
        <v>257</v>
      </c>
      <c r="B429" s="117">
        <f>VLOOKUP(MID($A429,1,2),'Free Spins Symbol'!$T$2:$Z$29,3,0)</f>
        <v>24</v>
      </c>
      <c r="C429" s="129">
        <f>'Free Spins Symbol'!$W$18</f>
        <v>56</v>
      </c>
      <c r="D429" s="129">
        <f>'Free Spins Symbol'!$X$18</f>
        <v>40</v>
      </c>
      <c r="E429" s="117">
        <f>VLOOKUP(MID($A429,10,2),'Free Spins Symbol'!$T$2:$Z$29,6,0)</f>
        <v>1</v>
      </c>
      <c r="F429" s="117">
        <f>VLOOKUP(MID($A429,13,2),'Free Spins Symbol'!$T$2:$Z$29,7,0)</f>
        <v>48</v>
      </c>
      <c r="G429" s="100">
        <f>(B429*C429*D429*E429-B421*C421*D421*E421)*(F429-F419)</f>
        <v>2311680</v>
      </c>
      <c r="H429" s="118">
        <f t="shared" si="80"/>
        <v>148.83720930232559</v>
      </c>
      <c r="I429" s="100">
        <v>30</v>
      </c>
      <c r="J429" s="119">
        <f t="shared" si="82"/>
        <v>0.20156250000000001</v>
      </c>
      <c r="K429" s="120">
        <f t="shared" si="83"/>
        <v>6.7187499999999999E-3</v>
      </c>
    </row>
    <row r="430" spans="1:11" x14ac:dyDescent="0.3">
      <c r="A430" s="116" t="s">
        <v>258</v>
      </c>
      <c r="B430" s="117">
        <f>VLOOKUP(MID($A430,1,2),'Free Spins Symbol'!$T$2:$Z$29,3,0)</f>
        <v>24</v>
      </c>
      <c r="C430" s="129">
        <f>'Free Spins Symbol'!$W$18</f>
        <v>56</v>
      </c>
      <c r="D430" s="129">
        <f>'Free Spins Symbol'!$X$18</f>
        <v>40</v>
      </c>
      <c r="E430" s="117">
        <f>VLOOKUP(MID($A430,10,2),'Free Spins Symbol'!$T$2:$Z$29,6,0)</f>
        <v>1</v>
      </c>
      <c r="F430" s="117">
        <f>VLOOKUP(MID($A430,13,2),'Free Spins Symbol'!$T$2:$Z$29,7,0)</f>
        <v>48</v>
      </c>
      <c r="G430" s="100">
        <f>(B430*C430*D430*E430-B421*C421*D421*E421)*(F430-F420)</f>
        <v>2311680</v>
      </c>
      <c r="H430" s="118">
        <f t="shared" si="80"/>
        <v>148.83720930232559</v>
      </c>
      <c r="I430" s="100">
        <v>30</v>
      </c>
      <c r="J430" s="119">
        <f t="shared" si="82"/>
        <v>0.20156250000000001</v>
      </c>
      <c r="K430" s="120">
        <f t="shared" si="83"/>
        <v>6.7187499999999999E-3</v>
      </c>
    </row>
    <row r="431" spans="1:11" x14ac:dyDescent="0.3">
      <c r="A431" s="116" t="s">
        <v>264</v>
      </c>
      <c r="B431" s="117">
        <f>VLOOKUP(MID($A431,1,2),'Free Spins Symbol'!$T$2:$Z$29,3,0)</f>
        <v>18</v>
      </c>
      <c r="C431" s="129">
        <f>'Free Spins Symbol'!$W$18</f>
        <v>56</v>
      </c>
      <c r="D431" s="129">
        <f>'Free Spins Symbol'!$X$18</f>
        <v>40</v>
      </c>
      <c r="E431" s="117">
        <f>VLOOKUP(MID($A431,10,2),'Free Spins Symbol'!$T$2:$Z$29,6,0)</f>
        <v>32</v>
      </c>
      <c r="F431" s="117">
        <f>VLOOKUP(MID($A431,13,2),'Free Spins Symbol'!$T$2:$Z$29,7,0)</f>
        <v>48</v>
      </c>
      <c r="G431" s="100">
        <f>(B431*C431*D431)*(E431*F431-(E430+E429+E428+E427-3*E421)*F421-(E426-E421)*F426-(E425-E421)*F425-(E424-E421)*F424-(E423-E421)*F423-(E422-E421)*F422)</f>
        <v>46488960</v>
      </c>
      <c r="H431" s="118">
        <f t="shared" si="80"/>
        <v>7.400982943047123</v>
      </c>
      <c r="I431" s="100">
        <v>20</v>
      </c>
      <c r="J431" s="119">
        <f>K431*I431</f>
        <v>2.7023437500000003</v>
      </c>
      <c r="K431" s="120">
        <f>G431/B$2</f>
        <v>0.13511718750000001</v>
      </c>
    </row>
    <row r="432" spans="1:11" x14ac:dyDescent="0.3">
      <c r="A432" s="116" t="s">
        <v>259</v>
      </c>
      <c r="B432" s="117">
        <f>VLOOKUP(MID($A432,1,2),'Free Spins Symbol'!$T$2:$Z$29,3,0)</f>
        <v>38</v>
      </c>
      <c r="C432" s="129">
        <f>'Free Spins Symbol'!$W$18</f>
        <v>56</v>
      </c>
      <c r="D432" s="129">
        <f>'Free Spins Symbol'!$X$18</f>
        <v>40</v>
      </c>
      <c r="E432" s="117">
        <f>VLOOKUP(MID($A432,10,2),'Free Spins Symbol'!$T$2:$Z$29,6,0)</f>
        <v>7</v>
      </c>
      <c r="F432" s="117">
        <f>VLOOKUP(MID($A432,13,2),'Free Spins Symbol'!$T$2:$Z$29,7,0)</f>
        <v>48</v>
      </c>
      <c r="G432" s="100">
        <f>B432*C432*D432*E432*(F432-F422)</f>
        <v>27408640</v>
      </c>
      <c r="H432" s="118">
        <f t="shared" si="80"/>
        <v>12.553121935272966</v>
      </c>
      <c r="I432" s="100">
        <v>20</v>
      </c>
      <c r="J432" s="119">
        <f t="shared" ref="J432:J451" si="84">K432*I432</f>
        <v>1.5932291666666667</v>
      </c>
      <c r="K432" s="120">
        <f t="shared" ref="K432:K451" si="85">G432/B$2</f>
        <v>7.9661458333333338E-2</v>
      </c>
    </row>
    <row r="433" spans="1:11" x14ac:dyDescent="0.3">
      <c r="A433" s="116" t="s">
        <v>260</v>
      </c>
      <c r="B433" s="117">
        <f>VLOOKUP(MID($A433,1,2),'Free Spins Symbol'!$T$2:$Z$29,3,0)</f>
        <v>35</v>
      </c>
      <c r="C433" s="129">
        <f>'Free Spins Symbol'!$W$18</f>
        <v>56</v>
      </c>
      <c r="D433" s="129">
        <f>'Free Spins Symbol'!$X$18</f>
        <v>40</v>
      </c>
      <c r="E433" s="117">
        <f>VLOOKUP(MID($A433,10,2),'Free Spins Symbol'!$T$2:$Z$29,6,0)</f>
        <v>1</v>
      </c>
      <c r="F433" s="117">
        <f>VLOOKUP(MID($A433,13,2),'Free Spins Symbol'!$T$2:$Z$29,7,0)</f>
        <v>48</v>
      </c>
      <c r="G433" s="100">
        <f t="shared" ref="G433:G436" si="86">B433*C433*D433*E433*(F433-F423)</f>
        <v>2900800</v>
      </c>
      <c r="H433" s="118">
        <f t="shared" si="80"/>
        <v>118.61003861003861</v>
      </c>
      <c r="I433" s="100">
        <v>20</v>
      </c>
      <c r="J433" s="119">
        <f t="shared" si="84"/>
        <v>0.16861979166666666</v>
      </c>
      <c r="K433" s="120">
        <f t="shared" si="85"/>
        <v>8.4309895833333329E-3</v>
      </c>
    </row>
    <row r="434" spans="1:11" x14ac:dyDescent="0.3">
      <c r="A434" s="116" t="s">
        <v>261</v>
      </c>
      <c r="B434" s="117">
        <f>VLOOKUP(MID($A434,1,2),'Free Spins Symbol'!$T$2:$Z$29,3,0)</f>
        <v>28</v>
      </c>
      <c r="C434" s="129">
        <f>'Free Spins Symbol'!$W$18</f>
        <v>56</v>
      </c>
      <c r="D434" s="129">
        <f>'Free Spins Symbol'!$X$18</f>
        <v>40</v>
      </c>
      <c r="E434" s="117">
        <f>VLOOKUP(MID($A434,10,2),'Free Spins Symbol'!$T$2:$Z$29,6,0)</f>
        <v>1</v>
      </c>
      <c r="F434" s="117">
        <f>VLOOKUP(MID($A434,13,2),'Free Spins Symbol'!$T$2:$Z$29,7,0)</f>
        <v>48</v>
      </c>
      <c r="G434" s="100">
        <f t="shared" si="86"/>
        <v>2947840</v>
      </c>
      <c r="H434" s="118">
        <f t="shared" si="80"/>
        <v>116.71732522796353</v>
      </c>
      <c r="I434" s="100">
        <v>20</v>
      </c>
      <c r="J434" s="119">
        <f t="shared" si="84"/>
        <v>0.17135416666666667</v>
      </c>
      <c r="K434" s="120">
        <f t="shared" si="85"/>
        <v>8.5677083333333334E-3</v>
      </c>
    </row>
    <row r="435" spans="1:11" x14ac:dyDescent="0.3">
      <c r="A435" s="116" t="s">
        <v>262</v>
      </c>
      <c r="B435" s="117">
        <f>VLOOKUP(MID($A435,1,2),'Free Spins Symbol'!$T$2:$Z$29,3,0)</f>
        <v>34</v>
      </c>
      <c r="C435" s="129">
        <f>'Free Spins Symbol'!$W$18</f>
        <v>56</v>
      </c>
      <c r="D435" s="129">
        <f>'Free Spins Symbol'!$X$18</f>
        <v>40</v>
      </c>
      <c r="E435" s="117">
        <f>VLOOKUP(MID($A435,10,2),'Free Spins Symbol'!$T$2:$Z$29,6,0)</f>
        <v>8</v>
      </c>
      <c r="F435" s="117">
        <f>VLOOKUP(MID($A435,13,2),'Free Spins Symbol'!$T$2:$Z$29,7,0)</f>
        <v>48</v>
      </c>
      <c r="G435" s="100">
        <f t="shared" si="86"/>
        <v>22543360</v>
      </c>
      <c r="H435" s="118">
        <f t="shared" si="80"/>
        <v>15.262321144674086</v>
      </c>
      <c r="I435" s="100">
        <v>20</v>
      </c>
      <c r="J435" s="119">
        <f t="shared" si="84"/>
        <v>1.3104166666666668</v>
      </c>
      <c r="K435" s="120">
        <f t="shared" si="85"/>
        <v>6.5520833333333334E-2</v>
      </c>
    </row>
    <row r="436" spans="1:11" x14ac:dyDescent="0.3">
      <c r="A436" s="116" t="s">
        <v>263</v>
      </c>
      <c r="B436" s="117">
        <f>VLOOKUP(MID($A436,1,2),'Free Spins Symbol'!$T$2:$Z$29,3,0)</f>
        <v>19</v>
      </c>
      <c r="C436" s="129">
        <f>'Free Spins Symbol'!$W$18</f>
        <v>56</v>
      </c>
      <c r="D436" s="129">
        <f>'Free Spins Symbol'!$X$18</f>
        <v>40</v>
      </c>
      <c r="E436" s="117">
        <f>VLOOKUP(MID($A436,10,2),'Free Spins Symbol'!$T$2:$Z$29,6,0)</f>
        <v>7</v>
      </c>
      <c r="F436" s="117">
        <f>VLOOKUP(MID($A436,13,2),'Free Spins Symbol'!$T$2:$Z$29,7,0)</f>
        <v>48</v>
      </c>
      <c r="G436" s="100">
        <f t="shared" si="86"/>
        <v>11023040</v>
      </c>
      <c r="H436" s="118">
        <f t="shared" si="80"/>
        <v>31.213168055273318</v>
      </c>
      <c r="I436" s="100">
        <v>20</v>
      </c>
      <c r="J436" s="119">
        <f t="shared" si="84"/>
        <v>0.64075520833333333</v>
      </c>
      <c r="K436" s="120">
        <f t="shared" si="85"/>
        <v>3.2037760416666665E-2</v>
      </c>
    </row>
    <row r="437" spans="1:11" x14ac:dyDescent="0.3">
      <c r="A437" s="116" t="s">
        <v>265</v>
      </c>
      <c r="B437" s="117">
        <f>VLOOKUP(MID($A437,1,2),'Free Spins Symbol'!$T$2:$Z$29,3,0)</f>
        <v>20</v>
      </c>
      <c r="C437" s="129">
        <f>'Free Spins Symbol'!$W$18</f>
        <v>56</v>
      </c>
      <c r="D437" s="129">
        <f>'Free Spins Symbol'!$X$18</f>
        <v>40</v>
      </c>
      <c r="E437" s="117">
        <f>VLOOKUP(MID($A437,10,2),'Free Spins Symbol'!$T$2:$Z$29,6,0)</f>
        <v>32</v>
      </c>
      <c r="F437" s="117">
        <f>VLOOKUP(MID($A437,13,2),'Free Spins Symbol'!$T$2:$Z$29,7,0)</f>
        <v>48</v>
      </c>
      <c r="G437" s="100">
        <f>(B437*C437*D437)*(E437-E427)*F437</f>
        <v>66662400</v>
      </c>
      <c r="H437" s="118">
        <f t="shared" si="80"/>
        <v>5.161290322580645</v>
      </c>
      <c r="I437" s="100">
        <v>20</v>
      </c>
      <c r="J437" s="119">
        <f t="shared" si="84"/>
        <v>3.875</v>
      </c>
      <c r="K437" s="120">
        <f t="shared" si="85"/>
        <v>0.19375000000000001</v>
      </c>
    </row>
    <row r="438" spans="1:11" x14ac:dyDescent="0.3">
      <c r="A438" s="116" t="s">
        <v>266</v>
      </c>
      <c r="B438" s="117">
        <f>VLOOKUP(MID($A438,1,2),'Free Spins Symbol'!$T$2:$Z$29,3,0)</f>
        <v>22</v>
      </c>
      <c r="C438" s="129">
        <f>'Free Spins Symbol'!$W$18</f>
        <v>56</v>
      </c>
      <c r="D438" s="129">
        <f>'Free Spins Symbol'!$X$18</f>
        <v>40</v>
      </c>
      <c r="E438" s="117">
        <f>VLOOKUP(MID($A438,10,2),'Free Spins Symbol'!$T$2:$Z$29,6,0)</f>
        <v>32</v>
      </c>
      <c r="F438" s="117">
        <f>VLOOKUP(MID($A438,13,2),'Free Spins Symbol'!$T$2:$Z$29,7,0)</f>
        <v>48</v>
      </c>
      <c r="G438" s="100">
        <f>(B438*C438*D438)*(E438-E428)*F438</f>
        <v>73328640</v>
      </c>
      <c r="H438" s="118">
        <f t="shared" si="80"/>
        <v>4.6920821114369504</v>
      </c>
      <c r="I438" s="100">
        <v>20</v>
      </c>
      <c r="J438" s="119">
        <f t="shared" si="84"/>
        <v>4.2625000000000002</v>
      </c>
      <c r="K438" s="120">
        <f t="shared" si="85"/>
        <v>0.21312500000000001</v>
      </c>
    </row>
    <row r="439" spans="1:11" x14ac:dyDescent="0.3">
      <c r="A439" s="116" t="s">
        <v>267</v>
      </c>
      <c r="B439" s="117">
        <f>VLOOKUP(MID($A439,1,2),'Free Spins Symbol'!$T$2:$Z$29,3,0)</f>
        <v>24</v>
      </c>
      <c r="C439" s="129">
        <f>'Free Spins Symbol'!$W$18</f>
        <v>56</v>
      </c>
      <c r="D439" s="129">
        <f>'Free Spins Symbol'!$X$18</f>
        <v>40</v>
      </c>
      <c r="E439" s="117">
        <f>VLOOKUP(MID($A439,10,2),'Free Spins Symbol'!$T$2:$Z$29,6,0)</f>
        <v>32</v>
      </c>
      <c r="F439" s="117">
        <f>VLOOKUP(MID($A439,13,2),'Free Spins Symbol'!$T$2:$Z$29,7,0)</f>
        <v>48</v>
      </c>
      <c r="G439" s="100">
        <f>(B439*C439*D439-B431*C431*D431)*(E439-E429)*F439</f>
        <v>19998720</v>
      </c>
      <c r="H439" s="118">
        <f t="shared" si="80"/>
        <v>17.204301075268816</v>
      </c>
      <c r="I439" s="100">
        <v>10</v>
      </c>
      <c r="J439" s="119">
        <f t="shared" si="84"/>
        <v>0.58125000000000004</v>
      </c>
      <c r="K439" s="120">
        <f t="shared" si="85"/>
        <v>5.8125000000000003E-2</v>
      </c>
    </row>
    <row r="440" spans="1:11" x14ac:dyDescent="0.3">
      <c r="A440" s="116" t="s">
        <v>268</v>
      </c>
      <c r="B440" s="117">
        <f>VLOOKUP(MID($A440,1,2),'Free Spins Symbol'!$T$2:$Z$29,3,0)</f>
        <v>24</v>
      </c>
      <c r="C440" s="129">
        <f>'Free Spins Symbol'!$W$18</f>
        <v>56</v>
      </c>
      <c r="D440" s="129">
        <f>'Free Spins Symbol'!$X$18</f>
        <v>40</v>
      </c>
      <c r="E440" s="117">
        <f>VLOOKUP(MID($A440,10,2),'Free Spins Symbol'!$T$2:$Z$29,6,0)</f>
        <v>32</v>
      </c>
      <c r="F440" s="117">
        <f>VLOOKUP(MID($A440,13,2),'Free Spins Symbol'!$T$2:$Z$29,7,0)</f>
        <v>48</v>
      </c>
      <c r="G440" s="100">
        <f>(B440*C440*D440-B431*C431*D431)*(E440-E430)*F440</f>
        <v>19998720</v>
      </c>
      <c r="H440" s="118">
        <f t="shared" si="80"/>
        <v>17.204301075268816</v>
      </c>
      <c r="I440" s="100">
        <v>10</v>
      </c>
      <c r="J440" s="119">
        <f t="shared" si="84"/>
        <v>0.58125000000000004</v>
      </c>
      <c r="K440" s="120">
        <f t="shared" si="85"/>
        <v>5.8125000000000003E-2</v>
      </c>
    </row>
    <row r="441" spans="1:11" x14ac:dyDescent="0.3">
      <c r="A441" s="116" t="s">
        <v>269</v>
      </c>
      <c r="B441" s="117">
        <f>VLOOKUP(MID($A441,1,2),'Free Spins Symbol'!$T$2:$Z$29,3,0)</f>
        <v>38</v>
      </c>
      <c r="C441" s="129">
        <f>'Free Spins Symbol'!$W$18</f>
        <v>56</v>
      </c>
      <c r="D441" s="129">
        <f>'Free Spins Symbol'!$X$18</f>
        <v>40</v>
      </c>
      <c r="E441" s="117">
        <f>VLOOKUP(MID($A441,10,2),'Free Spins Symbol'!$T$2:$Z$29,6,0)</f>
        <v>32</v>
      </c>
      <c r="F441" s="117">
        <f>VLOOKUP(MID($A441,13,2),'Free Spins Symbol'!$T$2:$Z$29,7,0)</f>
        <v>48</v>
      </c>
      <c r="G441" s="100">
        <f>(B441*C441*D441-B431*C431*D431)*(E441-E432)*F441</f>
        <v>53760000</v>
      </c>
      <c r="H441" s="118">
        <f t="shared" si="80"/>
        <v>6.4</v>
      </c>
      <c r="I441" s="100">
        <v>5</v>
      </c>
      <c r="J441" s="119">
        <f t="shared" si="84"/>
        <v>0.78125</v>
      </c>
      <c r="K441" s="120">
        <f t="shared" si="85"/>
        <v>0.15625</v>
      </c>
    </row>
    <row r="442" spans="1:11" x14ac:dyDescent="0.3">
      <c r="A442" s="116" t="s">
        <v>270</v>
      </c>
      <c r="B442" s="117">
        <f>VLOOKUP(MID($A442,1,2),'Free Spins Symbol'!$T$2:$Z$29,3,0)</f>
        <v>35</v>
      </c>
      <c r="C442" s="129">
        <f>'Free Spins Symbol'!$W$18</f>
        <v>56</v>
      </c>
      <c r="D442" s="129">
        <f>'Free Spins Symbol'!$X$18</f>
        <v>40</v>
      </c>
      <c r="E442" s="117">
        <f>VLOOKUP(MID($A442,10,2),'Free Spins Symbol'!$T$2:$Z$29,6,0)</f>
        <v>32</v>
      </c>
      <c r="F442" s="117">
        <f>VLOOKUP(MID($A442,13,2),'Free Spins Symbol'!$T$2:$Z$29,7,0)</f>
        <v>48</v>
      </c>
      <c r="G442" s="100">
        <f>(B442*C442*D442-B431*C431*D431)*(E442-E433)*F442</f>
        <v>56663040</v>
      </c>
      <c r="H442" s="118">
        <f t="shared" si="80"/>
        <v>6.0721062618595827</v>
      </c>
      <c r="I442" s="100">
        <v>5</v>
      </c>
      <c r="J442" s="119">
        <f t="shared" si="84"/>
        <v>0.82343749999999993</v>
      </c>
      <c r="K442" s="120">
        <f t="shared" si="85"/>
        <v>0.16468749999999999</v>
      </c>
    </row>
    <row r="443" spans="1:11" x14ac:dyDescent="0.3">
      <c r="A443" s="116" t="s">
        <v>271</v>
      </c>
      <c r="B443" s="117">
        <f>VLOOKUP(MID($A443,1,2),'Free Spins Symbol'!$T$2:$Z$29,3,0)</f>
        <v>28</v>
      </c>
      <c r="C443" s="129">
        <f>'Free Spins Symbol'!$W$18</f>
        <v>56</v>
      </c>
      <c r="D443" s="129">
        <f>'Free Spins Symbol'!$X$18</f>
        <v>40</v>
      </c>
      <c r="E443" s="117">
        <f>VLOOKUP(MID($A443,10,2),'Free Spins Symbol'!$T$2:$Z$29,6,0)</f>
        <v>32</v>
      </c>
      <c r="F443" s="117">
        <f>VLOOKUP(MID($A443,13,2),'Free Spins Symbol'!$T$2:$Z$29,7,0)</f>
        <v>48</v>
      </c>
      <c r="G443" s="100">
        <f>(B443*C443*D443-B431*C431*D431)*(E443-E434)*F443</f>
        <v>33331200</v>
      </c>
      <c r="H443" s="118">
        <f t="shared" si="80"/>
        <v>10.32258064516129</v>
      </c>
      <c r="I443" s="100">
        <v>5</v>
      </c>
      <c r="J443" s="119">
        <f t="shared" si="84"/>
        <v>0.484375</v>
      </c>
      <c r="K443" s="120">
        <f t="shared" si="85"/>
        <v>9.6875000000000003E-2</v>
      </c>
    </row>
    <row r="444" spans="1:11" x14ac:dyDescent="0.3">
      <c r="A444" s="116" t="s">
        <v>272</v>
      </c>
      <c r="B444" s="117">
        <f>VLOOKUP(MID($A444,1,2),'Free Spins Symbol'!$T$2:$Z$29,3,0)</f>
        <v>34</v>
      </c>
      <c r="C444" s="129">
        <f>'Free Spins Symbol'!$W$18</f>
        <v>56</v>
      </c>
      <c r="D444" s="129">
        <f>'Free Spins Symbol'!$X$18</f>
        <v>40</v>
      </c>
      <c r="E444" s="117">
        <f>VLOOKUP(MID($A444,10,2),'Free Spins Symbol'!$T$2:$Z$29,6,0)</f>
        <v>32</v>
      </c>
      <c r="F444" s="117">
        <f>VLOOKUP(MID($A444,13,2),'Free Spins Symbol'!$T$2:$Z$29,7,0)</f>
        <v>48</v>
      </c>
      <c r="G444" s="100">
        <f>(B444*C444*D444-B431*C431*D431)*(E444-E435)*F444</f>
        <v>41287680</v>
      </c>
      <c r="H444" s="118">
        <f t="shared" si="80"/>
        <v>8.3333333333333339</v>
      </c>
      <c r="I444" s="100">
        <v>5</v>
      </c>
      <c r="J444" s="119">
        <f t="shared" si="84"/>
        <v>0.6</v>
      </c>
      <c r="K444" s="120">
        <f t="shared" si="85"/>
        <v>0.12</v>
      </c>
    </row>
    <row r="445" spans="1:11" x14ac:dyDescent="0.3">
      <c r="A445" s="116" t="s">
        <v>273</v>
      </c>
      <c r="B445" s="117">
        <f>VLOOKUP(MID($A445,1,2),'Free Spins Symbol'!$T$2:$Z$29,3,0)</f>
        <v>19</v>
      </c>
      <c r="C445" s="129">
        <f>'Free Spins Symbol'!$W$18</f>
        <v>56</v>
      </c>
      <c r="D445" s="129">
        <f>'Free Spins Symbol'!$X$18</f>
        <v>40</v>
      </c>
      <c r="E445" s="117">
        <f>VLOOKUP(MID($A445,10,2),'Free Spins Symbol'!$T$2:$Z$29,6,0)</f>
        <v>32</v>
      </c>
      <c r="F445" s="117">
        <f>VLOOKUP(MID($A445,13,2),'Free Spins Symbol'!$T$2:$Z$29,7,0)</f>
        <v>48</v>
      </c>
      <c r="G445" s="100">
        <f>(B445*C445*D445-B431*C431*D431)*(E445-E436)*F445</f>
        <v>2688000</v>
      </c>
      <c r="H445" s="118">
        <f t="shared" si="80"/>
        <v>128</v>
      </c>
      <c r="I445" s="100">
        <v>5</v>
      </c>
      <c r="J445" s="119">
        <f t="shared" si="84"/>
        <v>3.90625E-2</v>
      </c>
      <c r="K445" s="120">
        <f t="shared" si="85"/>
        <v>7.8125E-3</v>
      </c>
    </row>
    <row r="446" spans="1:11" x14ac:dyDescent="0.3">
      <c r="A446" s="116" t="s">
        <v>274</v>
      </c>
      <c r="B446" s="117">
        <f>VLOOKUP(MID($A446,1,2),'Free Spins Symbol'!$T$2:$Z$29,3,0)</f>
        <v>18</v>
      </c>
      <c r="C446" s="129">
        <f>'Free Spins Symbol'!$W$18</f>
        <v>56</v>
      </c>
      <c r="D446" s="129">
        <f>'Free Spins Symbol'!$X$18</f>
        <v>40</v>
      </c>
      <c r="E446" s="117">
        <f>VLOOKUP(MID($A446,10,2),'Free Spins Symbol'!$T$2:$Z$29,6,0)</f>
        <v>32</v>
      </c>
      <c r="F446" s="117">
        <f>VLOOKUP(MID($A446,13,2),'Free Spins Symbol'!$T$2:$Z$29,7,0)</f>
        <v>48</v>
      </c>
      <c r="G446" s="100">
        <f>B446*C446*(D446-D445-D444-D443-D442-D441-D440-D439-D438-D437+8*D431)*E446*F446</f>
        <v>0</v>
      </c>
      <c r="H446" s="118" t="e">
        <f t="shared" si="80"/>
        <v>#DIV/0!</v>
      </c>
      <c r="I446" s="100">
        <v>5</v>
      </c>
      <c r="J446" s="119">
        <f t="shared" si="84"/>
        <v>0</v>
      </c>
      <c r="K446" s="120">
        <f t="shared" si="85"/>
        <v>0</v>
      </c>
    </row>
    <row r="447" spans="1:11" x14ac:dyDescent="0.3">
      <c r="A447" s="116" t="s">
        <v>275</v>
      </c>
      <c r="B447" s="117">
        <f>VLOOKUP(MID($A447,1,2),'Free Spins Symbol'!$T$2:$Z$29,3,0)</f>
        <v>20</v>
      </c>
      <c r="C447" s="129">
        <f>'Free Spins Symbol'!$W$18</f>
        <v>56</v>
      </c>
      <c r="D447" s="129">
        <f>'Free Spins Symbol'!$X$18</f>
        <v>40</v>
      </c>
      <c r="E447" s="117">
        <f>VLOOKUP(MID($A447,10,2),'Free Spins Symbol'!$T$2:$Z$29,6,0)</f>
        <v>32</v>
      </c>
      <c r="F447" s="117">
        <f>VLOOKUP(MID($A447,13,2),'Free Spins Symbol'!$T$2:$Z$29,7,0)</f>
        <v>48</v>
      </c>
      <c r="G447" s="100">
        <f>(B447*C447-B446*C446)*(D447-D437)*E447*F447</f>
        <v>0</v>
      </c>
      <c r="H447" s="118" t="e">
        <f t="shared" si="80"/>
        <v>#DIV/0!</v>
      </c>
      <c r="I447" s="100">
        <v>5</v>
      </c>
      <c r="J447" s="119">
        <f t="shared" si="84"/>
        <v>0</v>
      </c>
      <c r="K447" s="120">
        <f t="shared" si="85"/>
        <v>0</v>
      </c>
    </row>
    <row r="448" spans="1:11" x14ac:dyDescent="0.3">
      <c r="A448" s="116" t="s">
        <v>276</v>
      </c>
      <c r="B448" s="117">
        <f>VLOOKUP(MID($A448,1,2),'Free Spins Symbol'!$T$2:$Z$29,3,0)</f>
        <v>22</v>
      </c>
      <c r="C448" s="129">
        <f>'Free Spins Symbol'!$W$18</f>
        <v>56</v>
      </c>
      <c r="D448" s="129">
        <f>'Free Spins Symbol'!$X$18</f>
        <v>40</v>
      </c>
      <c r="E448" s="117">
        <f>VLOOKUP(MID($A448,10,2),'Free Spins Symbol'!$T$2:$Z$29,6,0)</f>
        <v>32</v>
      </c>
      <c r="F448" s="117">
        <f>VLOOKUP(MID($A448,13,2),'Free Spins Symbol'!$T$2:$Z$29,7,0)</f>
        <v>48</v>
      </c>
      <c r="G448" s="100">
        <f>(B448*C448-B446*C446)*(D448-D438)*E448*F448</f>
        <v>0</v>
      </c>
      <c r="H448" s="118" t="e">
        <f t="shared" si="80"/>
        <v>#DIV/0!</v>
      </c>
      <c r="I448" s="100">
        <v>5</v>
      </c>
      <c r="J448" s="119">
        <f t="shared" si="84"/>
        <v>0</v>
      </c>
      <c r="K448" s="120">
        <f t="shared" si="85"/>
        <v>0</v>
      </c>
    </row>
    <row r="449" spans="1:11" x14ac:dyDescent="0.3">
      <c r="A449" s="116" t="s">
        <v>277</v>
      </c>
      <c r="B449" s="117">
        <f>VLOOKUP(MID($A449,1,2),'Free Spins Symbol'!$T$2:$Z$29,3,0)</f>
        <v>24</v>
      </c>
      <c r="C449" s="129">
        <f>'Free Spins Symbol'!$W$18</f>
        <v>56</v>
      </c>
      <c r="D449" s="129">
        <f>'Free Spins Symbol'!$X$18</f>
        <v>40</v>
      </c>
      <c r="E449" s="117">
        <f>VLOOKUP(MID($A449,10,2),'Free Spins Symbol'!$T$2:$Z$29,6,0)</f>
        <v>32</v>
      </c>
      <c r="F449" s="117">
        <f>VLOOKUP(MID($A449,13,2),'Free Spins Symbol'!$T$2:$Z$29,7,0)</f>
        <v>48</v>
      </c>
      <c r="G449" s="100">
        <f>(B449*C449-B446*C446)*(D449-D439)*E449*F449</f>
        <v>0</v>
      </c>
      <c r="H449" s="118" t="e">
        <f t="shared" si="80"/>
        <v>#DIV/0!</v>
      </c>
      <c r="I449" s="100">
        <v>5</v>
      </c>
      <c r="J449" s="119">
        <f t="shared" si="84"/>
        <v>0</v>
      </c>
      <c r="K449" s="120">
        <f t="shared" si="85"/>
        <v>0</v>
      </c>
    </row>
    <row r="450" spans="1:11" x14ac:dyDescent="0.3">
      <c r="A450" s="116" t="s">
        <v>278</v>
      </c>
      <c r="B450" s="117">
        <f>VLOOKUP(MID($A450,1,2),'Free Spins Symbol'!$T$2:$Z$29,3,0)</f>
        <v>24</v>
      </c>
      <c r="C450" s="129">
        <f>'Free Spins Symbol'!$W$18</f>
        <v>56</v>
      </c>
      <c r="D450" s="129">
        <f>'Free Spins Symbol'!$X$18</f>
        <v>40</v>
      </c>
      <c r="E450" s="117">
        <f>VLOOKUP(MID($A450,10,2),'Free Spins Symbol'!$T$2:$Z$29,6,0)</f>
        <v>32</v>
      </c>
      <c r="F450" s="117">
        <f>VLOOKUP(MID($A450,13,2),'Free Spins Symbol'!$T$2:$Z$29,7,0)</f>
        <v>48</v>
      </c>
      <c r="G450" s="100">
        <f>(B450*C450-B446*C446)*(D450-D440)*E450*F450</f>
        <v>0</v>
      </c>
      <c r="H450" s="118" t="e">
        <f t="shared" si="80"/>
        <v>#DIV/0!</v>
      </c>
      <c r="I450" s="100">
        <v>5</v>
      </c>
      <c r="J450" s="119">
        <f t="shared" si="84"/>
        <v>0</v>
      </c>
      <c r="K450" s="120">
        <f t="shared" si="85"/>
        <v>0</v>
      </c>
    </row>
    <row r="451" spans="1:11" x14ac:dyDescent="0.3">
      <c r="A451" s="122" t="s">
        <v>279</v>
      </c>
      <c r="B451" s="117">
        <f>VLOOKUP(MID($A451,1,2),'Free Spins Symbol'!$T$2:$Z$29,3,0)</f>
        <v>100</v>
      </c>
      <c r="C451" s="117">
        <f>VLOOKUP(MID($A451,4,2),'Free Spins Symbol'!$T$2:$Z$29,4,0)</f>
        <v>8</v>
      </c>
      <c r="D451" s="117">
        <f>VLOOKUP(MID($A451,7,2),'Free Spins Symbol'!$T$2:$Z$29,5,0)</f>
        <v>4</v>
      </c>
      <c r="E451" s="117">
        <f>VLOOKUP(MID($A451,10,2),'Free Spins Symbol'!$T$2:$Z$29,6,0)</f>
        <v>16</v>
      </c>
      <c r="F451" s="117">
        <f>VLOOKUP(MID($A451,13,2),'Free Spins Symbol'!$T$2:$Z$29,7,0)</f>
        <v>48</v>
      </c>
      <c r="G451" s="100">
        <f>B451*C451*D451*E451*F451</f>
        <v>2457600</v>
      </c>
      <c r="H451" s="121">
        <f t="shared" ref="H451" si="87">B$1/G451</f>
        <v>0</v>
      </c>
      <c r="I451" s="123">
        <v>2</v>
      </c>
      <c r="J451" s="124">
        <f t="shared" si="84"/>
        <v>1.4285714285714285E-2</v>
      </c>
      <c r="K451" s="120">
        <f t="shared" si="85"/>
        <v>7.1428571428571426E-3</v>
      </c>
    </row>
    <row r="453" spans="1:11" ht="16.8" thickBot="1" x14ac:dyDescent="0.35"/>
    <row r="454" spans="1:11" ht="16.8" thickBot="1" x14ac:dyDescent="0.35">
      <c r="A454" s="125" t="s">
        <v>303</v>
      </c>
    </row>
    <row r="455" spans="1:11" ht="16.8" thickBot="1" x14ac:dyDescent="0.35">
      <c r="A455" s="95" t="s">
        <v>280</v>
      </c>
      <c r="B455" s="142">
        <f>B2</f>
        <v>344064000</v>
      </c>
      <c r="C455" s="142"/>
      <c r="D455" s="142"/>
      <c r="E455" s="142"/>
      <c r="F455" s="142"/>
      <c r="G455" s="7"/>
      <c r="H455" s="106"/>
      <c r="I455" s="107" t="s">
        <v>281</v>
      </c>
      <c r="J455" s="108">
        <f>SUM(J457:J491)</f>
        <v>10.080000000000002</v>
      </c>
      <c r="K455" s="126">
        <f>SUM(K457:K492)</f>
        <v>0.43939285714285709</v>
      </c>
    </row>
    <row r="456" spans="1:11" ht="33" thickBot="1" x14ac:dyDescent="0.35">
      <c r="A456" s="109" t="s">
        <v>233</v>
      </c>
      <c r="B456" s="110" t="s">
        <v>234</v>
      </c>
      <c r="C456" s="110" t="s">
        <v>235</v>
      </c>
      <c r="D456" s="110" t="s">
        <v>236</v>
      </c>
      <c r="E456" s="110" t="s">
        <v>237</v>
      </c>
      <c r="F456" s="110" t="s">
        <v>238</v>
      </c>
      <c r="G456" s="111" t="s">
        <v>239</v>
      </c>
      <c r="H456" s="112" t="s">
        <v>240</v>
      </c>
      <c r="I456" s="113" t="s">
        <v>241</v>
      </c>
      <c r="J456" s="114" t="s">
        <v>242</v>
      </c>
      <c r="K456" s="115" t="s">
        <v>243</v>
      </c>
    </row>
    <row r="457" spans="1:11" x14ac:dyDescent="0.3">
      <c r="A457" s="116" t="s">
        <v>244</v>
      </c>
      <c r="B457" s="117">
        <f>VLOOKUP(MID($A457,1,2),'Free Spins Symbol'!$T$2:$Z$29,3,0)</f>
        <v>18</v>
      </c>
      <c r="C457" s="129">
        <f>'Free Spins Symbol'!$W$18</f>
        <v>56</v>
      </c>
      <c r="D457" s="117">
        <f>VLOOKUP(MID($A457,7,2),'Free Spins Symbol'!$T$2:$Z$29,5,0)</f>
        <v>0</v>
      </c>
      <c r="E457" s="129">
        <f>'Free Spins Symbol'!$Y$18</f>
        <v>32</v>
      </c>
      <c r="F457" s="117">
        <f>VLOOKUP(MID($A457,13,2),'Free Spins Symbol'!$T$2:$Z$29,7,0)</f>
        <v>0</v>
      </c>
      <c r="G457" s="100">
        <f>B457*C457*D457*E457*F457</f>
        <v>0</v>
      </c>
      <c r="H457" s="118" t="e">
        <f>B$2/G457</f>
        <v>#DIV/0!</v>
      </c>
      <c r="I457" s="100">
        <v>500</v>
      </c>
      <c r="J457" s="119">
        <f t="shared" ref="J457:J461" si="88">K457*I457</f>
        <v>0</v>
      </c>
      <c r="K457" s="120">
        <f>G457/B$2</f>
        <v>0</v>
      </c>
    </row>
    <row r="458" spans="1:11" x14ac:dyDescent="0.3">
      <c r="A458" s="116" t="s">
        <v>245</v>
      </c>
      <c r="B458" s="117">
        <f>VLOOKUP(MID($A458,1,2),'Free Spins Symbol'!$T$2:$Z$29,3,0)</f>
        <v>20</v>
      </c>
      <c r="C458" s="129">
        <f>'Free Spins Symbol'!$W$18</f>
        <v>56</v>
      </c>
      <c r="D458" s="117">
        <f>VLOOKUP(MID($A458,7,2),'Free Spins Symbol'!$T$2:$Z$29,5,0)</f>
        <v>2</v>
      </c>
      <c r="E458" s="129">
        <f>'Free Spins Symbol'!$Y$18</f>
        <v>32</v>
      </c>
      <c r="F458" s="117">
        <f>VLOOKUP(MID($A458,13,2),'Free Spins Symbol'!$T$2:$Z$29,7,0)</f>
        <v>1</v>
      </c>
      <c r="G458" s="100">
        <f>B458*C458*D458*E458*F458-G457</f>
        <v>71680</v>
      </c>
      <c r="H458" s="118">
        <f t="shared" ref="H458:H491" si="89">B$2/G458</f>
        <v>4800</v>
      </c>
      <c r="I458" s="100">
        <v>250</v>
      </c>
      <c r="J458" s="119">
        <f t="shared" si="88"/>
        <v>5.2083333333333336E-2</v>
      </c>
      <c r="K458" s="120">
        <f t="shared" ref="K458:K461" si="90">G458/B$2</f>
        <v>2.0833333333333335E-4</v>
      </c>
    </row>
    <row r="459" spans="1:11" x14ac:dyDescent="0.3">
      <c r="A459" s="116" t="s">
        <v>246</v>
      </c>
      <c r="B459" s="117">
        <f>VLOOKUP(MID($A459,1,2),'Free Spins Symbol'!$T$2:$Z$29,3,0)</f>
        <v>22</v>
      </c>
      <c r="C459" s="129">
        <f>'Free Spins Symbol'!$W$18</f>
        <v>56</v>
      </c>
      <c r="D459" s="117">
        <f>VLOOKUP(MID($A459,7,2),'Free Spins Symbol'!$T$2:$Z$29,5,0)</f>
        <v>3</v>
      </c>
      <c r="E459" s="129">
        <f>'Free Spins Symbol'!$Y$18</f>
        <v>32</v>
      </c>
      <c r="F459" s="117">
        <f>VLOOKUP(MID($A459,13,2),'Free Spins Symbol'!$T$2:$Z$29,7,0)</f>
        <v>1</v>
      </c>
      <c r="G459" s="100">
        <f>B459*C459*D459*E459*F459-G457</f>
        <v>118272</v>
      </c>
      <c r="H459" s="118">
        <f t="shared" si="89"/>
        <v>2909.090909090909</v>
      </c>
      <c r="I459" s="100">
        <v>250</v>
      </c>
      <c r="J459" s="119">
        <f t="shared" si="88"/>
        <v>8.59375E-2</v>
      </c>
      <c r="K459" s="120">
        <f t="shared" si="90"/>
        <v>3.4374999999999998E-4</v>
      </c>
    </row>
    <row r="460" spans="1:11" x14ac:dyDescent="0.3">
      <c r="A460" s="116" t="s">
        <v>247</v>
      </c>
      <c r="B460" s="117">
        <f>VLOOKUP(MID($A460,1,2),'Free Spins Symbol'!$T$2:$Z$29,3,0)</f>
        <v>24</v>
      </c>
      <c r="C460" s="129">
        <f>'Free Spins Symbol'!$W$18</f>
        <v>56</v>
      </c>
      <c r="D460" s="117">
        <f>VLOOKUP(MID($A460,7,2),'Free Spins Symbol'!$T$2:$Z$29,5,0)</f>
        <v>2</v>
      </c>
      <c r="E460" s="129">
        <f>'Free Spins Symbol'!$Y$18</f>
        <v>32</v>
      </c>
      <c r="F460" s="117">
        <f>VLOOKUP(MID($A460,13,2),'Free Spins Symbol'!$T$2:$Z$29,7,0)</f>
        <v>5</v>
      </c>
      <c r="G460" s="100">
        <f>B460*C460*D460*E460*F460-G457</f>
        <v>430080</v>
      </c>
      <c r="H460" s="118">
        <f t="shared" si="89"/>
        <v>800</v>
      </c>
      <c r="I460" s="100">
        <v>150</v>
      </c>
      <c r="J460" s="119">
        <f t="shared" si="88"/>
        <v>0.1875</v>
      </c>
      <c r="K460" s="120">
        <f t="shared" si="90"/>
        <v>1.25E-3</v>
      </c>
    </row>
    <row r="461" spans="1:11" x14ac:dyDescent="0.3">
      <c r="A461" s="116" t="s">
        <v>248</v>
      </c>
      <c r="B461" s="117">
        <f>VLOOKUP(MID($A461,1,2),'Free Spins Symbol'!$T$2:$Z$29,3,0)</f>
        <v>24</v>
      </c>
      <c r="C461" s="129">
        <f>'Free Spins Symbol'!$W$18</f>
        <v>56</v>
      </c>
      <c r="D461" s="117">
        <f>VLOOKUP(MID($A461,7,2),'Free Spins Symbol'!$T$2:$Z$29,5,0)</f>
        <v>2</v>
      </c>
      <c r="E461" s="129">
        <f>'Free Spins Symbol'!$Y$18</f>
        <v>32</v>
      </c>
      <c r="F461" s="117">
        <f>VLOOKUP(MID($A461,13,2),'Free Spins Symbol'!$T$2:$Z$29,7,0)</f>
        <v>5</v>
      </c>
      <c r="G461" s="100">
        <f>B461*C461*D461*E461*F461-G457</f>
        <v>430080</v>
      </c>
      <c r="H461" s="118">
        <f t="shared" si="89"/>
        <v>800</v>
      </c>
      <c r="I461" s="100">
        <v>150</v>
      </c>
      <c r="J461" s="119">
        <f t="shared" si="88"/>
        <v>0.1875</v>
      </c>
      <c r="K461" s="120">
        <f t="shared" si="90"/>
        <v>1.25E-3</v>
      </c>
    </row>
    <row r="462" spans="1:11" x14ac:dyDescent="0.3">
      <c r="A462" s="116" t="s">
        <v>254</v>
      </c>
      <c r="B462" s="117">
        <f>VLOOKUP(MID($A462,1,2),'Free Spins Symbol'!$T$2:$Z$29,3,0)</f>
        <v>18</v>
      </c>
      <c r="C462" s="129">
        <f>'Free Spins Symbol'!$W$18</f>
        <v>56</v>
      </c>
      <c r="D462" s="117">
        <f>VLOOKUP(MID($A462,7,2),'Free Spins Symbol'!$T$2:$Z$29,5,0)</f>
        <v>0</v>
      </c>
      <c r="E462" s="129">
        <f>'Free Spins Symbol'!$Y$18</f>
        <v>32</v>
      </c>
      <c r="F462" s="117">
        <f>VLOOKUP(MID($A462,13,2),'Free Spins Symbol'!$T$2:$Z$29,7,0)</f>
        <v>48</v>
      </c>
      <c r="G462" s="100">
        <f>B462*C462*D462*E462*(F462-F461-F460-F459-F458+3*F457)</f>
        <v>0</v>
      </c>
      <c r="H462" s="118" t="e">
        <f t="shared" si="89"/>
        <v>#DIV/0!</v>
      </c>
      <c r="I462" s="100">
        <v>100</v>
      </c>
      <c r="J462" s="119">
        <f>K462*I462</f>
        <v>0</v>
      </c>
      <c r="K462" s="120">
        <f>G462/B$2</f>
        <v>0</v>
      </c>
    </row>
    <row r="463" spans="1:11" x14ac:dyDescent="0.3">
      <c r="A463" s="116" t="s">
        <v>249</v>
      </c>
      <c r="B463" s="117">
        <f>VLOOKUP(MID($A463,1,2),'Free Spins Symbol'!$T$2:$Z$29,3,0)</f>
        <v>38</v>
      </c>
      <c r="C463" s="129">
        <f>'Free Spins Symbol'!$W$18</f>
        <v>56</v>
      </c>
      <c r="D463" s="117">
        <f>VLOOKUP(MID($A463,7,2),'Free Spins Symbol'!$T$2:$Z$29,5,0)</f>
        <v>1</v>
      </c>
      <c r="E463" s="129">
        <f>'Free Spins Symbol'!$Y$18</f>
        <v>32</v>
      </c>
      <c r="F463" s="117">
        <f>VLOOKUP(MID($A463,13,2),'Free Spins Symbol'!$T$2:$Z$29,7,0)</f>
        <v>2</v>
      </c>
      <c r="G463" s="100">
        <f>B463*C463*D463*E463*F463-G457</f>
        <v>136192</v>
      </c>
      <c r="H463" s="118">
        <f t="shared" si="89"/>
        <v>2526.3157894736842</v>
      </c>
      <c r="I463" s="100">
        <v>100</v>
      </c>
      <c r="J463" s="119">
        <f t="shared" ref="J463:J471" si="91">K463*I463</f>
        <v>3.9583333333333331E-2</v>
      </c>
      <c r="K463" s="120">
        <f t="shared" ref="K463:K471" si="92">G463/B$2</f>
        <v>3.9583333333333332E-4</v>
      </c>
    </row>
    <row r="464" spans="1:11" x14ac:dyDescent="0.3">
      <c r="A464" s="116" t="s">
        <v>250</v>
      </c>
      <c r="B464" s="117">
        <f>VLOOKUP(MID($A464,1,2),'Free Spins Symbol'!$T$2:$Z$29,3,0)</f>
        <v>35</v>
      </c>
      <c r="C464" s="129">
        <f>'Free Spins Symbol'!$W$18</f>
        <v>56</v>
      </c>
      <c r="D464" s="117">
        <f>VLOOKUP(MID($A464,7,2),'Free Spins Symbol'!$T$2:$Z$29,5,0)</f>
        <v>9</v>
      </c>
      <c r="E464" s="129">
        <f>'Free Spins Symbol'!$Y$18</f>
        <v>32</v>
      </c>
      <c r="F464" s="117">
        <f>VLOOKUP(MID($A464,13,2),'Free Spins Symbol'!$T$2:$Z$29,7,0)</f>
        <v>11</v>
      </c>
      <c r="G464" s="100">
        <f>B464*C464*D464*E464*F464-G457</f>
        <v>6209280</v>
      </c>
      <c r="H464" s="118">
        <f t="shared" si="89"/>
        <v>55.411255411255411</v>
      </c>
      <c r="I464" s="100">
        <v>100</v>
      </c>
      <c r="J464" s="119">
        <f t="shared" si="91"/>
        <v>1.8046875</v>
      </c>
      <c r="K464" s="120">
        <f t="shared" si="92"/>
        <v>1.8046875E-2</v>
      </c>
    </row>
    <row r="465" spans="1:11" x14ac:dyDescent="0.3">
      <c r="A465" s="116" t="s">
        <v>251</v>
      </c>
      <c r="B465" s="117">
        <f>VLOOKUP(MID($A465,1,2),'Free Spins Symbol'!$T$2:$Z$29,3,0)</f>
        <v>28</v>
      </c>
      <c r="C465" s="129">
        <f>'Free Spins Symbol'!$W$18</f>
        <v>56</v>
      </c>
      <c r="D465" s="117">
        <f>VLOOKUP(MID($A465,7,2),'Free Spins Symbol'!$T$2:$Z$29,5,0)</f>
        <v>9</v>
      </c>
      <c r="E465" s="129">
        <f>'Free Spins Symbol'!$Y$18</f>
        <v>32</v>
      </c>
      <c r="F465" s="117">
        <f>VLOOKUP(MID($A465,13,2),'Free Spins Symbol'!$T$2:$Z$29,7,0)</f>
        <v>1</v>
      </c>
      <c r="G465" s="100">
        <f>B465*C465*D465*E465*F465-G457</f>
        <v>451584</v>
      </c>
      <c r="H465" s="118">
        <f t="shared" si="89"/>
        <v>761.90476190476193</v>
      </c>
      <c r="I465" s="100">
        <v>100</v>
      </c>
      <c r="J465" s="119">
        <f t="shared" si="91"/>
        <v>0.13125000000000001</v>
      </c>
      <c r="K465" s="120">
        <f t="shared" si="92"/>
        <v>1.3125000000000001E-3</v>
      </c>
    </row>
    <row r="466" spans="1:11" x14ac:dyDescent="0.3">
      <c r="A466" s="116" t="s">
        <v>252</v>
      </c>
      <c r="B466" s="117">
        <f>VLOOKUP(MID($A466,1,2),'Free Spins Symbol'!$T$2:$Z$29,3,0)</f>
        <v>34</v>
      </c>
      <c r="C466" s="129">
        <f>'Free Spins Symbol'!$W$18</f>
        <v>56</v>
      </c>
      <c r="D466" s="117">
        <f>VLOOKUP(MID($A466,7,2),'Free Spins Symbol'!$T$2:$Z$29,5,0)</f>
        <v>1</v>
      </c>
      <c r="E466" s="129">
        <f>'Free Spins Symbol'!$Y$18</f>
        <v>32</v>
      </c>
      <c r="F466" s="117">
        <f>VLOOKUP(MID($A466,13,2),'Free Spins Symbol'!$T$2:$Z$29,7,0)</f>
        <v>11</v>
      </c>
      <c r="G466" s="100">
        <f>(B466*C466*D466*E466-B462*C462*D462*E462)*F466</f>
        <v>670208</v>
      </c>
      <c r="H466" s="118">
        <f t="shared" si="89"/>
        <v>513.36898395721926</v>
      </c>
      <c r="I466" s="100">
        <v>100</v>
      </c>
      <c r="J466" s="119">
        <f t="shared" si="91"/>
        <v>0.19479166666666667</v>
      </c>
      <c r="K466" s="120">
        <f t="shared" si="92"/>
        <v>1.9479166666666666E-3</v>
      </c>
    </row>
    <row r="467" spans="1:11" x14ac:dyDescent="0.3">
      <c r="A467" s="116" t="s">
        <v>253</v>
      </c>
      <c r="B467" s="117">
        <f>VLOOKUP(MID($A467,1,2),'Free Spins Symbol'!$T$2:$Z$29,3,0)</f>
        <v>19</v>
      </c>
      <c r="C467" s="129">
        <f>'Free Spins Symbol'!$W$18</f>
        <v>56</v>
      </c>
      <c r="D467" s="117">
        <f>VLOOKUP(MID($A467,7,2),'Free Spins Symbol'!$T$2:$Z$29,5,0)</f>
        <v>10</v>
      </c>
      <c r="E467" s="129">
        <f>'Free Spins Symbol'!$Y$18</f>
        <v>32</v>
      </c>
      <c r="F467" s="117">
        <f>VLOOKUP(MID($A467,13,2),'Free Spins Symbol'!$T$2:$Z$29,7,0)</f>
        <v>11</v>
      </c>
      <c r="G467" s="100">
        <f>B467*C467*D467*E467*F467-G457</f>
        <v>3745280</v>
      </c>
      <c r="H467" s="118">
        <f t="shared" si="89"/>
        <v>91.866028708133967</v>
      </c>
      <c r="I467" s="100">
        <v>100</v>
      </c>
      <c r="J467" s="119">
        <f t="shared" si="91"/>
        <v>1.0885416666666667</v>
      </c>
      <c r="K467" s="120">
        <f t="shared" si="92"/>
        <v>1.0885416666666667E-2</v>
      </c>
    </row>
    <row r="468" spans="1:11" x14ac:dyDescent="0.3">
      <c r="A468" s="116" t="s">
        <v>255</v>
      </c>
      <c r="B468" s="117">
        <f>VLOOKUP(MID($A468,1,2),'Free Spins Symbol'!$T$2:$Z$29,3,0)</f>
        <v>20</v>
      </c>
      <c r="C468" s="129">
        <f>'Free Spins Symbol'!$W$18</f>
        <v>56</v>
      </c>
      <c r="D468" s="117">
        <f>VLOOKUP(MID($A468,7,2),'Free Spins Symbol'!$T$2:$Z$29,5,0)</f>
        <v>2</v>
      </c>
      <c r="E468" s="129">
        <f>'Free Spins Symbol'!$Y$18</f>
        <v>32</v>
      </c>
      <c r="F468" s="117">
        <f>VLOOKUP(MID($A468,13,2),'Free Spins Symbol'!$T$2:$Z$29,7,0)</f>
        <v>48</v>
      </c>
      <c r="G468" s="100">
        <f>(B468*C468*D468*E468-B462*C462*D462*E462)*(F468-F458)</f>
        <v>3368960</v>
      </c>
      <c r="H468" s="118">
        <f t="shared" si="89"/>
        <v>102.12765957446808</v>
      </c>
      <c r="I468" s="100">
        <v>50</v>
      </c>
      <c r="J468" s="119">
        <f t="shared" si="91"/>
        <v>0.48958333333333337</v>
      </c>
      <c r="K468" s="120">
        <f t="shared" si="92"/>
        <v>9.7916666666666673E-3</v>
      </c>
    </row>
    <row r="469" spans="1:11" x14ac:dyDescent="0.3">
      <c r="A469" s="116" t="s">
        <v>256</v>
      </c>
      <c r="B469" s="117">
        <f>VLOOKUP(MID($A469,1,2),'Free Spins Symbol'!$T$2:$Z$29,3,0)</f>
        <v>22</v>
      </c>
      <c r="C469" s="129">
        <f>'Free Spins Symbol'!$W$18</f>
        <v>56</v>
      </c>
      <c r="D469" s="117">
        <f>VLOOKUP(MID($A469,7,2),'Free Spins Symbol'!$T$2:$Z$29,5,0)</f>
        <v>3</v>
      </c>
      <c r="E469" s="129">
        <f>'Free Spins Symbol'!$Y$18</f>
        <v>32</v>
      </c>
      <c r="F469" s="117">
        <f>VLOOKUP(MID($A469,13,2),'Free Spins Symbol'!$T$2:$Z$29,7,0)</f>
        <v>48</v>
      </c>
      <c r="G469" s="100">
        <f>(B469*C469*D469*E469-B462*C462*D462*E462)*(F469-F459)</f>
        <v>5558784</v>
      </c>
      <c r="H469" s="118">
        <f t="shared" si="89"/>
        <v>61.895551257253388</v>
      </c>
      <c r="I469" s="100">
        <v>50</v>
      </c>
      <c r="J469" s="119">
        <f t="shared" si="91"/>
        <v>0.80781250000000004</v>
      </c>
      <c r="K469" s="120">
        <f t="shared" si="92"/>
        <v>1.615625E-2</v>
      </c>
    </row>
    <row r="470" spans="1:11" x14ac:dyDescent="0.3">
      <c r="A470" s="116" t="s">
        <v>257</v>
      </c>
      <c r="B470" s="117">
        <f>VLOOKUP(MID($A470,1,2),'Free Spins Symbol'!$T$2:$Z$29,3,0)</f>
        <v>24</v>
      </c>
      <c r="C470" s="129">
        <f>'Free Spins Symbol'!$W$18</f>
        <v>56</v>
      </c>
      <c r="D470" s="117">
        <f>VLOOKUP(MID($A470,7,2),'Free Spins Symbol'!$T$2:$Z$29,5,0)</f>
        <v>2</v>
      </c>
      <c r="E470" s="129">
        <f>'Free Spins Symbol'!$Y$18</f>
        <v>32</v>
      </c>
      <c r="F470" s="117">
        <f>VLOOKUP(MID($A470,13,2),'Free Spins Symbol'!$T$2:$Z$29,7,0)</f>
        <v>48</v>
      </c>
      <c r="G470" s="100">
        <f>(B470*C470*D470*E470-B462*C462*D462*E462)*(F470-F460)</f>
        <v>3698688</v>
      </c>
      <c r="H470" s="118">
        <f t="shared" si="89"/>
        <v>93.023255813953483</v>
      </c>
      <c r="I470" s="100">
        <v>30</v>
      </c>
      <c r="J470" s="119">
        <f t="shared" si="91"/>
        <v>0.32249999999999995</v>
      </c>
      <c r="K470" s="120">
        <f t="shared" si="92"/>
        <v>1.0749999999999999E-2</v>
      </c>
    </row>
    <row r="471" spans="1:11" x14ac:dyDescent="0.3">
      <c r="A471" s="116" t="s">
        <v>258</v>
      </c>
      <c r="B471" s="117">
        <f>VLOOKUP(MID($A471,1,2),'Free Spins Symbol'!$T$2:$Z$29,3,0)</f>
        <v>24</v>
      </c>
      <c r="C471" s="129">
        <f>'Free Spins Symbol'!$W$18</f>
        <v>56</v>
      </c>
      <c r="D471" s="117">
        <f>VLOOKUP(MID($A471,7,2),'Free Spins Symbol'!$T$2:$Z$29,5,0)</f>
        <v>2</v>
      </c>
      <c r="E471" s="129">
        <f>'Free Spins Symbol'!$Y$18</f>
        <v>32</v>
      </c>
      <c r="F471" s="117">
        <f>VLOOKUP(MID($A471,13,2),'Free Spins Symbol'!$T$2:$Z$29,7,0)</f>
        <v>48</v>
      </c>
      <c r="G471" s="100">
        <f>(B471*C471*D471*E471-B462*C462*D462*E462)*(F471-F461)</f>
        <v>3698688</v>
      </c>
      <c r="H471" s="118">
        <f t="shared" si="89"/>
        <v>93.023255813953483</v>
      </c>
      <c r="I471" s="100">
        <v>30</v>
      </c>
      <c r="J471" s="119">
        <f t="shared" si="91"/>
        <v>0.32249999999999995</v>
      </c>
      <c r="K471" s="120">
        <f t="shared" si="92"/>
        <v>1.0749999999999999E-2</v>
      </c>
    </row>
    <row r="472" spans="1:11" x14ac:dyDescent="0.3">
      <c r="A472" s="116" t="s">
        <v>264</v>
      </c>
      <c r="B472" s="117">
        <f>VLOOKUP(MID($A472,1,2),'Free Spins Symbol'!$T$2:$Z$29,3,0)</f>
        <v>18</v>
      </c>
      <c r="C472" s="129">
        <f>'Free Spins Symbol'!$W$18</f>
        <v>56</v>
      </c>
      <c r="D472" s="117">
        <f>VLOOKUP(MID($A472,7,2),'Free Spins Symbol'!$T$2:$Z$29,5,0)</f>
        <v>0</v>
      </c>
      <c r="E472" s="129">
        <f>'Free Spins Symbol'!$Y$18</f>
        <v>32</v>
      </c>
      <c r="F472" s="117">
        <f>VLOOKUP(MID($A472,13,2),'Free Spins Symbol'!$T$2:$Z$29,7,0)</f>
        <v>48</v>
      </c>
      <c r="G472" s="100">
        <f>(B472*C472*D472)*(E472*F472-(E471+E470+E469+E468-3*E462)*F462-(E467-E462)*F467-(E466-E462)*F466-(E465-E462)*F465-(E464-E462)*F464-(E463-E462)*F463)</f>
        <v>0</v>
      </c>
      <c r="H472" s="118" t="e">
        <f t="shared" si="89"/>
        <v>#DIV/0!</v>
      </c>
      <c r="I472" s="100">
        <v>20</v>
      </c>
      <c r="J472" s="119">
        <f>K472*I472</f>
        <v>0</v>
      </c>
      <c r="K472" s="120">
        <f>G472/B$2</f>
        <v>0</v>
      </c>
    </row>
    <row r="473" spans="1:11" x14ac:dyDescent="0.3">
      <c r="A473" s="116" t="s">
        <v>259</v>
      </c>
      <c r="B473" s="117">
        <f>VLOOKUP(MID($A473,1,2),'Free Spins Symbol'!$T$2:$Z$29,3,0)</f>
        <v>38</v>
      </c>
      <c r="C473" s="129">
        <f>'Free Spins Symbol'!$W$18</f>
        <v>56</v>
      </c>
      <c r="D473" s="117">
        <f>VLOOKUP(MID($A473,7,2),'Free Spins Symbol'!$T$2:$Z$29,5,0)</f>
        <v>1</v>
      </c>
      <c r="E473" s="129">
        <f>'Free Spins Symbol'!$Y$18</f>
        <v>32</v>
      </c>
      <c r="F473" s="117">
        <f>VLOOKUP(MID($A473,13,2),'Free Spins Symbol'!$T$2:$Z$29,7,0)</f>
        <v>48</v>
      </c>
      <c r="G473" s="100">
        <f>B473*C473*D473*E473*(F473-F463)</f>
        <v>3132416</v>
      </c>
      <c r="H473" s="118">
        <f t="shared" si="89"/>
        <v>109.83981693363845</v>
      </c>
      <c r="I473" s="100">
        <v>20</v>
      </c>
      <c r="J473" s="119">
        <f t="shared" ref="J473:J492" si="93">K473*I473</f>
        <v>0.18208333333333332</v>
      </c>
      <c r="K473" s="120">
        <f t="shared" ref="K473:K492" si="94">G473/B$2</f>
        <v>9.1041666666666667E-3</v>
      </c>
    </row>
    <row r="474" spans="1:11" x14ac:dyDescent="0.3">
      <c r="A474" s="116" t="s">
        <v>260</v>
      </c>
      <c r="B474" s="117">
        <f>VLOOKUP(MID($A474,1,2),'Free Spins Symbol'!$T$2:$Z$29,3,0)</f>
        <v>35</v>
      </c>
      <c r="C474" s="129">
        <f>'Free Spins Symbol'!$W$18</f>
        <v>56</v>
      </c>
      <c r="D474" s="117">
        <f>VLOOKUP(MID($A474,7,2),'Free Spins Symbol'!$T$2:$Z$29,5,0)</f>
        <v>9</v>
      </c>
      <c r="E474" s="129">
        <f>'Free Spins Symbol'!$Y$18</f>
        <v>32</v>
      </c>
      <c r="F474" s="117">
        <f>VLOOKUP(MID($A474,13,2),'Free Spins Symbol'!$T$2:$Z$29,7,0)</f>
        <v>48</v>
      </c>
      <c r="G474" s="100">
        <f t="shared" ref="G474:G477" si="95">B474*C474*D474*E474*(F474-F464)</f>
        <v>20885760</v>
      </c>
      <c r="H474" s="118">
        <f t="shared" si="89"/>
        <v>16.473616473616474</v>
      </c>
      <c r="I474" s="100">
        <v>20</v>
      </c>
      <c r="J474" s="119">
        <f t="shared" si="93"/>
        <v>1.2140624999999998</v>
      </c>
      <c r="K474" s="120">
        <f t="shared" si="94"/>
        <v>6.0703124999999997E-2</v>
      </c>
    </row>
    <row r="475" spans="1:11" x14ac:dyDescent="0.3">
      <c r="A475" s="116" t="s">
        <v>261</v>
      </c>
      <c r="B475" s="117">
        <f>VLOOKUP(MID($A475,1,2),'Free Spins Symbol'!$T$2:$Z$29,3,0)</f>
        <v>28</v>
      </c>
      <c r="C475" s="129">
        <f>'Free Spins Symbol'!$W$18</f>
        <v>56</v>
      </c>
      <c r="D475" s="117">
        <f>VLOOKUP(MID($A475,7,2),'Free Spins Symbol'!$T$2:$Z$29,5,0)</f>
        <v>9</v>
      </c>
      <c r="E475" s="129">
        <f>'Free Spins Symbol'!$Y$18</f>
        <v>32</v>
      </c>
      <c r="F475" s="117">
        <f>VLOOKUP(MID($A475,13,2),'Free Spins Symbol'!$T$2:$Z$29,7,0)</f>
        <v>48</v>
      </c>
      <c r="G475" s="100">
        <f t="shared" si="95"/>
        <v>21224448</v>
      </c>
      <c r="H475" s="118">
        <f t="shared" si="89"/>
        <v>16.210739614994935</v>
      </c>
      <c r="I475" s="100">
        <v>20</v>
      </c>
      <c r="J475" s="119">
        <f t="shared" si="93"/>
        <v>1.2337499999999999</v>
      </c>
      <c r="K475" s="120">
        <f t="shared" si="94"/>
        <v>6.1687499999999999E-2</v>
      </c>
    </row>
    <row r="476" spans="1:11" x14ac:dyDescent="0.3">
      <c r="A476" s="116" t="s">
        <v>262</v>
      </c>
      <c r="B476" s="117">
        <f>VLOOKUP(MID($A476,1,2),'Free Spins Symbol'!$T$2:$Z$29,3,0)</f>
        <v>34</v>
      </c>
      <c r="C476" s="129">
        <f>'Free Spins Symbol'!$W$18</f>
        <v>56</v>
      </c>
      <c r="D476" s="117">
        <f>VLOOKUP(MID($A476,7,2),'Free Spins Symbol'!$T$2:$Z$29,5,0)</f>
        <v>1</v>
      </c>
      <c r="E476" s="129">
        <f>'Free Spins Symbol'!$Y$18</f>
        <v>32</v>
      </c>
      <c r="F476" s="117">
        <f>VLOOKUP(MID($A476,13,2),'Free Spins Symbol'!$T$2:$Z$29,7,0)</f>
        <v>48</v>
      </c>
      <c r="G476" s="100">
        <f t="shared" si="95"/>
        <v>2254336</v>
      </c>
      <c r="H476" s="118">
        <f t="shared" si="89"/>
        <v>152.62321144674087</v>
      </c>
      <c r="I476" s="100">
        <v>20</v>
      </c>
      <c r="J476" s="119">
        <f t="shared" si="93"/>
        <v>0.13104166666666667</v>
      </c>
      <c r="K476" s="120">
        <f t="shared" si="94"/>
        <v>6.5520833333333334E-3</v>
      </c>
    </row>
    <row r="477" spans="1:11" x14ac:dyDescent="0.3">
      <c r="A477" s="116" t="s">
        <v>263</v>
      </c>
      <c r="B477" s="117">
        <f>VLOOKUP(MID($A477,1,2),'Free Spins Symbol'!$T$2:$Z$29,3,0)</f>
        <v>19</v>
      </c>
      <c r="C477" s="129">
        <f>'Free Spins Symbol'!$W$18</f>
        <v>56</v>
      </c>
      <c r="D477" s="117">
        <f>VLOOKUP(MID($A477,7,2),'Free Spins Symbol'!$T$2:$Z$29,5,0)</f>
        <v>10</v>
      </c>
      <c r="E477" s="129">
        <f>'Free Spins Symbol'!$Y$18</f>
        <v>32</v>
      </c>
      <c r="F477" s="117">
        <f>VLOOKUP(MID($A477,13,2),'Free Spins Symbol'!$T$2:$Z$29,7,0)</f>
        <v>48</v>
      </c>
      <c r="G477" s="100">
        <f t="shared" si="95"/>
        <v>12597760</v>
      </c>
      <c r="H477" s="118">
        <f t="shared" si="89"/>
        <v>27.311522048364154</v>
      </c>
      <c r="I477" s="100">
        <v>20</v>
      </c>
      <c r="J477" s="119">
        <f t="shared" si="93"/>
        <v>0.73229166666666667</v>
      </c>
      <c r="K477" s="120">
        <f t="shared" si="94"/>
        <v>3.6614583333333332E-2</v>
      </c>
    </row>
    <row r="478" spans="1:11" x14ac:dyDescent="0.3">
      <c r="A478" s="116" t="s">
        <v>265</v>
      </c>
      <c r="B478" s="117">
        <f>VLOOKUP(MID($A478,1,2),'Free Spins Symbol'!$T$2:$Z$29,3,0)</f>
        <v>20</v>
      </c>
      <c r="C478" s="129">
        <f>'Free Spins Symbol'!$W$18</f>
        <v>56</v>
      </c>
      <c r="D478" s="117">
        <f>VLOOKUP(MID($A478,7,2),'Free Spins Symbol'!$T$2:$Z$29,5,0)</f>
        <v>2</v>
      </c>
      <c r="E478" s="129">
        <f>'Free Spins Symbol'!$Y$18</f>
        <v>32</v>
      </c>
      <c r="F478" s="117">
        <f>VLOOKUP(MID($A478,13,2),'Free Spins Symbol'!$T$2:$Z$29,7,0)</f>
        <v>48</v>
      </c>
      <c r="G478" s="100">
        <f>(B478*C478*D478)*(E478-E468)*F478</f>
        <v>0</v>
      </c>
      <c r="H478" s="118" t="e">
        <f t="shared" si="89"/>
        <v>#DIV/0!</v>
      </c>
      <c r="I478" s="100">
        <v>20</v>
      </c>
      <c r="J478" s="119">
        <f t="shared" si="93"/>
        <v>0</v>
      </c>
      <c r="K478" s="120">
        <f t="shared" si="94"/>
        <v>0</v>
      </c>
    </row>
    <row r="479" spans="1:11" x14ac:dyDescent="0.3">
      <c r="A479" s="116" t="s">
        <v>266</v>
      </c>
      <c r="B479" s="117">
        <f>VLOOKUP(MID($A479,1,2),'Free Spins Symbol'!$T$2:$Z$29,3,0)</f>
        <v>22</v>
      </c>
      <c r="C479" s="129">
        <f>'Free Spins Symbol'!$W$18</f>
        <v>56</v>
      </c>
      <c r="D479" s="117">
        <f>VLOOKUP(MID($A479,7,2),'Free Spins Symbol'!$T$2:$Z$29,5,0)</f>
        <v>3</v>
      </c>
      <c r="E479" s="129">
        <f>'Free Spins Symbol'!$Y$18</f>
        <v>32</v>
      </c>
      <c r="F479" s="117">
        <f>VLOOKUP(MID($A479,13,2),'Free Spins Symbol'!$T$2:$Z$29,7,0)</f>
        <v>48</v>
      </c>
      <c r="G479" s="100">
        <f>(B479*C479*D479)*(E479-E469)*F479</f>
        <v>0</v>
      </c>
      <c r="H479" s="118" t="e">
        <f t="shared" si="89"/>
        <v>#DIV/0!</v>
      </c>
      <c r="I479" s="100">
        <v>20</v>
      </c>
      <c r="J479" s="119">
        <f t="shared" si="93"/>
        <v>0</v>
      </c>
      <c r="K479" s="120">
        <f t="shared" si="94"/>
        <v>0</v>
      </c>
    </row>
    <row r="480" spans="1:11" x14ac:dyDescent="0.3">
      <c r="A480" s="116" t="s">
        <v>267</v>
      </c>
      <c r="B480" s="117">
        <f>VLOOKUP(MID($A480,1,2),'Free Spins Symbol'!$T$2:$Z$29,3,0)</f>
        <v>24</v>
      </c>
      <c r="C480" s="129">
        <f>'Free Spins Symbol'!$W$18</f>
        <v>56</v>
      </c>
      <c r="D480" s="117">
        <f>VLOOKUP(MID($A480,7,2),'Free Spins Symbol'!$T$2:$Z$29,5,0)</f>
        <v>2</v>
      </c>
      <c r="E480" s="129">
        <f>'Free Spins Symbol'!$Y$18</f>
        <v>32</v>
      </c>
      <c r="F480" s="117">
        <f>VLOOKUP(MID($A480,13,2),'Free Spins Symbol'!$T$2:$Z$29,7,0)</f>
        <v>48</v>
      </c>
      <c r="G480" s="100">
        <f>(B480*C480*D480-B472*C472*D472)*(E480-E470)*F480</f>
        <v>0</v>
      </c>
      <c r="H480" s="118" t="e">
        <f t="shared" si="89"/>
        <v>#DIV/0!</v>
      </c>
      <c r="I480" s="100">
        <v>10</v>
      </c>
      <c r="J480" s="119">
        <f t="shared" si="93"/>
        <v>0</v>
      </c>
      <c r="K480" s="120">
        <f t="shared" si="94"/>
        <v>0</v>
      </c>
    </row>
    <row r="481" spans="1:11" x14ac:dyDescent="0.3">
      <c r="A481" s="116" t="s">
        <v>268</v>
      </c>
      <c r="B481" s="117">
        <f>VLOOKUP(MID($A481,1,2),'Free Spins Symbol'!$T$2:$Z$29,3,0)</f>
        <v>24</v>
      </c>
      <c r="C481" s="129">
        <f>'Free Spins Symbol'!$W$18</f>
        <v>56</v>
      </c>
      <c r="D481" s="117">
        <f>VLOOKUP(MID($A481,7,2),'Free Spins Symbol'!$T$2:$Z$29,5,0)</f>
        <v>2</v>
      </c>
      <c r="E481" s="129">
        <f>'Free Spins Symbol'!$Y$18</f>
        <v>32</v>
      </c>
      <c r="F481" s="117">
        <f>VLOOKUP(MID($A481,13,2),'Free Spins Symbol'!$T$2:$Z$29,7,0)</f>
        <v>48</v>
      </c>
      <c r="G481" s="100">
        <f>(B481*C481*D481-B472*C472*D472)*(E481-E471)*F481</f>
        <v>0</v>
      </c>
      <c r="H481" s="118" t="e">
        <f t="shared" si="89"/>
        <v>#DIV/0!</v>
      </c>
      <c r="I481" s="100">
        <v>10</v>
      </c>
      <c r="J481" s="119">
        <f t="shared" si="93"/>
        <v>0</v>
      </c>
      <c r="K481" s="120">
        <f t="shared" si="94"/>
        <v>0</v>
      </c>
    </row>
    <row r="482" spans="1:11" x14ac:dyDescent="0.3">
      <c r="A482" s="116" t="s">
        <v>269</v>
      </c>
      <c r="B482" s="117">
        <f>VLOOKUP(MID($A482,1,2),'Free Spins Symbol'!$T$2:$Z$29,3,0)</f>
        <v>38</v>
      </c>
      <c r="C482" s="129">
        <f>'Free Spins Symbol'!$W$18</f>
        <v>56</v>
      </c>
      <c r="D482" s="117">
        <f>VLOOKUP(MID($A482,7,2),'Free Spins Symbol'!$T$2:$Z$29,5,0)</f>
        <v>1</v>
      </c>
      <c r="E482" s="129">
        <f>'Free Spins Symbol'!$Y$18</f>
        <v>32</v>
      </c>
      <c r="F482" s="117">
        <f>VLOOKUP(MID($A482,13,2),'Free Spins Symbol'!$T$2:$Z$29,7,0)</f>
        <v>48</v>
      </c>
      <c r="G482" s="100">
        <f>(B482*C482*D482-B472*C472*D472)*(E482-E473)*F482</f>
        <v>0</v>
      </c>
      <c r="H482" s="118" t="e">
        <f t="shared" si="89"/>
        <v>#DIV/0!</v>
      </c>
      <c r="I482" s="100">
        <v>5</v>
      </c>
      <c r="J482" s="119">
        <f t="shared" si="93"/>
        <v>0</v>
      </c>
      <c r="K482" s="120">
        <f t="shared" si="94"/>
        <v>0</v>
      </c>
    </row>
    <row r="483" spans="1:11" x14ac:dyDescent="0.3">
      <c r="A483" s="116" t="s">
        <v>270</v>
      </c>
      <c r="B483" s="117">
        <f>VLOOKUP(MID($A483,1,2),'Free Spins Symbol'!$T$2:$Z$29,3,0)</f>
        <v>35</v>
      </c>
      <c r="C483" s="129">
        <f>'Free Spins Symbol'!$W$18</f>
        <v>56</v>
      </c>
      <c r="D483" s="117">
        <f>VLOOKUP(MID($A483,7,2),'Free Spins Symbol'!$T$2:$Z$29,5,0)</f>
        <v>9</v>
      </c>
      <c r="E483" s="129">
        <f>'Free Spins Symbol'!$Y$18</f>
        <v>32</v>
      </c>
      <c r="F483" s="117">
        <f>VLOOKUP(MID($A483,13,2),'Free Spins Symbol'!$T$2:$Z$29,7,0)</f>
        <v>48</v>
      </c>
      <c r="G483" s="100">
        <f>(B483*C483*D483-B472*C472*D472)*(E483-E474)*F483</f>
        <v>0</v>
      </c>
      <c r="H483" s="118" t="e">
        <f t="shared" si="89"/>
        <v>#DIV/0!</v>
      </c>
      <c r="I483" s="100">
        <v>5</v>
      </c>
      <c r="J483" s="119">
        <f t="shared" si="93"/>
        <v>0</v>
      </c>
      <c r="K483" s="120">
        <f t="shared" si="94"/>
        <v>0</v>
      </c>
    </row>
    <row r="484" spans="1:11" x14ac:dyDescent="0.3">
      <c r="A484" s="116" t="s">
        <v>271</v>
      </c>
      <c r="B484" s="117">
        <f>VLOOKUP(MID($A484,1,2),'Free Spins Symbol'!$T$2:$Z$29,3,0)</f>
        <v>28</v>
      </c>
      <c r="C484" s="129">
        <f>'Free Spins Symbol'!$W$18</f>
        <v>56</v>
      </c>
      <c r="D484" s="117">
        <f>VLOOKUP(MID($A484,7,2),'Free Spins Symbol'!$T$2:$Z$29,5,0)</f>
        <v>9</v>
      </c>
      <c r="E484" s="129">
        <f>'Free Spins Symbol'!$Y$18</f>
        <v>32</v>
      </c>
      <c r="F484" s="117">
        <f>VLOOKUP(MID($A484,13,2),'Free Spins Symbol'!$T$2:$Z$29,7,0)</f>
        <v>48</v>
      </c>
      <c r="G484" s="100">
        <f>(B484*C484*D484-B472*C472*D472)*(E484-E475)*F484</f>
        <v>0</v>
      </c>
      <c r="H484" s="118" t="e">
        <f t="shared" si="89"/>
        <v>#DIV/0!</v>
      </c>
      <c r="I484" s="100">
        <v>5</v>
      </c>
      <c r="J484" s="119">
        <f t="shared" si="93"/>
        <v>0</v>
      </c>
      <c r="K484" s="120">
        <f t="shared" si="94"/>
        <v>0</v>
      </c>
    </row>
    <row r="485" spans="1:11" x14ac:dyDescent="0.3">
      <c r="A485" s="116" t="s">
        <v>272</v>
      </c>
      <c r="B485" s="117">
        <f>VLOOKUP(MID($A485,1,2),'Free Spins Symbol'!$T$2:$Z$29,3,0)</f>
        <v>34</v>
      </c>
      <c r="C485" s="129">
        <f>'Free Spins Symbol'!$W$18</f>
        <v>56</v>
      </c>
      <c r="D485" s="117">
        <f>VLOOKUP(MID($A485,7,2),'Free Spins Symbol'!$T$2:$Z$29,5,0)</f>
        <v>1</v>
      </c>
      <c r="E485" s="129">
        <f>'Free Spins Symbol'!$Y$18</f>
        <v>32</v>
      </c>
      <c r="F485" s="117">
        <f>VLOOKUP(MID($A485,13,2),'Free Spins Symbol'!$T$2:$Z$29,7,0)</f>
        <v>48</v>
      </c>
      <c r="G485" s="100">
        <f>(B485*C485*D485-B472*C472*D472)*(E485-E476)*F485</f>
        <v>0</v>
      </c>
      <c r="H485" s="118" t="e">
        <f t="shared" si="89"/>
        <v>#DIV/0!</v>
      </c>
      <c r="I485" s="100">
        <v>5</v>
      </c>
      <c r="J485" s="119">
        <f t="shared" si="93"/>
        <v>0</v>
      </c>
      <c r="K485" s="120">
        <f t="shared" si="94"/>
        <v>0</v>
      </c>
    </row>
    <row r="486" spans="1:11" x14ac:dyDescent="0.3">
      <c r="A486" s="116" t="s">
        <v>273</v>
      </c>
      <c r="B486" s="117">
        <f>VLOOKUP(MID($A486,1,2),'Free Spins Symbol'!$T$2:$Z$29,3,0)</f>
        <v>19</v>
      </c>
      <c r="C486" s="129">
        <f>'Free Spins Symbol'!$W$18</f>
        <v>56</v>
      </c>
      <c r="D486" s="117">
        <f>VLOOKUP(MID($A486,7,2),'Free Spins Symbol'!$T$2:$Z$29,5,0)</f>
        <v>10</v>
      </c>
      <c r="E486" s="129">
        <f>'Free Spins Symbol'!$Y$18</f>
        <v>32</v>
      </c>
      <c r="F486" s="117">
        <f>VLOOKUP(MID($A486,13,2),'Free Spins Symbol'!$T$2:$Z$29,7,0)</f>
        <v>48</v>
      </c>
      <c r="G486" s="100">
        <f>(B486*C486*D486-B472*C472*D472)*(E486-E477)*F486</f>
        <v>0</v>
      </c>
      <c r="H486" s="118" t="e">
        <f t="shared" si="89"/>
        <v>#DIV/0!</v>
      </c>
      <c r="I486" s="100">
        <v>5</v>
      </c>
      <c r="J486" s="119">
        <f t="shared" si="93"/>
        <v>0</v>
      </c>
      <c r="K486" s="120">
        <f t="shared" si="94"/>
        <v>0</v>
      </c>
    </row>
    <row r="487" spans="1:11" x14ac:dyDescent="0.3">
      <c r="A487" s="116" t="s">
        <v>274</v>
      </c>
      <c r="B487" s="117">
        <f>VLOOKUP(MID($A487,1,2),'Free Spins Symbol'!$T$2:$Z$29,3,0)</f>
        <v>18</v>
      </c>
      <c r="C487" s="129">
        <f>'Free Spins Symbol'!$W$18</f>
        <v>56</v>
      </c>
      <c r="D487" s="117">
        <f>VLOOKUP(MID($A487,7,2),'Free Spins Symbol'!$T$2:$Z$29,5,0)</f>
        <v>40</v>
      </c>
      <c r="E487" s="129">
        <f>'Free Spins Symbol'!$Y$18</f>
        <v>32</v>
      </c>
      <c r="F487" s="117">
        <f>VLOOKUP(MID($A487,13,2),'Free Spins Symbol'!$T$2:$Z$29,7,0)</f>
        <v>48</v>
      </c>
      <c r="G487" s="100">
        <f>B487*C487*(D487-D486-D485-D484-D483-D482-D481-D480-D479-D478+8*D472)*E487*F487</f>
        <v>1548288</v>
      </c>
      <c r="H487" s="118">
        <f t="shared" si="89"/>
        <v>222.22222222222223</v>
      </c>
      <c r="I487" s="100">
        <v>5</v>
      </c>
      <c r="J487" s="119">
        <f t="shared" si="93"/>
        <v>2.2499999999999999E-2</v>
      </c>
      <c r="K487" s="120">
        <f t="shared" si="94"/>
        <v>4.4999999999999997E-3</v>
      </c>
    </row>
    <row r="488" spans="1:11" x14ac:dyDescent="0.3">
      <c r="A488" s="116" t="s">
        <v>275</v>
      </c>
      <c r="B488" s="117">
        <f>VLOOKUP(MID($A488,1,2),'Free Spins Symbol'!$T$2:$Z$29,3,0)</f>
        <v>20</v>
      </c>
      <c r="C488" s="129">
        <f>'Free Spins Symbol'!$W$18</f>
        <v>56</v>
      </c>
      <c r="D488" s="117">
        <f>VLOOKUP(MID($A488,7,2),'Free Spins Symbol'!$T$2:$Z$29,5,0)</f>
        <v>40</v>
      </c>
      <c r="E488" s="129">
        <f>'Free Spins Symbol'!$Y$18</f>
        <v>32</v>
      </c>
      <c r="F488" s="117">
        <f>VLOOKUP(MID($A488,13,2),'Free Spins Symbol'!$T$2:$Z$29,7,0)</f>
        <v>48</v>
      </c>
      <c r="G488" s="100">
        <f>(B488*C488-B487*C487)*(D488-D478)*E488*F488</f>
        <v>6537216</v>
      </c>
      <c r="H488" s="118">
        <f t="shared" si="89"/>
        <v>52.631578947368418</v>
      </c>
      <c r="I488" s="100">
        <v>5</v>
      </c>
      <c r="J488" s="119">
        <f t="shared" si="93"/>
        <v>9.5000000000000001E-2</v>
      </c>
      <c r="K488" s="120">
        <f t="shared" si="94"/>
        <v>1.9E-2</v>
      </c>
    </row>
    <row r="489" spans="1:11" x14ac:dyDescent="0.3">
      <c r="A489" s="116" t="s">
        <v>276</v>
      </c>
      <c r="B489" s="117">
        <f>VLOOKUP(MID($A489,1,2),'Free Spins Symbol'!$T$2:$Z$29,3,0)</f>
        <v>22</v>
      </c>
      <c r="C489" s="129">
        <f>'Free Spins Symbol'!$W$18</f>
        <v>56</v>
      </c>
      <c r="D489" s="117">
        <f>VLOOKUP(MID($A489,7,2),'Free Spins Symbol'!$T$2:$Z$29,5,0)</f>
        <v>40</v>
      </c>
      <c r="E489" s="129">
        <f>'Free Spins Symbol'!$Y$18</f>
        <v>32</v>
      </c>
      <c r="F489" s="117">
        <f>VLOOKUP(MID($A489,13,2),'Free Spins Symbol'!$T$2:$Z$29,7,0)</f>
        <v>48</v>
      </c>
      <c r="G489" s="100">
        <f>(B489*C489-B487*C487)*(D489-D479)*E489*F489</f>
        <v>12730368</v>
      </c>
      <c r="H489" s="118">
        <f t="shared" si="89"/>
        <v>27.027027027027028</v>
      </c>
      <c r="I489" s="100">
        <v>5</v>
      </c>
      <c r="J489" s="119">
        <f t="shared" si="93"/>
        <v>0.185</v>
      </c>
      <c r="K489" s="120">
        <f t="shared" si="94"/>
        <v>3.6999999999999998E-2</v>
      </c>
    </row>
    <row r="490" spans="1:11" x14ac:dyDescent="0.3">
      <c r="A490" s="116" t="s">
        <v>277</v>
      </c>
      <c r="B490" s="117">
        <f>VLOOKUP(MID($A490,1,2),'Free Spins Symbol'!$T$2:$Z$29,3,0)</f>
        <v>24</v>
      </c>
      <c r="C490" s="129">
        <f>'Free Spins Symbol'!$W$18</f>
        <v>56</v>
      </c>
      <c r="D490" s="117">
        <f>VLOOKUP(MID($A490,7,2),'Free Spins Symbol'!$T$2:$Z$29,5,0)</f>
        <v>40</v>
      </c>
      <c r="E490" s="129">
        <f>'Free Spins Symbol'!$Y$18</f>
        <v>32</v>
      </c>
      <c r="F490" s="117">
        <f>VLOOKUP(MID($A490,13,2),'Free Spins Symbol'!$T$2:$Z$29,7,0)</f>
        <v>48</v>
      </c>
      <c r="G490" s="100">
        <f>(B490*C490-B487*C487)*(D490-D480)*E490*F490</f>
        <v>19611648</v>
      </c>
      <c r="H490" s="118">
        <f t="shared" si="89"/>
        <v>17.543859649122808</v>
      </c>
      <c r="I490" s="100">
        <v>5</v>
      </c>
      <c r="J490" s="119">
        <f t="shared" si="93"/>
        <v>0.28500000000000003</v>
      </c>
      <c r="K490" s="120">
        <f t="shared" si="94"/>
        <v>5.7000000000000002E-2</v>
      </c>
    </row>
    <row r="491" spans="1:11" x14ac:dyDescent="0.3">
      <c r="A491" s="116" t="s">
        <v>278</v>
      </c>
      <c r="B491" s="117">
        <f>VLOOKUP(MID($A491,1,2),'Free Spins Symbol'!$T$2:$Z$29,3,0)</f>
        <v>24</v>
      </c>
      <c r="C491" s="129">
        <f>'Free Spins Symbol'!$W$18</f>
        <v>56</v>
      </c>
      <c r="D491" s="117">
        <f>VLOOKUP(MID($A491,7,2),'Free Spins Symbol'!$T$2:$Z$29,5,0)</f>
        <v>40</v>
      </c>
      <c r="E491" s="129">
        <f>'Free Spins Symbol'!$Y$18</f>
        <v>32</v>
      </c>
      <c r="F491" s="117">
        <f>VLOOKUP(MID($A491,13,2),'Free Spins Symbol'!$T$2:$Z$29,7,0)</f>
        <v>48</v>
      </c>
      <c r="G491" s="100">
        <f>(B491*C491-B487*C487)*(D491-D481)*E491*F491</f>
        <v>19611648</v>
      </c>
      <c r="H491" s="118">
        <f t="shared" si="89"/>
        <v>17.543859649122808</v>
      </c>
      <c r="I491" s="100">
        <v>5</v>
      </c>
      <c r="J491" s="119">
        <f t="shared" si="93"/>
        <v>0.28500000000000003</v>
      </c>
      <c r="K491" s="120">
        <f t="shared" si="94"/>
        <v>5.7000000000000002E-2</v>
      </c>
    </row>
    <row r="492" spans="1:11" x14ac:dyDescent="0.3">
      <c r="A492" s="122" t="s">
        <v>279</v>
      </c>
      <c r="B492" s="117">
        <f>VLOOKUP(MID($A492,1,2),'Free Spins Symbol'!$T$2:$Z$29,3,0)</f>
        <v>100</v>
      </c>
      <c r="C492" s="117">
        <f>VLOOKUP(MID($A492,4,2),'Free Spins Symbol'!$T$2:$Z$29,4,0)</f>
        <v>8</v>
      </c>
      <c r="D492" s="117">
        <f>VLOOKUP(MID($A492,7,2),'Free Spins Symbol'!$T$2:$Z$29,5,0)</f>
        <v>4</v>
      </c>
      <c r="E492" s="117">
        <f>VLOOKUP(MID($A492,10,2),'Free Spins Symbol'!$T$2:$Z$29,6,0)</f>
        <v>16</v>
      </c>
      <c r="F492" s="117">
        <f>VLOOKUP(MID($A492,13,2),'Free Spins Symbol'!$T$2:$Z$29,7,0)</f>
        <v>48</v>
      </c>
      <c r="G492" s="100">
        <f>B492*C492*D492*E492*F492</f>
        <v>2457600</v>
      </c>
      <c r="H492" s="121">
        <f t="shared" ref="H492" si="96">B$1/G492</f>
        <v>0</v>
      </c>
      <c r="I492" s="123">
        <v>2</v>
      </c>
      <c r="J492" s="124">
        <f t="shared" si="93"/>
        <v>1.4285714285714285E-2</v>
      </c>
      <c r="K492" s="120">
        <f t="shared" si="94"/>
        <v>7.1428571428571426E-3</v>
      </c>
    </row>
    <row r="494" spans="1:11" ht="16.8" thickBot="1" x14ac:dyDescent="0.35"/>
    <row r="495" spans="1:11" ht="16.8" thickBot="1" x14ac:dyDescent="0.35">
      <c r="A495" s="125" t="s">
        <v>304</v>
      </c>
    </row>
    <row r="496" spans="1:11" ht="16.8" thickBot="1" x14ac:dyDescent="0.35">
      <c r="A496" s="95" t="s">
        <v>280</v>
      </c>
      <c r="B496" s="142">
        <f>B2</f>
        <v>344064000</v>
      </c>
      <c r="C496" s="142"/>
      <c r="D496" s="142"/>
      <c r="E496" s="142"/>
      <c r="F496" s="142"/>
      <c r="G496" s="7"/>
      <c r="H496" s="106"/>
      <c r="I496" s="107" t="s">
        <v>281</v>
      </c>
      <c r="J496" s="108">
        <f>SUM(J498:J532)</f>
        <v>4.7814453124999998</v>
      </c>
      <c r="K496" s="126">
        <f>SUM(K498:K533)</f>
        <v>0.43939285714285709</v>
      </c>
    </row>
    <row r="497" spans="1:11" ht="33" thickBot="1" x14ac:dyDescent="0.35">
      <c r="A497" s="109" t="s">
        <v>233</v>
      </c>
      <c r="B497" s="110" t="s">
        <v>234</v>
      </c>
      <c r="C497" s="110" t="s">
        <v>235</v>
      </c>
      <c r="D497" s="110" t="s">
        <v>236</v>
      </c>
      <c r="E497" s="110" t="s">
        <v>237</v>
      </c>
      <c r="F497" s="110" t="s">
        <v>238</v>
      </c>
      <c r="G497" s="111" t="s">
        <v>239</v>
      </c>
      <c r="H497" s="112" t="s">
        <v>240</v>
      </c>
      <c r="I497" s="113" t="s">
        <v>241</v>
      </c>
      <c r="J497" s="114" t="s">
        <v>242</v>
      </c>
      <c r="K497" s="115" t="s">
        <v>243</v>
      </c>
    </row>
    <row r="498" spans="1:11" x14ac:dyDescent="0.3">
      <c r="A498" s="116" t="s">
        <v>244</v>
      </c>
      <c r="B498" s="117">
        <f>VLOOKUP(MID($A498,1,2),'Free Spins Symbol'!$T$2:$Z$29,3,0)</f>
        <v>18</v>
      </c>
      <c r="C498" s="129">
        <f>'Free Spins Symbol'!$W$18</f>
        <v>56</v>
      </c>
      <c r="D498" s="117">
        <f>VLOOKUP(MID($A498,7,2),'Free Spins Symbol'!$T$2:$Z$29,5,0)</f>
        <v>0</v>
      </c>
      <c r="E498" s="117">
        <f>VLOOKUP(MID($A498,10,2),'Free Spins Symbol'!$T$2:$Z$29,6,0)</f>
        <v>0</v>
      </c>
      <c r="F498" s="129">
        <f>'Free Spins Symbol'!$Z$18</f>
        <v>48</v>
      </c>
      <c r="G498" s="100">
        <f>B498*C498*D498*E498*F498</f>
        <v>0</v>
      </c>
      <c r="H498" s="118" t="e">
        <f>B$2/G498</f>
        <v>#DIV/0!</v>
      </c>
      <c r="I498" s="100">
        <v>500</v>
      </c>
      <c r="J498" s="119">
        <f t="shared" ref="J498:J502" si="97">K498*I498</f>
        <v>0</v>
      </c>
      <c r="K498" s="120">
        <f>G498/B$2</f>
        <v>0</v>
      </c>
    </row>
    <row r="499" spans="1:11" x14ac:dyDescent="0.3">
      <c r="A499" s="116" t="s">
        <v>245</v>
      </c>
      <c r="B499" s="117">
        <f>VLOOKUP(MID($A499,1,2),'Free Spins Symbol'!$T$2:$Z$29,3,0)</f>
        <v>20</v>
      </c>
      <c r="C499" s="129">
        <f>'Free Spins Symbol'!$W$18</f>
        <v>56</v>
      </c>
      <c r="D499" s="117">
        <f>VLOOKUP(MID($A499,7,2),'Free Spins Symbol'!$T$2:$Z$29,5,0)</f>
        <v>2</v>
      </c>
      <c r="E499" s="117">
        <f>VLOOKUP(MID($A499,10,2),'Free Spins Symbol'!$T$2:$Z$29,6,0)</f>
        <v>1</v>
      </c>
      <c r="F499" s="129">
        <f>'Free Spins Symbol'!$Z$18</f>
        <v>48</v>
      </c>
      <c r="G499" s="100">
        <f>B499*C499*D499*E499*F499-G498</f>
        <v>107520</v>
      </c>
      <c r="H499" s="118">
        <f t="shared" ref="H499:H533" si="98">B$2/G499</f>
        <v>3200</v>
      </c>
      <c r="I499" s="100">
        <v>250</v>
      </c>
      <c r="J499" s="119">
        <f t="shared" si="97"/>
        <v>7.8125E-2</v>
      </c>
      <c r="K499" s="120">
        <f t="shared" ref="K499:K502" si="99">G499/B$2</f>
        <v>3.1250000000000001E-4</v>
      </c>
    </row>
    <row r="500" spans="1:11" x14ac:dyDescent="0.3">
      <c r="A500" s="116" t="s">
        <v>246</v>
      </c>
      <c r="B500" s="117">
        <f>VLOOKUP(MID($A500,1,2),'Free Spins Symbol'!$T$2:$Z$29,3,0)</f>
        <v>22</v>
      </c>
      <c r="C500" s="129">
        <f>'Free Spins Symbol'!$W$18</f>
        <v>56</v>
      </c>
      <c r="D500" s="117">
        <f>VLOOKUP(MID($A500,7,2),'Free Spins Symbol'!$T$2:$Z$29,5,0)</f>
        <v>3</v>
      </c>
      <c r="E500" s="117">
        <f>VLOOKUP(MID($A500,10,2),'Free Spins Symbol'!$T$2:$Z$29,6,0)</f>
        <v>1</v>
      </c>
      <c r="F500" s="129">
        <f>'Free Spins Symbol'!$Z$18</f>
        <v>48</v>
      </c>
      <c r="G500" s="100">
        <f>B500*C500*D500*E500*F500-G498</f>
        <v>177408</v>
      </c>
      <c r="H500" s="118">
        <f t="shared" si="98"/>
        <v>1939.3939393939395</v>
      </c>
      <c r="I500" s="100">
        <v>250</v>
      </c>
      <c r="J500" s="119">
        <f t="shared" si="97"/>
        <v>0.12890625</v>
      </c>
      <c r="K500" s="120">
        <f t="shared" si="99"/>
        <v>5.1562500000000002E-4</v>
      </c>
    </row>
    <row r="501" spans="1:11" x14ac:dyDescent="0.3">
      <c r="A501" s="116" t="s">
        <v>247</v>
      </c>
      <c r="B501" s="117">
        <f>VLOOKUP(MID($A501,1,2),'Free Spins Symbol'!$T$2:$Z$29,3,0)</f>
        <v>24</v>
      </c>
      <c r="C501" s="129">
        <f>'Free Spins Symbol'!$W$18</f>
        <v>56</v>
      </c>
      <c r="D501" s="117">
        <f>VLOOKUP(MID($A501,7,2),'Free Spins Symbol'!$T$2:$Z$29,5,0)</f>
        <v>2</v>
      </c>
      <c r="E501" s="117">
        <f>VLOOKUP(MID($A501,10,2),'Free Spins Symbol'!$T$2:$Z$29,6,0)</f>
        <v>1</v>
      </c>
      <c r="F501" s="129">
        <f>'Free Spins Symbol'!$Z$18</f>
        <v>48</v>
      </c>
      <c r="G501" s="100">
        <f>B501*C501*D501*E501*F501-G498</f>
        <v>129024</v>
      </c>
      <c r="H501" s="118">
        <f t="shared" si="98"/>
        <v>2666.6666666666665</v>
      </c>
      <c r="I501" s="100">
        <v>150</v>
      </c>
      <c r="J501" s="119">
        <f t="shared" si="97"/>
        <v>5.6250000000000001E-2</v>
      </c>
      <c r="K501" s="120">
        <f t="shared" si="99"/>
        <v>3.7500000000000001E-4</v>
      </c>
    </row>
    <row r="502" spans="1:11" x14ac:dyDescent="0.3">
      <c r="A502" s="116" t="s">
        <v>248</v>
      </c>
      <c r="B502" s="117">
        <f>VLOOKUP(MID($A502,1,2),'Free Spins Symbol'!$T$2:$Z$29,3,0)</f>
        <v>24</v>
      </c>
      <c r="C502" s="129">
        <f>'Free Spins Symbol'!$W$18</f>
        <v>56</v>
      </c>
      <c r="D502" s="117">
        <f>VLOOKUP(MID($A502,7,2),'Free Spins Symbol'!$T$2:$Z$29,5,0)</f>
        <v>2</v>
      </c>
      <c r="E502" s="117">
        <f>VLOOKUP(MID($A502,10,2),'Free Spins Symbol'!$T$2:$Z$29,6,0)</f>
        <v>1</v>
      </c>
      <c r="F502" s="129">
        <f>'Free Spins Symbol'!$Z$18</f>
        <v>48</v>
      </c>
      <c r="G502" s="100">
        <f>B502*C502*D502*E502*F502-G498</f>
        <v>129024</v>
      </c>
      <c r="H502" s="118">
        <f t="shared" si="98"/>
        <v>2666.6666666666665</v>
      </c>
      <c r="I502" s="100">
        <v>150</v>
      </c>
      <c r="J502" s="119">
        <f t="shared" si="97"/>
        <v>5.6250000000000001E-2</v>
      </c>
      <c r="K502" s="120">
        <f t="shared" si="99"/>
        <v>3.7500000000000001E-4</v>
      </c>
    </row>
    <row r="503" spans="1:11" x14ac:dyDescent="0.3">
      <c r="A503" s="116" t="s">
        <v>254</v>
      </c>
      <c r="B503" s="117">
        <f>VLOOKUP(MID($A503,1,2),'Free Spins Symbol'!$T$2:$Z$29,3,0)</f>
        <v>18</v>
      </c>
      <c r="C503" s="129">
        <f>'Free Spins Symbol'!$W$18</f>
        <v>56</v>
      </c>
      <c r="D503" s="117">
        <f>VLOOKUP(MID($A503,7,2),'Free Spins Symbol'!$T$2:$Z$29,5,0)</f>
        <v>0</v>
      </c>
      <c r="E503" s="117">
        <f>VLOOKUP(MID($A503,10,2),'Free Spins Symbol'!$T$2:$Z$29,6,0)</f>
        <v>0</v>
      </c>
      <c r="F503" s="129">
        <f>'Free Spins Symbol'!$Z$18</f>
        <v>48</v>
      </c>
      <c r="G503" s="100">
        <f>B503*C503*D503*E503*(F503-F502-F501-F500-F499+3*F498)</f>
        <v>0</v>
      </c>
      <c r="H503" s="118" t="e">
        <f t="shared" si="98"/>
        <v>#DIV/0!</v>
      </c>
      <c r="I503" s="100">
        <v>100</v>
      </c>
      <c r="J503" s="119">
        <f>K503*I503</f>
        <v>0</v>
      </c>
      <c r="K503" s="120">
        <f>G503/B$2</f>
        <v>0</v>
      </c>
    </row>
    <row r="504" spans="1:11" x14ac:dyDescent="0.3">
      <c r="A504" s="116" t="s">
        <v>249</v>
      </c>
      <c r="B504" s="117">
        <f>VLOOKUP(MID($A504,1,2),'Free Spins Symbol'!$T$2:$Z$29,3,0)</f>
        <v>38</v>
      </c>
      <c r="C504" s="129">
        <f>'Free Spins Symbol'!$W$18</f>
        <v>56</v>
      </c>
      <c r="D504" s="117">
        <f>VLOOKUP(MID($A504,7,2),'Free Spins Symbol'!$T$2:$Z$29,5,0)</f>
        <v>1</v>
      </c>
      <c r="E504" s="117">
        <f>VLOOKUP(MID($A504,10,2),'Free Spins Symbol'!$T$2:$Z$29,6,0)</f>
        <v>7</v>
      </c>
      <c r="F504" s="129">
        <f>'Free Spins Symbol'!$Z$18</f>
        <v>48</v>
      </c>
      <c r="G504" s="100">
        <f>B504*C504*D504*E504*F504-G498</f>
        <v>715008</v>
      </c>
      <c r="H504" s="118">
        <f t="shared" si="98"/>
        <v>481.20300751879699</v>
      </c>
      <c r="I504" s="100">
        <v>100</v>
      </c>
      <c r="J504" s="119">
        <f t="shared" ref="J504:J512" si="100">K504*I504</f>
        <v>0.20781250000000001</v>
      </c>
      <c r="K504" s="120">
        <f t="shared" ref="K504:K512" si="101">G504/B$2</f>
        <v>2.0781250000000001E-3</v>
      </c>
    </row>
    <row r="505" spans="1:11" x14ac:dyDescent="0.3">
      <c r="A505" s="116" t="s">
        <v>250</v>
      </c>
      <c r="B505" s="117">
        <f>VLOOKUP(MID($A505,1,2),'Free Spins Symbol'!$T$2:$Z$29,3,0)</f>
        <v>35</v>
      </c>
      <c r="C505" s="129">
        <f>'Free Spins Symbol'!$W$18</f>
        <v>56</v>
      </c>
      <c r="D505" s="117">
        <f>VLOOKUP(MID($A505,7,2),'Free Spins Symbol'!$T$2:$Z$29,5,0)</f>
        <v>9</v>
      </c>
      <c r="E505" s="117">
        <f>VLOOKUP(MID($A505,10,2),'Free Spins Symbol'!$T$2:$Z$29,6,0)</f>
        <v>1</v>
      </c>
      <c r="F505" s="129">
        <f>'Free Spins Symbol'!$Z$18</f>
        <v>48</v>
      </c>
      <c r="G505" s="100">
        <f>B505*C505*D505*E505*F505-G498</f>
        <v>846720</v>
      </c>
      <c r="H505" s="118">
        <f t="shared" si="98"/>
        <v>406.34920634920633</v>
      </c>
      <c r="I505" s="100">
        <v>100</v>
      </c>
      <c r="J505" s="119">
        <f t="shared" si="100"/>
        <v>0.24609375</v>
      </c>
      <c r="K505" s="120">
        <f t="shared" si="101"/>
        <v>2.4609375E-3</v>
      </c>
    </row>
    <row r="506" spans="1:11" x14ac:dyDescent="0.3">
      <c r="A506" s="116" t="s">
        <v>251</v>
      </c>
      <c r="B506" s="117">
        <f>VLOOKUP(MID($A506,1,2),'Free Spins Symbol'!$T$2:$Z$29,3,0)</f>
        <v>28</v>
      </c>
      <c r="C506" s="129">
        <f>'Free Spins Symbol'!$W$18</f>
        <v>56</v>
      </c>
      <c r="D506" s="117">
        <f>VLOOKUP(MID($A506,7,2),'Free Spins Symbol'!$T$2:$Z$29,5,0)</f>
        <v>9</v>
      </c>
      <c r="E506" s="117">
        <f>VLOOKUP(MID($A506,10,2),'Free Spins Symbol'!$T$2:$Z$29,6,0)</f>
        <v>1</v>
      </c>
      <c r="F506" s="129">
        <f>'Free Spins Symbol'!$Z$18</f>
        <v>48</v>
      </c>
      <c r="G506" s="100">
        <f>B506*C506*D506*E506*F506-G498</f>
        <v>677376</v>
      </c>
      <c r="H506" s="118">
        <f t="shared" si="98"/>
        <v>507.93650793650795</v>
      </c>
      <c r="I506" s="100">
        <v>100</v>
      </c>
      <c r="J506" s="119">
        <f t="shared" si="100"/>
        <v>0.19687499999999999</v>
      </c>
      <c r="K506" s="120">
        <f t="shared" si="101"/>
        <v>1.96875E-3</v>
      </c>
    </row>
    <row r="507" spans="1:11" x14ac:dyDescent="0.3">
      <c r="A507" s="116" t="s">
        <v>252</v>
      </c>
      <c r="B507" s="117">
        <f>VLOOKUP(MID($A507,1,2),'Free Spins Symbol'!$T$2:$Z$29,3,0)</f>
        <v>34</v>
      </c>
      <c r="C507" s="129">
        <f>'Free Spins Symbol'!$W$18</f>
        <v>56</v>
      </c>
      <c r="D507" s="117">
        <f>VLOOKUP(MID($A507,7,2),'Free Spins Symbol'!$T$2:$Z$29,5,0)</f>
        <v>1</v>
      </c>
      <c r="E507" s="117">
        <f>VLOOKUP(MID($A507,10,2),'Free Spins Symbol'!$T$2:$Z$29,6,0)</f>
        <v>8</v>
      </c>
      <c r="F507" s="129">
        <f>'Free Spins Symbol'!$Z$18</f>
        <v>48</v>
      </c>
      <c r="G507" s="100">
        <f>(B507*C507*D507*E507-B503*C503*D503*E503)*F507</f>
        <v>731136</v>
      </c>
      <c r="H507" s="118">
        <f t="shared" si="98"/>
        <v>470.58823529411762</v>
      </c>
      <c r="I507" s="100">
        <v>100</v>
      </c>
      <c r="J507" s="119">
        <f t="shared" si="100"/>
        <v>0.21250000000000002</v>
      </c>
      <c r="K507" s="120">
        <f t="shared" si="101"/>
        <v>2.1250000000000002E-3</v>
      </c>
    </row>
    <row r="508" spans="1:11" x14ac:dyDescent="0.3">
      <c r="A508" s="116" t="s">
        <v>253</v>
      </c>
      <c r="B508" s="117">
        <f>VLOOKUP(MID($A508,1,2),'Free Spins Symbol'!$T$2:$Z$29,3,0)</f>
        <v>19</v>
      </c>
      <c r="C508" s="129">
        <f>'Free Spins Symbol'!$W$18</f>
        <v>56</v>
      </c>
      <c r="D508" s="117">
        <f>VLOOKUP(MID($A508,7,2),'Free Spins Symbol'!$T$2:$Z$29,5,0)</f>
        <v>10</v>
      </c>
      <c r="E508" s="117">
        <f>VLOOKUP(MID($A508,10,2),'Free Spins Symbol'!$T$2:$Z$29,6,0)</f>
        <v>7</v>
      </c>
      <c r="F508" s="129">
        <f>'Free Spins Symbol'!$Z$18</f>
        <v>48</v>
      </c>
      <c r="G508" s="100">
        <f>B508*C508*D508*E508*F508-G498</f>
        <v>3575040</v>
      </c>
      <c r="H508" s="118">
        <f t="shared" si="98"/>
        <v>96.240601503759393</v>
      </c>
      <c r="I508" s="100">
        <v>100</v>
      </c>
      <c r="J508" s="119">
        <f t="shared" si="100"/>
        <v>1.0390625</v>
      </c>
      <c r="K508" s="120">
        <f t="shared" si="101"/>
        <v>1.0390625000000001E-2</v>
      </c>
    </row>
    <row r="509" spans="1:11" x14ac:dyDescent="0.3">
      <c r="A509" s="116" t="s">
        <v>255</v>
      </c>
      <c r="B509" s="117">
        <f>VLOOKUP(MID($A509,1,2),'Free Spins Symbol'!$T$2:$Z$29,3,0)</f>
        <v>20</v>
      </c>
      <c r="C509" s="129">
        <f>'Free Spins Symbol'!$W$18</f>
        <v>56</v>
      </c>
      <c r="D509" s="117">
        <f>VLOOKUP(MID($A509,7,2),'Free Spins Symbol'!$T$2:$Z$29,5,0)</f>
        <v>2</v>
      </c>
      <c r="E509" s="117">
        <f>VLOOKUP(MID($A509,10,2),'Free Spins Symbol'!$T$2:$Z$29,6,0)</f>
        <v>1</v>
      </c>
      <c r="F509" s="129">
        <f>'Free Spins Symbol'!$Z$18</f>
        <v>48</v>
      </c>
      <c r="G509" s="100">
        <f>(B509*C509*D509*E509-B503*C503*D503*E503)*(F509-F499)</f>
        <v>0</v>
      </c>
      <c r="H509" s="118" t="e">
        <f t="shared" si="98"/>
        <v>#DIV/0!</v>
      </c>
      <c r="I509" s="100">
        <v>50</v>
      </c>
      <c r="J509" s="119">
        <f t="shared" si="100"/>
        <v>0</v>
      </c>
      <c r="K509" s="120">
        <f t="shared" si="101"/>
        <v>0</v>
      </c>
    </row>
    <row r="510" spans="1:11" x14ac:dyDescent="0.3">
      <c r="A510" s="116" t="s">
        <v>256</v>
      </c>
      <c r="B510" s="117">
        <f>VLOOKUP(MID($A510,1,2),'Free Spins Symbol'!$T$2:$Z$29,3,0)</f>
        <v>22</v>
      </c>
      <c r="C510" s="129">
        <f>'Free Spins Symbol'!$W$18</f>
        <v>56</v>
      </c>
      <c r="D510" s="117">
        <f>VLOOKUP(MID($A510,7,2),'Free Spins Symbol'!$T$2:$Z$29,5,0)</f>
        <v>3</v>
      </c>
      <c r="E510" s="117">
        <f>VLOOKUP(MID($A510,10,2),'Free Spins Symbol'!$T$2:$Z$29,6,0)</f>
        <v>1</v>
      </c>
      <c r="F510" s="129">
        <f>'Free Spins Symbol'!$Z$18</f>
        <v>48</v>
      </c>
      <c r="G510" s="100">
        <f>(B510*C510*D510*E510-B503*C503*D503*E503)*(F510-F500)</f>
        <v>0</v>
      </c>
      <c r="H510" s="118" t="e">
        <f t="shared" si="98"/>
        <v>#DIV/0!</v>
      </c>
      <c r="I510" s="100">
        <v>50</v>
      </c>
      <c r="J510" s="119">
        <f t="shared" si="100"/>
        <v>0</v>
      </c>
      <c r="K510" s="120">
        <f t="shared" si="101"/>
        <v>0</v>
      </c>
    </row>
    <row r="511" spans="1:11" x14ac:dyDescent="0.3">
      <c r="A511" s="116" t="s">
        <v>257</v>
      </c>
      <c r="B511" s="117">
        <f>VLOOKUP(MID($A511,1,2),'Free Spins Symbol'!$T$2:$Z$29,3,0)</f>
        <v>24</v>
      </c>
      <c r="C511" s="129">
        <f>'Free Spins Symbol'!$W$18</f>
        <v>56</v>
      </c>
      <c r="D511" s="117">
        <f>VLOOKUP(MID($A511,7,2),'Free Spins Symbol'!$T$2:$Z$29,5,0)</f>
        <v>2</v>
      </c>
      <c r="E511" s="117">
        <f>VLOOKUP(MID($A511,10,2),'Free Spins Symbol'!$T$2:$Z$29,6,0)</f>
        <v>1</v>
      </c>
      <c r="F511" s="129">
        <f>'Free Spins Symbol'!$Z$18</f>
        <v>48</v>
      </c>
      <c r="G511" s="100">
        <f>(B511*C511*D511*E511-B503*C503*D503*E503)*(F511-F501)</f>
        <v>0</v>
      </c>
      <c r="H511" s="118" t="e">
        <f t="shared" si="98"/>
        <v>#DIV/0!</v>
      </c>
      <c r="I511" s="100">
        <v>30</v>
      </c>
      <c r="J511" s="119">
        <f t="shared" si="100"/>
        <v>0</v>
      </c>
      <c r="K511" s="120">
        <f t="shared" si="101"/>
        <v>0</v>
      </c>
    </row>
    <row r="512" spans="1:11" x14ac:dyDescent="0.3">
      <c r="A512" s="116" t="s">
        <v>258</v>
      </c>
      <c r="B512" s="117">
        <f>VLOOKUP(MID($A512,1,2),'Free Spins Symbol'!$T$2:$Z$29,3,0)</f>
        <v>24</v>
      </c>
      <c r="C512" s="129">
        <f>'Free Spins Symbol'!$W$18</f>
        <v>56</v>
      </c>
      <c r="D512" s="117">
        <f>VLOOKUP(MID($A512,7,2),'Free Spins Symbol'!$T$2:$Z$29,5,0)</f>
        <v>2</v>
      </c>
      <c r="E512" s="117">
        <f>VLOOKUP(MID($A512,10,2),'Free Spins Symbol'!$T$2:$Z$29,6,0)</f>
        <v>1</v>
      </c>
      <c r="F512" s="129">
        <f>'Free Spins Symbol'!$Z$18</f>
        <v>48</v>
      </c>
      <c r="G512" s="100">
        <f>(B512*C512*D512*E512-B503*C503*D503*E503)*(F512-F502)</f>
        <v>0</v>
      </c>
      <c r="H512" s="118" t="e">
        <f t="shared" si="98"/>
        <v>#DIV/0!</v>
      </c>
      <c r="I512" s="100">
        <v>30</v>
      </c>
      <c r="J512" s="119">
        <f t="shared" si="100"/>
        <v>0</v>
      </c>
      <c r="K512" s="120">
        <f t="shared" si="101"/>
        <v>0</v>
      </c>
    </row>
    <row r="513" spans="1:11" x14ac:dyDescent="0.3">
      <c r="A513" s="116" t="s">
        <v>264</v>
      </c>
      <c r="B513" s="117">
        <f>VLOOKUP(MID($A513,1,2),'Free Spins Symbol'!$T$2:$Z$29,3,0)</f>
        <v>18</v>
      </c>
      <c r="C513" s="129">
        <f>'Free Spins Symbol'!$W$18</f>
        <v>56</v>
      </c>
      <c r="D513" s="117">
        <f>VLOOKUP(MID($A513,7,2),'Free Spins Symbol'!$T$2:$Z$29,5,0)</f>
        <v>0</v>
      </c>
      <c r="E513" s="117">
        <f>VLOOKUP(MID($A513,10,2),'Free Spins Symbol'!$T$2:$Z$29,6,0)</f>
        <v>32</v>
      </c>
      <c r="F513" s="129">
        <f>'Free Spins Symbol'!$Z$18</f>
        <v>48</v>
      </c>
      <c r="G513" s="100">
        <f>(B513*C513*D513)*(E513*F513-(E512+E511+E510+E509-3*E503)*F503-(E508-E503)*F508-(E507-E503)*F507-(E506-E503)*F506-(E505-E503)*F505-(E504-E503)*F504)</f>
        <v>0</v>
      </c>
      <c r="H513" s="118" t="e">
        <f t="shared" si="98"/>
        <v>#DIV/0!</v>
      </c>
      <c r="I513" s="100">
        <v>20</v>
      </c>
      <c r="J513" s="119">
        <f>K513*I513</f>
        <v>0</v>
      </c>
      <c r="K513" s="120">
        <f>G513/B$2</f>
        <v>0</v>
      </c>
    </row>
    <row r="514" spans="1:11" x14ac:dyDescent="0.3">
      <c r="A514" s="116" t="s">
        <v>259</v>
      </c>
      <c r="B514" s="117">
        <f>VLOOKUP(MID($A514,1,2),'Free Spins Symbol'!$T$2:$Z$29,3,0)</f>
        <v>38</v>
      </c>
      <c r="C514" s="129">
        <f>'Free Spins Symbol'!$W$18</f>
        <v>56</v>
      </c>
      <c r="D514" s="117">
        <f>VLOOKUP(MID($A514,7,2),'Free Spins Symbol'!$T$2:$Z$29,5,0)</f>
        <v>1</v>
      </c>
      <c r="E514" s="117">
        <f>VLOOKUP(MID($A514,10,2),'Free Spins Symbol'!$T$2:$Z$29,6,0)</f>
        <v>7</v>
      </c>
      <c r="F514" s="129">
        <f>'Free Spins Symbol'!$Z$18</f>
        <v>48</v>
      </c>
      <c r="G514" s="100">
        <f>B514*C514*D514*E514*(F514-F504)</f>
        <v>0</v>
      </c>
      <c r="H514" s="118" t="e">
        <f t="shared" si="98"/>
        <v>#DIV/0!</v>
      </c>
      <c r="I514" s="100">
        <v>20</v>
      </c>
      <c r="J514" s="119">
        <f t="shared" ref="J514:J533" si="102">K514*I514</f>
        <v>0</v>
      </c>
      <c r="K514" s="120">
        <f t="shared" ref="K514:K533" si="103">G514/B$2</f>
        <v>0</v>
      </c>
    </row>
    <row r="515" spans="1:11" x14ac:dyDescent="0.3">
      <c r="A515" s="116" t="s">
        <v>260</v>
      </c>
      <c r="B515" s="117">
        <f>VLOOKUP(MID($A515,1,2),'Free Spins Symbol'!$T$2:$Z$29,3,0)</f>
        <v>35</v>
      </c>
      <c r="C515" s="129">
        <f>'Free Spins Symbol'!$W$18</f>
        <v>56</v>
      </c>
      <c r="D515" s="117">
        <f>VLOOKUP(MID($A515,7,2),'Free Spins Symbol'!$T$2:$Z$29,5,0)</f>
        <v>9</v>
      </c>
      <c r="E515" s="117">
        <f>VLOOKUP(MID($A515,10,2),'Free Spins Symbol'!$T$2:$Z$29,6,0)</f>
        <v>1</v>
      </c>
      <c r="F515" s="129">
        <f>'Free Spins Symbol'!$Z$18</f>
        <v>48</v>
      </c>
      <c r="G515" s="100">
        <f t="shared" ref="G515:G518" si="104">B515*C515*D515*E515*(F515-F505)</f>
        <v>0</v>
      </c>
      <c r="H515" s="118" t="e">
        <f t="shared" si="98"/>
        <v>#DIV/0!</v>
      </c>
      <c r="I515" s="100">
        <v>20</v>
      </c>
      <c r="J515" s="119">
        <f t="shared" si="102"/>
        <v>0</v>
      </c>
      <c r="K515" s="120">
        <f t="shared" si="103"/>
        <v>0</v>
      </c>
    </row>
    <row r="516" spans="1:11" x14ac:dyDescent="0.3">
      <c r="A516" s="116" t="s">
        <v>261</v>
      </c>
      <c r="B516" s="117">
        <f>VLOOKUP(MID($A516,1,2),'Free Spins Symbol'!$T$2:$Z$29,3,0)</f>
        <v>28</v>
      </c>
      <c r="C516" s="129">
        <f>'Free Spins Symbol'!$W$18</f>
        <v>56</v>
      </c>
      <c r="D516" s="117">
        <f>VLOOKUP(MID($A516,7,2),'Free Spins Symbol'!$T$2:$Z$29,5,0)</f>
        <v>9</v>
      </c>
      <c r="E516" s="117">
        <f>VLOOKUP(MID($A516,10,2),'Free Spins Symbol'!$T$2:$Z$29,6,0)</f>
        <v>1</v>
      </c>
      <c r="F516" s="129">
        <f>'Free Spins Symbol'!$Z$18</f>
        <v>48</v>
      </c>
      <c r="G516" s="100">
        <f t="shared" si="104"/>
        <v>0</v>
      </c>
      <c r="H516" s="118" t="e">
        <f t="shared" si="98"/>
        <v>#DIV/0!</v>
      </c>
      <c r="I516" s="100">
        <v>20</v>
      </c>
      <c r="J516" s="119">
        <f t="shared" si="102"/>
        <v>0</v>
      </c>
      <c r="K516" s="120">
        <f t="shared" si="103"/>
        <v>0</v>
      </c>
    </row>
    <row r="517" spans="1:11" x14ac:dyDescent="0.3">
      <c r="A517" s="116" t="s">
        <v>262</v>
      </c>
      <c r="B517" s="117">
        <f>VLOOKUP(MID($A517,1,2),'Free Spins Symbol'!$T$2:$Z$29,3,0)</f>
        <v>34</v>
      </c>
      <c r="C517" s="129">
        <f>'Free Spins Symbol'!$W$18</f>
        <v>56</v>
      </c>
      <c r="D517" s="117">
        <f>VLOOKUP(MID($A517,7,2),'Free Spins Symbol'!$T$2:$Z$29,5,0)</f>
        <v>1</v>
      </c>
      <c r="E517" s="117">
        <f>VLOOKUP(MID($A517,10,2),'Free Spins Symbol'!$T$2:$Z$29,6,0)</f>
        <v>8</v>
      </c>
      <c r="F517" s="129">
        <f>'Free Spins Symbol'!$Z$18</f>
        <v>48</v>
      </c>
      <c r="G517" s="100">
        <f t="shared" si="104"/>
        <v>0</v>
      </c>
      <c r="H517" s="118" t="e">
        <f t="shared" si="98"/>
        <v>#DIV/0!</v>
      </c>
      <c r="I517" s="100">
        <v>20</v>
      </c>
      <c r="J517" s="119">
        <f t="shared" si="102"/>
        <v>0</v>
      </c>
      <c r="K517" s="120">
        <f t="shared" si="103"/>
        <v>0</v>
      </c>
    </row>
    <row r="518" spans="1:11" x14ac:dyDescent="0.3">
      <c r="A518" s="116" t="s">
        <v>263</v>
      </c>
      <c r="B518" s="117">
        <f>VLOOKUP(MID($A518,1,2),'Free Spins Symbol'!$T$2:$Z$29,3,0)</f>
        <v>19</v>
      </c>
      <c r="C518" s="129">
        <f>'Free Spins Symbol'!$W$18</f>
        <v>56</v>
      </c>
      <c r="D518" s="117">
        <f>VLOOKUP(MID($A518,7,2),'Free Spins Symbol'!$T$2:$Z$29,5,0)</f>
        <v>10</v>
      </c>
      <c r="E518" s="117">
        <f>VLOOKUP(MID($A518,10,2),'Free Spins Symbol'!$T$2:$Z$29,6,0)</f>
        <v>7</v>
      </c>
      <c r="F518" s="129">
        <f>'Free Spins Symbol'!$Z$18</f>
        <v>48</v>
      </c>
      <c r="G518" s="100">
        <f t="shared" si="104"/>
        <v>0</v>
      </c>
      <c r="H518" s="118" t="e">
        <f t="shared" si="98"/>
        <v>#DIV/0!</v>
      </c>
      <c r="I518" s="100">
        <v>20</v>
      </c>
      <c r="J518" s="119">
        <f t="shared" si="102"/>
        <v>0</v>
      </c>
      <c r="K518" s="120">
        <f t="shared" si="103"/>
        <v>0</v>
      </c>
    </row>
    <row r="519" spans="1:11" x14ac:dyDescent="0.3">
      <c r="A519" s="116" t="s">
        <v>265</v>
      </c>
      <c r="B519" s="117">
        <f>VLOOKUP(MID($A519,1,2),'Free Spins Symbol'!$T$2:$Z$29,3,0)</f>
        <v>20</v>
      </c>
      <c r="C519" s="129">
        <f>'Free Spins Symbol'!$W$18</f>
        <v>56</v>
      </c>
      <c r="D519" s="117">
        <f>VLOOKUP(MID($A519,7,2),'Free Spins Symbol'!$T$2:$Z$29,5,0)</f>
        <v>2</v>
      </c>
      <c r="E519" s="117">
        <f>VLOOKUP(MID($A519,10,2),'Free Spins Symbol'!$T$2:$Z$29,6,0)</f>
        <v>32</v>
      </c>
      <c r="F519" s="129">
        <f>'Free Spins Symbol'!$Z$18</f>
        <v>48</v>
      </c>
      <c r="G519" s="100">
        <f>(B519*C519*D519)*(E519-E509)*F519</f>
        <v>3333120</v>
      </c>
      <c r="H519" s="118">
        <f t="shared" si="98"/>
        <v>103.2258064516129</v>
      </c>
      <c r="I519" s="100">
        <v>20</v>
      </c>
      <c r="J519" s="119">
        <f t="shared" si="102"/>
        <v>0.19375000000000001</v>
      </c>
      <c r="K519" s="120">
        <f t="shared" si="103"/>
        <v>9.6874999999999999E-3</v>
      </c>
    </row>
    <row r="520" spans="1:11" x14ac:dyDescent="0.3">
      <c r="A520" s="116" t="s">
        <v>266</v>
      </c>
      <c r="B520" s="117">
        <f>VLOOKUP(MID($A520,1,2),'Free Spins Symbol'!$T$2:$Z$29,3,0)</f>
        <v>22</v>
      </c>
      <c r="C520" s="129">
        <f>'Free Spins Symbol'!$W$18</f>
        <v>56</v>
      </c>
      <c r="D520" s="117">
        <f>VLOOKUP(MID($A520,7,2),'Free Spins Symbol'!$T$2:$Z$29,5,0)</f>
        <v>3</v>
      </c>
      <c r="E520" s="117">
        <f>VLOOKUP(MID($A520,10,2),'Free Spins Symbol'!$T$2:$Z$29,6,0)</f>
        <v>32</v>
      </c>
      <c r="F520" s="129">
        <f>'Free Spins Symbol'!$Z$18</f>
        <v>48</v>
      </c>
      <c r="G520" s="100">
        <f>(B520*C520*D520)*(E520-E510)*F520</f>
        <v>5499648</v>
      </c>
      <c r="H520" s="118">
        <f t="shared" si="98"/>
        <v>62.561094819159337</v>
      </c>
      <c r="I520" s="100">
        <v>20</v>
      </c>
      <c r="J520" s="119">
        <f t="shared" si="102"/>
        <v>0.31968749999999996</v>
      </c>
      <c r="K520" s="120">
        <f t="shared" si="103"/>
        <v>1.5984374999999999E-2</v>
      </c>
    </row>
    <row r="521" spans="1:11" x14ac:dyDescent="0.3">
      <c r="A521" s="116" t="s">
        <v>267</v>
      </c>
      <c r="B521" s="117">
        <f>VLOOKUP(MID($A521,1,2),'Free Spins Symbol'!$T$2:$Z$29,3,0)</f>
        <v>24</v>
      </c>
      <c r="C521" s="129">
        <f>'Free Spins Symbol'!$W$18</f>
        <v>56</v>
      </c>
      <c r="D521" s="117">
        <f>VLOOKUP(MID($A521,7,2),'Free Spins Symbol'!$T$2:$Z$29,5,0)</f>
        <v>2</v>
      </c>
      <c r="E521" s="117">
        <f>VLOOKUP(MID($A521,10,2),'Free Spins Symbol'!$T$2:$Z$29,6,0)</f>
        <v>32</v>
      </c>
      <c r="F521" s="129">
        <f>'Free Spins Symbol'!$Z$18</f>
        <v>48</v>
      </c>
      <c r="G521" s="100">
        <f>(B521*C521*D521-B513*C513*D513)*(E521-E511)*F521</f>
        <v>3999744</v>
      </c>
      <c r="H521" s="118">
        <f t="shared" si="98"/>
        <v>86.021505376344081</v>
      </c>
      <c r="I521" s="100">
        <v>10</v>
      </c>
      <c r="J521" s="119">
        <f t="shared" si="102"/>
        <v>0.11624999999999999</v>
      </c>
      <c r="K521" s="120">
        <f t="shared" si="103"/>
        <v>1.1625E-2</v>
      </c>
    </row>
    <row r="522" spans="1:11" x14ac:dyDescent="0.3">
      <c r="A522" s="116" t="s">
        <v>268</v>
      </c>
      <c r="B522" s="117">
        <f>VLOOKUP(MID($A522,1,2),'Free Spins Symbol'!$T$2:$Z$29,3,0)</f>
        <v>24</v>
      </c>
      <c r="C522" s="129">
        <f>'Free Spins Symbol'!$W$18</f>
        <v>56</v>
      </c>
      <c r="D522" s="117">
        <f>VLOOKUP(MID($A522,7,2),'Free Spins Symbol'!$T$2:$Z$29,5,0)</f>
        <v>2</v>
      </c>
      <c r="E522" s="117">
        <f>VLOOKUP(MID($A522,10,2),'Free Spins Symbol'!$T$2:$Z$29,6,0)</f>
        <v>32</v>
      </c>
      <c r="F522" s="129">
        <f>'Free Spins Symbol'!$Z$18</f>
        <v>48</v>
      </c>
      <c r="G522" s="100">
        <f>(B522*C522*D522-B513*C513*D513)*(E522-E512)*F522</f>
        <v>3999744</v>
      </c>
      <c r="H522" s="118">
        <f t="shared" si="98"/>
        <v>86.021505376344081</v>
      </c>
      <c r="I522" s="100">
        <v>10</v>
      </c>
      <c r="J522" s="119">
        <f t="shared" si="102"/>
        <v>0.11624999999999999</v>
      </c>
      <c r="K522" s="120">
        <f t="shared" si="103"/>
        <v>1.1625E-2</v>
      </c>
    </row>
    <row r="523" spans="1:11" x14ac:dyDescent="0.3">
      <c r="A523" s="116" t="s">
        <v>269</v>
      </c>
      <c r="B523" s="117">
        <f>VLOOKUP(MID($A523,1,2),'Free Spins Symbol'!$T$2:$Z$29,3,0)</f>
        <v>38</v>
      </c>
      <c r="C523" s="129">
        <f>'Free Spins Symbol'!$W$18</f>
        <v>56</v>
      </c>
      <c r="D523" s="117">
        <f>VLOOKUP(MID($A523,7,2),'Free Spins Symbol'!$T$2:$Z$29,5,0)</f>
        <v>1</v>
      </c>
      <c r="E523" s="117">
        <f>VLOOKUP(MID($A523,10,2),'Free Spins Symbol'!$T$2:$Z$29,6,0)</f>
        <v>32</v>
      </c>
      <c r="F523" s="129">
        <f>'Free Spins Symbol'!$Z$18</f>
        <v>48</v>
      </c>
      <c r="G523" s="100">
        <f>(B523*C523*D523-B513*C513*D513)*(E523-E514)*F523</f>
        <v>2553600</v>
      </c>
      <c r="H523" s="118">
        <f t="shared" si="98"/>
        <v>134.73684210526315</v>
      </c>
      <c r="I523" s="100">
        <v>5</v>
      </c>
      <c r="J523" s="119">
        <f t="shared" si="102"/>
        <v>3.7109375E-2</v>
      </c>
      <c r="K523" s="120">
        <f t="shared" si="103"/>
        <v>7.4218749999999997E-3</v>
      </c>
    </row>
    <row r="524" spans="1:11" x14ac:dyDescent="0.3">
      <c r="A524" s="116" t="s">
        <v>270</v>
      </c>
      <c r="B524" s="117">
        <f>VLOOKUP(MID($A524,1,2),'Free Spins Symbol'!$T$2:$Z$29,3,0)</f>
        <v>35</v>
      </c>
      <c r="C524" s="129">
        <f>'Free Spins Symbol'!$W$18</f>
        <v>56</v>
      </c>
      <c r="D524" s="117">
        <f>VLOOKUP(MID($A524,7,2),'Free Spins Symbol'!$T$2:$Z$29,5,0)</f>
        <v>9</v>
      </c>
      <c r="E524" s="117">
        <f>VLOOKUP(MID($A524,10,2),'Free Spins Symbol'!$T$2:$Z$29,6,0)</f>
        <v>32</v>
      </c>
      <c r="F524" s="129">
        <f>'Free Spins Symbol'!$Z$18</f>
        <v>48</v>
      </c>
      <c r="G524" s="100">
        <f>(B524*C524*D524-B513*C513*D513)*(E524-E515)*F524</f>
        <v>26248320</v>
      </c>
      <c r="H524" s="118">
        <f t="shared" si="98"/>
        <v>13.108038914490528</v>
      </c>
      <c r="I524" s="100">
        <v>5</v>
      </c>
      <c r="J524" s="119">
        <f t="shared" si="102"/>
        <v>0.38144531250000002</v>
      </c>
      <c r="K524" s="120">
        <f t="shared" si="103"/>
        <v>7.6289062500000004E-2</v>
      </c>
    </row>
    <row r="525" spans="1:11" x14ac:dyDescent="0.3">
      <c r="A525" s="116" t="s">
        <v>271</v>
      </c>
      <c r="B525" s="117">
        <f>VLOOKUP(MID($A525,1,2),'Free Spins Symbol'!$T$2:$Z$29,3,0)</f>
        <v>28</v>
      </c>
      <c r="C525" s="129">
        <f>'Free Spins Symbol'!$W$18</f>
        <v>56</v>
      </c>
      <c r="D525" s="117">
        <f>VLOOKUP(MID($A525,7,2),'Free Spins Symbol'!$T$2:$Z$29,5,0)</f>
        <v>9</v>
      </c>
      <c r="E525" s="117">
        <f>VLOOKUP(MID($A525,10,2),'Free Spins Symbol'!$T$2:$Z$29,6,0)</f>
        <v>32</v>
      </c>
      <c r="F525" s="129">
        <f>'Free Spins Symbol'!$Z$18</f>
        <v>48</v>
      </c>
      <c r="G525" s="100">
        <f>(B525*C525*D525-B513*C513*D513)*(E525-E516)*F525</f>
        <v>20998656</v>
      </c>
      <c r="H525" s="118">
        <f t="shared" si="98"/>
        <v>16.385048643113159</v>
      </c>
      <c r="I525" s="100">
        <v>5</v>
      </c>
      <c r="J525" s="119">
        <f t="shared" si="102"/>
        <v>0.30515625000000002</v>
      </c>
      <c r="K525" s="120">
        <f t="shared" si="103"/>
        <v>6.1031250000000002E-2</v>
      </c>
    </row>
    <row r="526" spans="1:11" x14ac:dyDescent="0.3">
      <c r="A526" s="116" t="s">
        <v>272</v>
      </c>
      <c r="B526" s="117">
        <f>VLOOKUP(MID($A526,1,2),'Free Spins Symbol'!$T$2:$Z$29,3,0)</f>
        <v>34</v>
      </c>
      <c r="C526" s="129">
        <f>'Free Spins Symbol'!$W$18</f>
        <v>56</v>
      </c>
      <c r="D526" s="117">
        <f>VLOOKUP(MID($A526,7,2),'Free Spins Symbol'!$T$2:$Z$29,5,0)</f>
        <v>1</v>
      </c>
      <c r="E526" s="117">
        <f>VLOOKUP(MID($A526,10,2),'Free Spins Symbol'!$T$2:$Z$29,6,0)</f>
        <v>32</v>
      </c>
      <c r="F526" s="129">
        <f>'Free Spins Symbol'!$Z$18</f>
        <v>48</v>
      </c>
      <c r="G526" s="100">
        <f>(B526*C526*D526-B513*C513*D513)*(E526-E517)*F526</f>
        <v>2193408</v>
      </c>
      <c r="H526" s="118">
        <f t="shared" si="98"/>
        <v>156.86274509803923</v>
      </c>
      <c r="I526" s="100">
        <v>5</v>
      </c>
      <c r="J526" s="119">
        <f t="shared" si="102"/>
        <v>3.1875000000000001E-2</v>
      </c>
      <c r="K526" s="120">
        <f t="shared" si="103"/>
        <v>6.3749999999999996E-3</v>
      </c>
    </row>
    <row r="527" spans="1:11" x14ac:dyDescent="0.3">
      <c r="A527" s="116" t="s">
        <v>273</v>
      </c>
      <c r="B527" s="117">
        <f>VLOOKUP(MID($A527,1,2),'Free Spins Symbol'!$T$2:$Z$29,3,0)</f>
        <v>19</v>
      </c>
      <c r="C527" s="129">
        <f>'Free Spins Symbol'!$W$18</f>
        <v>56</v>
      </c>
      <c r="D527" s="117">
        <f>VLOOKUP(MID($A527,7,2),'Free Spins Symbol'!$T$2:$Z$29,5,0)</f>
        <v>10</v>
      </c>
      <c r="E527" s="117">
        <f>VLOOKUP(MID($A527,10,2),'Free Spins Symbol'!$T$2:$Z$29,6,0)</f>
        <v>32</v>
      </c>
      <c r="F527" s="129">
        <f>'Free Spins Symbol'!$Z$18</f>
        <v>48</v>
      </c>
      <c r="G527" s="100">
        <f>(B527*C527*D527-B513*C513*D513)*(E527-E518)*F527</f>
        <v>12768000</v>
      </c>
      <c r="H527" s="118">
        <f t="shared" si="98"/>
        <v>26.94736842105263</v>
      </c>
      <c r="I527" s="100">
        <v>5</v>
      </c>
      <c r="J527" s="119">
        <f t="shared" si="102"/>
        <v>0.185546875</v>
      </c>
      <c r="K527" s="120">
        <f t="shared" si="103"/>
        <v>3.7109375E-2</v>
      </c>
    </row>
    <row r="528" spans="1:11" x14ac:dyDescent="0.3">
      <c r="A528" s="116" t="s">
        <v>274</v>
      </c>
      <c r="B528" s="117">
        <f>VLOOKUP(MID($A528,1,2),'Free Spins Symbol'!$T$2:$Z$29,3,0)</f>
        <v>18</v>
      </c>
      <c r="C528" s="129">
        <f>'Free Spins Symbol'!$W$18</f>
        <v>56</v>
      </c>
      <c r="D528" s="117">
        <f>VLOOKUP(MID($A528,7,2),'Free Spins Symbol'!$T$2:$Z$29,5,0)</f>
        <v>40</v>
      </c>
      <c r="E528" s="117">
        <f>VLOOKUP(MID($A528,10,2),'Free Spins Symbol'!$T$2:$Z$29,6,0)</f>
        <v>32</v>
      </c>
      <c r="F528" s="129">
        <f>'Free Spins Symbol'!$Z$18</f>
        <v>48</v>
      </c>
      <c r="G528" s="100">
        <f>B528*C528*(D528-D527-D526-D525-D524-D523-D522-D521-D520-D519+8*D513)*E528*F528</f>
        <v>1548288</v>
      </c>
      <c r="H528" s="118">
        <f t="shared" si="98"/>
        <v>222.22222222222223</v>
      </c>
      <c r="I528" s="100">
        <v>5</v>
      </c>
      <c r="J528" s="119">
        <f t="shared" si="102"/>
        <v>2.2499999999999999E-2</v>
      </c>
      <c r="K528" s="120">
        <f t="shared" si="103"/>
        <v>4.4999999999999997E-3</v>
      </c>
    </row>
    <row r="529" spans="1:11" x14ac:dyDescent="0.3">
      <c r="A529" s="116" t="s">
        <v>275</v>
      </c>
      <c r="B529" s="117">
        <f>VLOOKUP(MID($A529,1,2),'Free Spins Symbol'!$T$2:$Z$29,3,0)</f>
        <v>20</v>
      </c>
      <c r="C529" s="129">
        <f>'Free Spins Symbol'!$W$18</f>
        <v>56</v>
      </c>
      <c r="D529" s="117">
        <f>VLOOKUP(MID($A529,7,2),'Free Spins Symbol'!$T$2:$Z$29,5,0)</f>
        <v>40</v>
      </c>
      <c r="E529" s="117">
        <f>VLOOKUP(MID($A529,10,2),'Free Spins Symbol'!$T$2:$Z$29,6,0)</f>
        <v>32</v>
      </c>
      <c r="F529" s="129">
        <f>'Free Spins Symbol'!$Z$18</f>
        <v>48</v>
      </c>
      <c r="G529" s="100">
        <f>(B529*C529-B528*C528)*(D529-D519)*E529*F529</f>
        <v>6537216</v>
      </c>
      <c r="H529" s="118">
        <f t="shared" si="98"/>
        <v>52.631578947368418</v>
      </c>
      <c r="I529" s="100">
        <v>5</v>
      </c>
      <c r="J529" s="119">
        <f t="shared" si="102"/>
        <v>9.5000000000000001E-2</v>
      </c>
      <c r="K529" s="120">
        <f t="shared" si="103"/>
        <v>1.9E-2</v>
      </c>
    </row>
    <row r="530" spans="1:11" x14ac:dyDescent="0.3">
      <c r="A530" s="116" t="s">
        <v>276</v>
      </c>
      <c r="B530" s="117">
        <f>VLOOKUP(MID($A530,1,2),'Free Spins Symbol'!$T$2:$Z$29,3,0)</f>
        <v>22</v>
      </c>
      <c r="C530" s="129">
        <f>'Free Spins Symbol'!$W$18</f>
        <v>56</v>
      </c>
      <c r="D530" s="117">
        <f>VLOOKUP(MID($A530,7,2),'Free Spins Symbol'!$T$2:$Z$29,5,0)</f>
        <v>40</v>
      </c>
      <c r="E530" s="117">
        <f>VLOOKUP(MID($A530,10,2),'Free Spins Symbol'!$T$2:$Z$29,6,0)</f>
        <v>32</v>
      </c>
      <c r="F530" s="129">
        <f>'Free Spins Symbol'!$Z$18</f>
        <v>48</v>
      </c>
      <c r="G530" s="100">
        <f>(B530*C530-B528*C528)*(D530-D520)*E530*F530</f>
        <v>12730368</v>
      </c>
      <c r="H530" s="118">
        <f t="shared" si="98"/>
        <v>27.027027027027028</v>
      </c>
      <c r="I530" s="100">
        <v>5</v>
      </c>
      <c r="J530" s="119">
        <f t="shared" si="102"/>
        <v>0.185</v>
      </c>
      <c r="K530" s="120">
        <f t="shared" si="103"/>
        <v>3.6999999999999998E-2</v>
      </c>
    </row>
    <row r="531" spans="1:11" x14ac:dyDescent="0.3">
      <c r="A531" s="116" t="s">
        <v>277</v>
      </c>
      <c r="B531" s="117">
        <f>VLOOKUP(MID($A531,1,2),'Free Spins Symbol'!$T$2:$Z$29,3,0)</f>
        <v>24</v>
      </c>
      <c r="C531" s="129">
        <f>'Free Spins Symbol'!$W$18</f>
        <v>56</v>
      </c>
      <c r="D531" s="117">
        <f>VLOOKUP(MID($A531,7,2),'Free Spins Symbol'!$T$2:$Z$29,5,0)</f>
        <v>40</v>
      </c>
      <c r="E531" s="117">
        <f>VLOOKUP(MID($A531,10,2),'Free Spins Symbol'!$T$2:$Z$29,6,0)</f>
        <v>32</v>
      </c>
      <c r="F531" s="129">
        <f>'Free Spins Symbol'!$Z$18</f>
        <v>48</v>
      </c>
      <c r="G531" s="100">
        <f>(B531*C531-B528*C528)*(D531-D521)*E531*F531</f>
        <v>19611648</v>
      </c>
      <c r="H531" s="118">
        <f t="shared" si="98"/>
        <v>17.543859649122808</v>
      </c>
      <c r="I531" s="100">
        <v>5</v>
      </c>
      <c r="J531" s="119">
        <f t="shared" si="102"/>
        <v>0.28500000000000003</v>
      </c>
      <c r="K531" s="120">
        <f t="shared" si="103"/>
        <v>5.7000000000000002E-2</v>
      </c>
    </row>
    <row r="532" spans="1:11" x14ac:dyDescent="0.3">
      <c r="A532" s="116" t="s">
        <v>278</v>
      </c>
      <c r="B532" s="117">
        <f>VLOOKUP(MID($A532,1,2),'Free Spins Symbol'!$T$2:$Z$29,3,0)</f>
        <v>24</v>
      </c>
      <c r="C532" s="129">
        <f>'Free Spins Symbol'!$W$18</f>
        <v>56</v>
      </c>
      <c r="D532" s="117">
        <f>VLOOKUP(MID($A532,7,2),'Free Spins Symbol'!$T$2:$Z$29,5,0)</f>
        <v>40</v>
      </c>
      <c r="E532" s="117">
        <f>VLOOKUP(MID($A532,10,2),'Free Spins Symbol'!$T$2:$Z$29,6,0)</f>
        <v>32</v>
      </c>
      <c r="F532" s="129">
        <f>'Free Spins Symbol'!$Z$18</f>
        <v>48</v>
      </c>
      <c r="G532" s="100">
        <f>(B532*C532-B528*C528)*(D532-D522)*E532*F532</f>
        <v>19611648</v>
      </c>
      <c r="H532" s="118">
        <f t="shared" si="98"/>
        <v>17.543859649122808</v>
      </c>
      <c r="I532" s="100">
        <v>5</v>
      </c>
      <c r="J532" s="119">
        <f t="shared" si="102"/>
        <v>0.28500000000000003</v>
      </c>
      <c r="K532" s="120">
        <f t="shared" si="103"/>
        <v>5.7000000000000002E-2</v>
      </c>
    </row>
    <row r="533" spans="1:11" x14ac:dyDescent="0.3">
      <c r="A533" s="122" t="s">
        <v>279</v>
      </c>
      <c r="B533" s="117">
        <f>VLOOKUP(MID($A533,1,2),'Free Spins Symbol'!$T$2:$Z$29,3,0)</f>
        <v>100</v>
      </c>
      <c r="C533" s="117">
        <f>VLOOKUP(MID($A533,4,2),'Free Spins Symbol'!$T$2:$Z$29,4,0)</f>
        <v>8</v>
      </c>
      <c r="D533" s="117">
        <f>VLOOKUP(MID($A533,7,2),'Free Spins Symbol'!$T$2:$Z$29,5,0)</f>
        <v>4</v>
      </c>
      <c r="E533" s="117">
        <f>VLOOKUP(MID($A533,10,2),'Free Spins Symbol'!$T$2:$Z$29,6,0)</f>
        <v>16</v>
      </c>
      <c r="F533" s="117">
        <f>VLOOKUP(MID($A533,13,2),'Free Spins Symbol'!$T$2:$Z$29,7,0)</f>
        <v>48</v>
      </c>
      <c r="G533" s="100">
        <f>B533*C533*D533*E533*F533</f>
        <v>2457600</v>
      </c>
      <c r="H533" s="118">
        <f t="shared" si="98"/>
        <v>140</v>
      </c>
      <c r="I533" s="123">
        <v>2</v>
      </c>
      <c r="J533" s="124">
        <f t="shared" si="102"/>
        <v>1.4285714285714285E-2</v>
      </c>
      <c r="K533" s="120">
        <f t="shared" si="103"/>
        <v>7.1428571428571426E-3</v>
      </c>
    </row>
    <row r="535" spans="1:11" ht="16.8" thickBot="1" x14ac:dyDescent="0.35"/>
    <row r="536" spans="1:11" ht="16.8" thickBot="1" x14ac:dyDescent="0.35">
      <c r="A536" s="125" t="s">
        <v>305</v>
      </c>
    </row>
    <row r="537" spans="1:11" ht="16.8" thickBot="1" x14ac:dyDescent="0.35">
      <c r="A537" s="95" t="s">
        <v>280</v>
      </c>
      <c r="B537" s="142">
        <f>B2</f>
        <v>344064000</v>
      </c>
      <c r="C537" s="142"/>
      <c r="D537" s="142"/>
      <c r="E537" s="142"/>
      <c r="F537" s="142"/>
      <c r="G537" s="7"/>
      <c r="H537" s="106"/>
      <c r="I537" s="107" t="s">
        <v>281</v>
      </c>
      <c r="J537" s="108">
        <f>SUM(J539:J573)</f>
        <v>9.2616071428571427</v>
      </c>
      <c r="K537" s="126">
        <f>SUM(K539:K574)</f>
        <v>0.30160714285714285</v>
      </c>
    </row>
    <row r="538" spans="1:11" ht="33" thickBot="1" x14ac:dyDescent="0.35">
      <c r="A538" s="109" t="s">
        <v>233</v>
      </c>
      <c r="B538" s="110" t="s">
        <v>234</v>
      </c>
      <c r="C538" s="110" t="s">
        <v>235</v>
      </c>
      <c r="D538" s="110" t="s">
        <v>236</v>
      </c>
      <c r="E538" s="110" t="s">
        <v>237</v>
      </c>
      <c r="F538" s="110" t="s">
        <v>238</v>
      </c>
      <c r="G538" s="111" t="s">
        <v>239</v>
      </c>
      <c r="H538" s="112" t="s">
        <v>240</v>
      </c>
      <c r="I538" s="113" t="s">
        <v>241</v>
      </c>
      <c r="J538" s="114" t="s">
        <v>242</v>
      </c>
      <c r="K538" s="115" t="s">
        <v>243</v>
      </c>
    </row>
    <row r="539" spans="1:11" x14ac:dyDescent="0.3">
      <c r="A539" s="116" t="s">
        <v>244</v>
      </c>
      <c r="B539" s="117">
        <f>VLOOKUP(MID($A539,1,2),'Free Spins Symbol'!$T$2:$Z$29,3,0)</f>
        <v>18</v>
      </c>
      <c r="C539" s="117">
        <f>VLOOKUP(MID($A539,4,2),'Free Spins Symbol'!$T$2:$Z$29,4,0)</f>
        <v>0</v>
      </c>
      <c r="D539" s="129">
        <f>'Free Spins Symbol'!$X$18</f>
        <v>40</v>
      </c>
      <c r="E539" s="129">
        <f>'Free Spins Symbol'!$Y$18</f>
        <v>32</v>
      </c>
      <c r="F539" s="117">
        <f>VLOOKUP(MID($A539,13,2),'Free Spins Symbol'!$T$2:$Z$29,7,0)</f>
        <v>0</v>
      </c>
      <c r="G539" s="100">
        <f>B539*C539*D539*E539*F539</f>
        <v>0</v>
      </c>
      <c r="H539" s="118" t="e">
        <f>B$2/G539</f>
        <v>#DIV/0!</v>
      </c>
      <c r="I539" s="100">
        <v>500</v>
      </c>
      <c r="J539" s="119">
        <f t="shared" ref="J539:J543" si="105">K539*I539</f>
        <v>0</v>
      </c>
      <c r="K539" s="120">
        <f>G539/B$2</f>
        <v>0</v>
      </c>
    </row>
    <row r="540" spans="1:11" x14ac:dyDescent="0.3">
      <c r="A540" s="116" t="s">
        <v>245</v>
      </c>
      <c r="B540" s="117">
        <f>VLOOKUP(MID($A540,1,2),'Free Spins Symbol'!$T$2:$Z$29,3,0)</f>
        <v>20</v>
      </c>
      <c r="C540" s="117">
        <f>VLOOKUP(MID($A540,4,2),'Free Spins Symbol'!$T$2:$Z$29,4,0)</f>
        <v>2</v>
      </c>
      <c r="D540" s="129">
        <f>'Free Spins Symbol'!$X$18</f>
        <v>40</v>
      </c>
      <c r="E540" s="129">
        <f>'Free Spins Symbol'!$Y$18</f>
        <v>32</v>
      </c>
      <c r="F540" s="117">
        <f>VLOOKUP(MID($A540,13,2),'Free Spins Symbol'!$T$2:$Z$29,7,0)</f>
        <v>1</v>
      </c>
      <c r="G540" s="100">
        <f>B540*C540*D540*E540*F540-G539</f>
        <v>51200</v>
      </c>
      <c r="H540" s="118">
        <f t="shared" ref="H540:H573" si="106">B$2/G540</f>
        <v>6720</v>
      </c>
      <c r="I540" s="100">
        <v>250</v>
      </c>
      <c r="J540" s="119">
        <f t="shared" si="105"/>
        <v>3.7202380952380959E-2</v>
      </c>
      <c r="K540" s="120">
        <f t="shared" ref="K540:K543" si="107">G540/B$2</f>
        <v>1.4880952380952382E-4</v>
      </c>
    </row>
    <row r="541" spans="1:11" x14ac:dyDescent="0.3">
      <c r="A541" s="116" t="s">
        <v>246</v>
      </c>
      <c r="B541" s="117">
        <f>VLOOKUP(MID($A541,1,2),'Free Spins Symbol'!$T$2:$Z$29,3,0)</f>
        <v>22</v>
      </c>
      <c r="C541" s="117">
        <f>VLOOKUP(MID($A541,4,2),'Free Spins Symbol'!$T$2:$Z$29,4,0)</f>
        <v>2</v>
      </c>
      <c r="D541" s="129">
        <f>'Free Spins Symbol'!$X$18</f>
        <v>40</v>
      </c>
      <c r="E541" s="129">
        <f>'Free Spins Symbol'!$Y$18</f>
        <v>32</v>
      </c>
      <c r="F541" s="117">
        <f>VLOOKUP(MID($A541,13,2),'Free Spins Symbol'!$T$2:$Z$29,7,0)</f>
        <v>1</v>
      </c>
      <c r="G541" s="100">
        <f>B541*C541*D541*E541*F541-G539</f>
        <v>56320</v>
      </c>
      <c r="H541" s="118">
        <f t="shared" si="106"/>
        <v>6109.090909090909</v>
      </c>
      <c r="I541" s="100">
        <v>250</v>
      </c>
      <c r="J541" s="119">
        <f t="shared" si="105"/>
        <v>4.0922619047619048E-2</v>
      </c>
      <c r="K541" s="120">
        <f t="shared" si="107"/>
        <v>1.6369047619047618E-4</v>
      </c>
    </row>
    <row r="542" spans="1:11" x14ac:dyDescent="0.3">
      <c r="A542" s="116" t="s">
        <v>247</v>
      </c>
      <c r="B542" s="117">
        <f>VLOOKUP(MID($A542,1,2),'Free Spins Symbol'!$T$2:$Z$29,3,0)</f>
        <v>24</v>
      </c>
      <c r="C542" s="117">
        <f>VLOOKUP(MID($A542,4,2),'Free Spins Symbol'!$T$2:$Z$29,4,0)</f>
        <v>4</v>
      </c>
      <c r="D542" s="129">
        <f>'Free Spins Symbol'!$X$18</f>
        <v>40</v>
      </c>
      <c r="E542" s="129">
        <f>'Free Spins Symbol'!$Y$18</f>
        <v>32</v>
      </c>
      <c r="F542" s="117">
        <f>VLOOKUP(MID($A542,13,2),'Free Spins Symbol'!$T$2:$Z$29,7,0)</f>
        <v>5</v>
      </c>
      <c r="G542" s="100">
        <f>B542*C542*D542*E542*F542-G539</f>
        <v>614400</v>
      </c>
      <c r="H542" s="118">
        <f t="shared" si="106"/>
        <v>560</v>
      </c>
      <c r="I542" s="100">
        <v>150</v>
      </c>
      <c r="J542" s="119">
        <f t="shared" si="105"/>
        <v>0.26785714285714285</v>
      </c>
      <c r="K542" s="120">
        <f t="shared" si="107"/>
        <v>1.7857142857142857E-3</v>
      </c>
    </row>
    <row r="543" spans="1:11" x14ac:dyDescent="0.3">
      <c r="A543" s="116" t="s">
        <v>248</v>
      </c>
      <c r="B543" s="117">
        <f>VLOOKUP(MID($A543,1,2),'Free Spins Symbol'!$T$2:$Z$29,3,0)</f>
        <v>24</v>
      </c>
      <c r="C543" s="117">
        <f>VLOOKUP(MID($A543,4,2),'Free Spins Symbol'!$T$2:$Z$29,4,0)</f>
        <v>4</v>
      </c>
      <c r="D543" s="129">
        <f>'Free Spins Symbol'!$X$18</f>
        <v>40</v>
      </c>
      <c r="E543" s="129">
        <f>'Free Spins Symbol'!$Y$18</f>
        <v>32</v>
      </c>
      <c r="F543" s="117">
        <f>VLOOKUP(MID($A543,13,2),'Free Spins Symbol'!$T$2:$Z$29,7,0)</f>
        <v>5</v>
      </c>
      <c r="G543" s="100">
        <f>B543*C543*D543*E543*F543-G539</f>
        <v>614400</v>
      </c>
      <c r="H543" s="118">
        <f t="shared" si="106"/>
        <v>560</v>
      </c>
      <c r="I543" s="100">
        <v>150</v>
      </c>
      <c r="J543" s="119">
        <f t="shared" si="105"/>
        <v>0.26785714285714285</v>
      </c>
      <c r="K543" s="120">
        <f t="shared" si="107"/>
        <v>1.7857142857142857E-3</v>
      </c>
    </row>
    <row r="544" spans="1:11" x14ac:dyDescent="0.3">
      <c r="A544" s="116" t="s">
        <v>254</v>
      </c>
      <c r="B544" s="117">
        <f>VLOOKUP(MID($A544,1,2),'Free Spins Symbol'!$T$2:$Z$29,3,0)</f>
        <v>18</v>
      </c>
      <c r="C544" s="117">
        <f>VLOOKUP(MID($A544,4,2),'Free Spins Symbol'!$T$2:$Z$29,4,0)</f>
        <v>0</v>
      </c>
      <c r="D544" s="129">
        <f>'Free Spins Symbol'!$X$18</f>
        <v>40</v>
      </c>
      <c r="E544" s="129">
        <f>'Free Spins Symbol'!$Y$18</f>
        <v>32</v>
      </c>
      <c r="F544" s="117">
        <f>VLOOKUP(MID($A544,13,2),'Free Spins Symbol'!$T$2:$Z$29,7,0)</f>
        <v>48</v>
      </c>
      <c r="G544" s="100">
        <f>B544*C544*D544*E544*(F544-F543-F542-F541-F540+3*F539)</f>
        <v>0</v>
      </c>
      <c r="H544" s="118" t="e">
        <f t="shared" si="106"/>
        <v>#DIV/0!</v>
      </c>
      <c r="I544" s="100">
        <v>100</v>
      </c>
      <c r="J544" s="119">
        <f>K544*I544</f>
        <v>0</v>
      </c>
      <c r="K544" s="120">
        <f>G544/B$2</f>
        <v>0</v>
      </c>
    </row>
    <row r="545" spans="1:11" x14ac:dyDescent="0.3">
      <c r="A545" s="116" t="s">
        <v>249</v>
      </c>
      <c r="B545" s="117">
        <f>VLOOKUP(MID($A545,1,2),'Free Spins Symbol'!$T$2:$Z$29,3,0)</f>
        <v>38</v>
      </c>
      <c r="C545" s="117">
        <f>VLOOKUP(MID($A545,4,2),'Free Spins Symbol'!$T$2:$Z$29,4,0)</f>
        <v>13</v>
      </c>
      <c r="D545" s="129">
        <f>'Free Spins Symbol'!$X$18</f>
        <v>40</v>
      </c>
      <c r="E545" s="129">
        <f>'Free Spins Symbol'!$Y$18</f>
        <v>32</v>
      </c>
      <c r="F545" s="117">
        <f>VLOOKUP(MID($A545,13,2),'Free Spins Symbol'!$T$2:$Z$29,7,0)</f>
        <v>2</v>
      </c>
      <c r="G545" s="100">
        <f>B545*C545*D545*E545*F545-G539</f>
        <v>1264640</v>
      </c>
      <c r="H545" s="118">
        <f t="shared" si="106"/>
        <v>272.06477732793525</v>
      </c>
      <c r="I545" s="100">
        <v>100</v>
      </c>
      <c r="J545" s="119">
        <f t="shared" ref="J545:J553" si="108">K545*I545</f>
        <v>0.36755952380952384</v>
      </c>
      <c r="K545" s="120">
        <f t="shared" ref="K545:K553" si="109">G545/B$2</f>
        <v>3.6755952380952382E-3</v>
      </c>
    </row>
    <row r="546" spans="1:11" x14ac:dyDescent="0.3">
      <c r="A546" s="116" t="s">
        <v>250</v>
      </c>
      <c r="B546" s="117">
        <f>VLOOKUP(MID($A546,1,2),'Free Spins Symbol'!$T$2:$Z$29,3,0)</f>
        <v>35</v>
      </c>
      <c r="C546" s="117">
        <f>VLOOKUP(MID($A546,4,2),'Free Spins Symbol'!$T$2:$Z$29,4,0)</f>
        <v>1</v>
      </c>
      <c r="D546" s="129">
        <f>'Free Spins Symbol'!$X$18</f>
        <v>40</v>
      </c>
      <c r="E546" s="129">
        <f>'Free Spins Symbol'!$Y$18</f>
        <v>32</v>
      </c>
      <c r="F546" s="117">
        <f>VLOOKUP(MID($A546,13,2),'Free Spins Symbol'!$T$2:$Z$29,7,0)</f>
        <v>11</v>
      </c>
      <c r="G546" s="100">
        <f>B546*C546*D546*E546*F546-G539</f>
        <v>492800</v>
      </c>
      <c r="H546" s="118">
        <f t="shared" si="106"/>
        <v>698.18181818181813</v>
      </c>
      <c r="I546" s="100">
        <v>100</v>
      </c>
      <c r="J546" s="119">
        <f t="shared" si="108"/>
        <v>0.14322916666666666</v>
      </c>
      <c r="K546" s="120">
        <f t="shared" si="109"/>
        <v>1.4322916666666666E-3</v>
      </c>
    </row>
    <row r="547" spans="1:11" x14ac:dyDescent="0.3">
      <c r="A547" s="116" t="s">
        <v>251</v>
      </c>
      <c r="B547" s="117">
        <f>VLOOKUP(MID($A547,1,2),'Free Spins Symbol'!$T$2:$Z$29,3,0)</f>
        <v>28</v>
      </c>
      <c r="C547" s="117">
        <f>VLOOKUP(MID($A547,4,2),'Free Spins Symbol'!$T$2:$Z$29,4,0)</f>
        <v>13</v>
      </c>
      <c r="D547" s="129">
        <f>'Free Spins Symbol'!$X$18</f>
        <v>40</v>
      </c>
      <c r="E547" s="129">
        <f>'Free Spins Symbol'!$Y$18</f>
        <v>32</v>
      </c>
      <c r="F547" s="117">
        <f>VLOOKUP(MID($A547,13,2),'Free Spins Symbol'!$T$2:$Z$29,7,0)</f>
        <v>1</v>
      </c>
      <c r="G547" s="100">
        <f>B547*C547*D547*E547*F547-G539</f>
        <v>465920</v>
      </c>
      <c r="H547" s="118">
        <f t="shared" si="106"/>
        <v>738.46153846153845</v>
      </c>
      <c r="I547" s="100">
        <v>100</v>
      </c>
      <c r="J547" s="119">
        <f t="shared" si="108"/>
        <v>0.13541666666666669</v>
      </c>
      <c r="K547" s="120">
        <f t="shared" si="109"/>
        <v>1.3541666666666667E-3</v>
      </c>
    </row>
    <row r="548" spans="1:11" x14ac:dyDescent="0.3">
      <c r="A548" s="116" t="s">
        <v>252</v>
      </c>
      <c r="B548" s="117">
        <f>VLOOKUP(MID($A548,1,2),'Free Spins Symbol'!$T$2:$Z$29,3,0)</f>
        <v>34</v>
      </c>
      <c r="C548" s="117">
        <f>VLOOKUP(MID($A548,4,2),'Free Spins Symbol'!$T$2:$Z$29,4,0)</f>
        <v>13</v>
      </c>
      <c r="D548" s="129">
        <f>'Free Spins Symbol'!$X$18</f>
        <v>40</v>
      </c>
      <c r="E548" s="129">
        <f>'Free Spins Symbol'!$Y$18</f>
        <v>32</v>
      </c>
      <c r="F548" s="117">
        <f>VLOOKUP(MID($A548,13,2),'Free Spins Symbol'!$T$2:$Z$29,7,0)</f>
        <v>11</v>
      </c>
      <c r="G548" s="100">
        <f>(B548*C548*D548*E548)*F548-G539</f>
        <v>6223360</v>
      </c>
      <c r="H548" s="118">
        <f t="shared" si="106"/>
        <v>55.285890580008228</v>
      </c>
      <c r="I548" s="100">
        <v>100</v>
      </c>
      <c r="J548" s="119">
        <f t="shared" si="108"/>
        <v>1.8087797619047619</v>
      </c>
      <c r="K548" s="120">
        <f t="shared" si="109"/>
        <v>1.8087797619047618E-2</v>
      </c>
    </row>
    <row r="549" spans="1:11" x14ac:dyDescent="0.3">
      <c r="A549" s="116" t="s">
        <v>253</v>
      </c>
      <c r="B549" s="117">
        <f>VLOOKUP(MID($A549,1,2),'Free Spins Symbol'!$T$2:$Z$29,3,0)</f>
        <v>19</v>
      </c>
      <c r="C549" s="117">
        <f>VLOOKUP(MID($A549,4,2),'Free Spins Symbol'!$T$2:$Z$29,4,0)</f>
        <v>2</v>
      </c>
      <c r="D549" s="129">
        <f>'Free Spins Symbol'!$X$18</f>
        <v>40</v>
      </c>
      <c r="E549" s="129">
        <f>'Free Spins Symbol'!$Y$18</f>
        <v>32</v>
      </c>
      <c r="F549" s="117">
        <f>VLOOKUP(MID($A549,13,2),'Free Spins Symbol'!$T$2:$Z$29,7,0)</f>
        <v>11</v>
      </c>
      <c r="G549" s="100">
        <f>B549*C549*D549*E549*F549-G539</f>
        <v>535040</v>
      </c>
      <c r="H549" s="118">
        <f t="shared" si="106"/>
        <v>643.06220095693777</v>
      </c>
      <c r="I549" s="100">
        <v>100</v>
      </c>
      <c r="J549" s="119">
        <f t="shared" si="108"/>
        <v>0.15550595238095238</v>
      </c>
      <c r="K549" s="120">
        <f t="shared" si="109"/>
        <v>1.5550595238095239E-3</v>
      </c>
    </row>
    <row r="550" spans="1:11" x14ac:dyDescent="0.3">
      <c r="A550" s="116" t="s">
        <v>255</v>
      </c>
      <c r="B550" s="117">
        <f>VLOOKUP(MID($A550,1,2),'Free Spins Symbol'!$T$2:$Z$29,3,0)</f>
        <v>20</v>
      </c>
      <c r="C550" s="117">
        <f>VLOOKUP(MID($A550,4,2),'Free Spins Symbol'!$T$2:$Z$29,4,0)</f>
        <v>2</v>
      </c>
      <c r="D550" s="129">
        <f>'Free Spins Symbol'!$X$18</f>
        <v>40</v>
      </c>
      <c r="E550" s="129">
        <f>'Free Spins Symbol'!$Y$18</f>
        <v>32</v>
      </c>
      <c r="F550" s="117">
        <f>VLOOKUP(MID($A550,13,2),'Free Spins Symbol'!$T$2:$Z$29,7,0)</f>
        <v>48</v>
      </c>
      <c r="G550" s="100">
        <f>(B550*C550*D550*E550-B544*C544*D544*E544)*(F550-F540)</f>
        <v>2406400</v>
      </c>
      <c r="H550" s="118">
        <f t="shared" si="106"/>
        <v>142.97872340425531</v>
      </c>
      <c r="I550" s="100">
        <v>50</v>
      </c>
      <c r="J550" s="119">
        <f t="shared" si="108"/>
        <v>0.34970238095238099</v>
      </c>
      <c r="K550" s="120">
        <f t="shared" si="109"/>
        <v>6.9940476190476194E-3</v>
      </c>
    </row>
    <row r="551" spans="1:11" x14ac:dyDescent="0.3">
      <c r="A551" s="116" t="s">
        <v>256</v>
      </c>
      <c r="B551" s="117">
        <f>VLOOKUP(MID($A551,1,2),'Free Spins Symbol'!$T$2:$Z$29,3,0)</f>
        <v>22</v>
      </c>
      <c r="C551" s="117">
        <f>VLOOKUP(MID($A551,4,2),'Free Spins Symbol'!$T$2:$Z$29,4,0)</f>
        <v>2</v>
      </c>
      <c r="D551" s="129">
        <f>'Free Spins Symbol'!$X$18</f>
        <v>40</v>
      </c>
      <c r="E551" s="129">
        <f>'Free Spins Symbol'!$Y$18</f>
        <v>32</v>
      </c>
      <c r="F551" s="117">
        <f>VLOOKUP(MID($A551,13,2),'Free Spins Symbol'!$T$2:$Z$29,7,0)</f>
        <v>48</v>
      </c>
      <c r="G551" s="100">
        <f>(B551*C551*D551*E551-B544*C544*D544*E544)*(F551-F541)</f>
        <v>2647040</v>
      </c>
      <c r="H551" s="118">
        <f t="shared" si="106"/>
        <v>129.9806576402321</v>
      </c>
      <c r="I551" s="100">
        <v>50</v>
      </c>
      <c r="J551" s="119">
        <f t="shared" si="108"/>
        <v>0.38467261904761901</v>
      </c>
      <c r="K551" s="120">
        <f t="shared" si="109"/>
        <v>7.6934523809523807E-3</v>
      </c>
    </row>
    <row r="552" spans="1:11" x14ac:dyDescent="0.3">
      <c r="A552" s="116" t="s">
        <v>257</v>
      </c>
      <c r="B552" s="117">
        <f>VLOOKUP(MID($A552,1,2),'Free Spins Symbol'!$T$2:$Z$29,3,0)</f>
        <v>24</v>
      </c>
      <c r="C552" s="117">
        <f>VLOOKUP(MID($A552,4,2),'Free Spins Symbol'!$T$2:$Z$29,4,0)</f>
        <v>4</v>
      </c>
      <c r="D552" s="129">
        <f>'Free Spins Symbol'!$X$18</f>
        <v>40</v>
      </c>
      <c r="E552" s="129">
        <f>'Free Spins Symbol'!$Y$18</f>
        <v>32</v>
      </c>
      <c r="F552" s="117">
        <f>VLOOKUP(MID($A552,13,2),'Free Spins Symbol'!$T$2:$Z$29,7,0)</f>
        <v>48</v>
      </c>
      <c r="G552" s="100">
        <f>(B552*C552*D552*E552-B544*C544*D544*E544)*(F552-F542)</f>
        <v>5283840</v>
      </c>
      <c r="H552" s="118">
        <f t="shared" si="106"/>
        <v>65.116279069767444</v>
      </c>
      <c r="I552" s="100">
        <v>30</v>
      </c>
      <c r="J552" s="119">
        <f t="shared" si="108"/>
        <v>0.46071428571428574</v>
      </c>
      <c r="K552" s="120">
        <f t="shared" si="109"/>
        <v>1.5357142857142857E-2</v>
      </c>
    </row>
    <row r="553" spans="1:11" x14ac:dyDescent="0.3">
      <c r="A553" s="116" t="s">
        <v>258</v>
      </c>
      <c r="B553" s="117">
        <f>VLOOKUP(MID($A553,1,2),'Free Spins Symbol'!$T$2:$Z$29,3,0)</f>
        <v>24</v>
      </c>
      <c r="C553" s="117">
        <f>VLOOKUP(MID($A553,4,2),'Free Spins Symbol'!$T$2:$Z$29,4,0)</f>
        <v>4</v>
      </c>
      <c r="D553" s="129">
        <f>'Free Spins Symbol'!$X$18</f>
        <v>40</v>
      </c>
      <c r="E553" s="129">
        <f>'Free Spins Symbol'!$Y$18</f>
        <v>32</v>
      </c>
      <c r="F553" s="117">
        <f>VLOOKUP(MID($A553,13,2),'Free Spins Symbol'!$T$2:$Z$29,7,0)</f>
        <v>48</v>
      </c>
      <c r="G553" s="100">
        <f>(B553*C553*D553*E553-B544*C544*D544*E544)*(F553-F543)</f>
        <v>5283840</v>
      </c>
      <c r="H553" s="118">
        <f t="shared" si="106"/>
        <v>65.116279069767444</v>
      </c>
      <c r="I553" s="100">
        <v>30</v>
      </c>
      <c r="J553" s="119">
        <f t="shared" si="108"/>
        <v>0.46071428571428574</v>
      </c>
      <c r="K553" s="120">
        <f t="shared" si="109"/>
        <v>1.5357142857142857E-2</v>
      </c>
    </row>
    <row r="554" spans="1:11" x14ac:dyDescent="0.3">
      <c r="A554" s="116" t="s">
        <v>264</v>
      </c>
      <c r="B554" s="117">
        <f>VLOOKUP(MID($A554,1,2),'Free Spins Symbol'!$T$2:$Z$29,3,0)</f>
        <v>18</v>
      </c>
      <c r="C554" s="117">
        <f>VLOOKUP(MID($A554,4,2),'Free Spins Symbol'!$T$2:$Z$29,4,0)</f>
        <v>0</v>
      </c>
      <c r="D554" s="129">
        <f>'Free Spins Symbol'!$X$18</f>
        <v>40</v>
      </c>
      <c r="E554" s="129">
        <f>'Free Spins Symbol'!$Y$18</f>
        <v>32</v>
      </c>
      <c r="F554" s="117">
        <f>VLOOKUP(MID($A554,13,2),'Free Spins Symbol'!$T$2:$Z$29,7,0)</f>
        <v>48</v>
      </c>
      <c r="G554" s="100">
        <f>(B554*C554*D554)*(E554*F554-(E553+E552+E551+E550-3*E544)*F544-(E549-E544)*F549-(E548-E544)*F548-(E547-E544)*F547-(E546-E544)*F546-(E545-E544)*F545)</f>
        <v>0</v>
      </c>
      <c r="H554" s="118" t="e">
        <f t="shared" si="106"/>
        <v>#DIV/0!</v>
      </c>
      <c r="I554" s="100">
        <v>20</v>
      </c>
      <c r="J554" s="119">
        <f>K554*I554</f>
        <v>0</v>
      </c>
      <c r="K554" s="120">
        <f>G554/B$2</f>
        <v>0</v>
      </c>
    </row>
    <row r="555" spans="1:11" x14ac:dyDescent="0.3">
      <c r="A555" s="116" t="s">
        <v>259</v>
      </c>
      <c r="B555" s="117">
        <f>VLOOKUP(MID($A555,1,2),'Free Spins Symbol'!$T$2:$Z$29,3,0)</f>
        <v>38</v>
      </c>
      <c r="C555" s="117">
        <f>VLOOKUP(MID($A555,4,2),'Free Spins Symbol'!$T$2:$Z$29,4,0)</f>
        <v>13</v>
      </c>
      <c r="D555" s="129">
        <f>'Free Spins Symbol'!$X$18</f>
        <v>40</v>
      </c>
      <c r="E555" s="129">
        <f>'Free Spins Symbol'!$Y$18</f>
        <v>32</v>
      </c>
      <c r="F555" s="117">
        <f>VLOOKUP(MID($A555,13,2),'Free Spins Symbol'!$T$2:$Z$29,7,0)</f>
        <v>48</v>
      </c>
      <c r="G555" s="100">
        <f>(B555*C555*D555*E555-B544*C544*D544*E544)*(F555-F545)</f>
        <v>29086720</v>
      </c>
      <c r="H555" s="118">
        <f t="shared" si="106"/>
        <v>11.828903362084141</v>
      </c>
      <c r="I555" s="100">
        <v>20</v>
      </c>
      <c r="J555" s="119">
        <f t="shared" ref="J555:J574" si="110">K555*I555</f>
        <v>1.6907738095238094</v>
      </c>
      <c r="K555" s="120">
        <f t="shared" ref="K555:K574" si="111">G555/B$2</f>
        <v>8.4538690476190476E-2</v>
      </c>
    </row>
    <row r="556" spans="1:11" x14ac:dyDescent="0.3">
      <c r="A556" s="116" t="s">
        <v>260</v>
      </c>
      <c r="B556" s="117">
        <f>VLOOKUP(MID($A556,1,2),'Free Spins Symbol'!$T$2:$Z$29,3,0)</f>
        <v>35</v>
      </c>
      <c r="C556" s="117">
        <f>VLOOKUP(MID($A556,4,2),'Free Spins Symbol'!$T$2:$Z$29,4,0)</f>
        <v>1</v>
      </c>
      <c r="D556" s="129">
        <f>'Free Spins Symbol'!$X$18</f>
        <v>40</v>
      </c>
      <c r="E556" s="129">
        <f>'Free Spins Symbol'!$Y$18</f>
        <v>32</v>
      </c>
      <c r="F556" s="117">
        <f>VLOOKUP(MID($A556,13,2),'Free Spins Symbol'!$T$2:$Z$29,7,0)</f>
        <v>48</v>
      </c>
      <c r="G556" s="100">
        <f>(B556*C556*D556*E556-B544*C544*D544*E544)*(F556-F546)</f>
        <v>1657600</v>
      </c>
      <c r="H556" s="118">
        <f t="shared" si="106"/>
        <v>207.56756756756758</v>
      </c>
      <c r="I556" s="100">
        <v>20</v>
      </c>
      <c r="J556" s="119">
        <f t="shared" si="110"/>
        <v>9.6354166666666671E-2</v>
      </c>
      <c r="K556" s="120">
        <f t="shared" si="111"/>
        <v>4.8177083333333336E-3</v>
      </c>
    </row>
    <row r="557" spans="1:11" x14ac:dyDescent="0.3">
      <c r="A557" s="116" t="s">
        <v>261</v>
      </c>
      <c r="B557" s="117">
        <f>VLOOKUP(MID($A557,1,2),'Free Spins Symbol'!$T$2:$Z$29,3,0)</f>
        <v>28</v>
      </c>
      <c r="C557" s="117">
        <f>VLOOKUP(MID($A557,4,2),'Free Spins Symbol'!$T$2:$Z$29,4,0)</f>
        <v>13</v>
      </c>
      <c r="D557" s="129">
        <f>'Free Spins Symbol'!$X$18</f>
        <v>40</v>
      </c>
      <c r="E557" s="129">
        <f>'Free Spins Symbol'!$Y$18</f>
        <v>32</v>
      </c>
      <c r="F557" s="117">
        <f>VLOOKUP(MID($A557,13,2),'Free Spins Symbol'!$T$2:$Z$29,7,0)</f>
        <v>48</v>
      </c>
      <c r="G557" s="100">
        <f>(B557*C557*D557*E557-B544*C544*D544*E544)*(F557-F547)</f>
        <v>21898240</v>
      </c>
      <c r="H557" s="118">
        <f t="shared" si="106"/>
        <v>15.711947626841244</v>
      </c>
      <c r="I557" s="100">
        <v>20</v>
      </c>
      <c r="J557" s="119">
        <f t="shared" si="110"/>
        <v>1.2729166666666667</v>
      </c>
      <c r="K557" s="120">
        <f t="shared" si="111"/>
        <v>6.3645833333333332E-2</v>
      </c>
    </row>
    <row r="558" spans="1:11" x14ac:dyDescent="0.3">
      <c r="A558" s="116" t="s">
        <v>262</v>
      </c>
      <c r="B558" s="117">
        <f>VLOOKUP(MID($A558,1,2),'Free Spins Symbol'!$T$2:$Z$29,3,0)</f>
        <v>34</v>
      </c>
      <c r="C558" s="117">
        <f>VLOOKUP(MID($A558,4,2),'Free Spins Symbol'!$T$2:$Z$29,4,0)</f>
        <v>13</v>
      </c>
      <c r="D558" s="129">
        <f>'Free Spins Symbol'!$X$18</f>
        <v>40</v>
      </c>
      <c r="E558" s="129">
        <f>'Free Spins Symbol'!$Y$18</f>
        <v>32</v>
      </c>
      <c r="F558" s="117">
        <f>VLOOKUP(MID($A558,13,2),'Free Spins Symbol'!$T$2:$Z$29,7,0)</f>
        <v>48</v>
      </c>
      <c r="G558" s="100">
        <f>(B558*C558*D558*E558-B544*C544*D544*E544)*(F558-F548)</f>
        <v>20933120</v>
      </c>
      <c r="H558" s="118">
        <f t="shared" si="106"/>
        <v>16.436345848110555</v>
      </c>
      <c r="I558" s="100">
        <v>20</v>
      </c>
      <c r="J558" s="119">
        <f t="shared" si="110"/>
        <v>1.2168154761904761</v>
      </c>
      <c r="K558" s="120">
        <f t="shared" si="111"/>
        <v>6.084077380952381E-2</v>
      </c>
    </row>
    <row r="559" spans="1:11" x14ac:dyDescent="0.3">
      <c r="A559" s="116" t="s">
        <v>263</v>
      </c>
      <c r="B559" s="117">
        <f>VLOOKUP(MID($A559,1,2),'Free Spins Symbol'!$T$2:$Z$29,3,0)</f>
        <v>19</v>
      </c>
      <c r="C559" s="117">
        <f>VLOOKUP(MID($A559,4,2),'Free Spins Symbol'!$T$2:$Z$29,4,0)</f>
        <v>2</v>
      </c>
      <c r="D559" s="129">
        <f>'Free Spins Symbol'!$X$18</f>
        <v>40</v>
      </c>
      <c r="E559" s="129">
        <f>'Free Spins Symbol'!$Y$18</f>
        <v>32</v>
      </c>
      <c r="F559" s="117">
        <f>VLOOKUP(MID($A559,13,2),'Free Spins Symbol'!$T$2:$Z$29,7,0)</f>
        <v>48</v>
      </c>
      <c r="G559" s="100">
        <f>(B559*C559*D559*E559-B544*C544*D544*E544)*(F559-F549)</f>
        <v>1799680</v>
      </c>
      <c r="H559" s="118">
        <f t="shared" si="106"/>
        <v>191.18065433854906</v>
      </c>
      <c r="I559" s="100">
        <v>20</v>
      </c>
      <c r="J559" s="119">
        <f t="shared" si="110"/>
        <v>0.10461309523809524</v>
      </c>
      <c r="K559" s="120">
        <f t="shared" si="111"/>
        <v>5.2306547619047619E-3</v>
      </c>
    </row>
    <row r="560" spans="1:11" x14ac:dyDescent="0.3">
      <c r="A560" s="116" t="s">
        <v>265</v>
      </c>
      <c r="B560" s="117">
        <f>VLOOKUP(MID($A560,1,2),'Free Spins Symbol'!$T$2:$Z$29,3,0)</f>
        <v>20</v>
      </c>
      <c r="C560" s="117">
        <f>VLOOKUP(MID($A560,4,2),'Free Spins Symbol'!$T$2:$Z$29,4,0)</f>
        <v>2</v>
      </c>
      <c r="D560" s="129">
        <f>'Free Spins Symbol'!$X$18</f>
        <v>40</v>
      </c>
      <c r="E560" s="129">
        <f>'Free Spins Symbol'!$Y$18</f>
        <v>32</v>
      </c>
      <c r="F560" s="117">
        <f>VLOOKUP(MID($A560,13,2),'Free Spins Symbol'!$T$2:$Z$29,7,0)</f>
        <v>48</v>
      </c>
      <c r="G560" s="100">
        <f>(B560*C560*D560)*(E560-E550)*F560</f>
        <v>0</v>
      </c>
      <c r="H560" s="118" t="e">
        <f t="shared" si="106"/>
        <v>#DIV/0!</v>
      </c>
      <c r="I560" s="100">
        <v>20</v>
      </c>
      <c r="J560" s="119">
        <f t="shared" si="110"/>
        <v>0</v>
      </c>
      <c r="K560" s="120">
        <f t="shared" si="111"/>
        <v>0</v>
      </c>
    </row>
    <row r="561" spans="1:11" x14ac:dyDescent="0.3">
      <c r="A561" s="116" t="s">
        <v>266</v>
      </c>
      <c r="B561" s="117">
        <f>VLOOKUP(MID($A561,1,2),'Free Spins Symbol'!$T$2:$Z$29,3,0)</f>
        <v>22</v>
      </c>
      <c r="C561" s="117">
        <f>VLOOKUP(MID($A561,4,2),'Free Spins Symbol'!$T$2:$Z$29,4,0)</f>
        <v>2</v>
      </c>
      <c r="D561" s="129">
        <f>'Free Spins Symbol'!$X$18</f>
        <v>40</v>
      </c>
      <c r="E561" s="129">
        <f>'Free Spins Symbol'!$Y$18</f>
        <v>32</v>
      </c>
      <c r="F561" s="117">
        <f>VLOOKUP(MID($A561,13,2),'Free Spins Symbol'!$T$2:$Z$29,7,0)</f>
        <v>48</v>
      </c>
      <c r="G561" s="100">
        <f>(B561*C561*D561)*(E561-E551)*F561</f>
        <v>0</v>
      </c>
      <c r="H561" s="118" t="e">
        <f t="shared" si="106"/>
        <v>#DIV/0!</v>
      </c>
      <c r="I561" s="100">
        <v>20</v>
      </c>
      <c r="J561" s="119">
        <f t="shared" si="110"/>
        <v>0</v>
      </c>
      <c r="K561" s="120">
        <f t="shared" si="111"/>
        <v>0</v>
      </c>
    </row>
    <row r="562" spans="1:11" x14ac:dyDescent="0.3">
      <c r="A562" s="116" t="s">
        <v>267</v>
      </c>
      <c r="B562" s="117">
        <f>VLOOKUP(MID($A562,1,2),'Free Spins Symbol'!$T$2:$Z$29,3,0)</f>
        <v>24</v>
      </c>
      <c r="C562" s="117">
        <f>VLOOKUP(MID($A562,4,2),'Free Spins Symbol'!$T$2:$Z$29,4,0)</f>
        <v>4</v>
      </c>
      <c r="D562" s="129">
        <f>'Free Spins Symbol'!$X$18</f>
        <v>40</v>
      </c>
      <c r="E562" s="129">
        <f>'Free Spins Symbol'!$Y$18</f>
        <v>32</v>
      </c>
      <c r="F562" s="117">
        <f>VLOOKUP(MID($A562,13,2),'Free Spins Symbol'!$T$2:$Z$29,7,0)</f>
        <v>48</v>
      </c>
      <c r="G562" s="100">
        <f>(B562*C562*D562-B554*C554*D554)*(E562-E552)*F562</f>
        <v>0</v>
      </c>
      <c r="H562" s="118" t="e">
        <f t="shared" si="106"/>
        <v>#DIV/0!</v>
      </c>
      <c r="I562" s="100">
        <v>10</v>
      </c>
      <c r="J562" s="119">
        <f t="shared" si="110"/>
        <v>0</v>
      </c>
      <c r="K562" s="120">
        <f t="shared" si="111"/>
        <v>0</v>
      </c>
    </row>
    <row r="563" spans="1:11" x14ac:dyDescent="0.3">
      <c r="A563" s="116" t="s">
        <v>268</v>
      </c>
      <c r="B563" s="117">
        <f>VLOOKUP(MID($A563,1,2),'Free Spins Symbol'!$T$2:$Z$29,3,0)</f>
        <v>24</v>
      </c>
      <c r="C563" s="117">
        <f>VLOOKUP(MID($A563,4,2),'Free Spins Symbol'!$T$2:$Z$29,4,0)</f>
        <v>4</v>
      </c>
      <c r="D563" s="129">
        <f>'Free Spins Symbol'!$X$18</f>
        <v>40</v>
      </c>
      <c r="E563" s="129">
        <f>'Free Spins Symbol'!$Y$18</f>
        <v>32</v>
      </c>
      <c r="F563" s="117">
        <f>VLOOKUP(MID($A563,13,2),'Free Spins Symbol'!$T$2:$Z$29,7,0)</f>
        <v>48</v>
      </c>
      <c r="G563" s="100">
        <f>(B563*C563*D563-B554*C554*D554)*(E563-E553)*F563</f>
        <v>0</v>
      </c>
      <c r="H563" s="118" t="e">
        <f t="shared" si="106"/>
        <v>#DIV/0!</v>
      </c>
      <c r="I563" s="100">
        <v>10</v>
      </c>
      <c r="J563" s="119">
        <f t="shared" si="110"/>
        <v>0</v>
      </c>
      <c r="K563" s="120">
        <f t="shared" si="111"/>
        <v>0</v>
      </c>
    </row>
    <row r="564" spans="1:11" x14ac:dyDescent="0.3">
      <c r="A564" s="116" t="s">
        <v>269</v>
      </c>
      <c r="B564" s="117">
        <f>VLOOKUP(MID($A564,1,2),'Free Spins Symbol'!$T$2:$Z$29,3,0)</f>
        <v>38</v>
      </c>
      <c r="C564" s="117">
        <f>VLOOKUP(MID($A564,4,2),'Free Spins Symbol'!$T$2:$Z$29,4,0)</f>
        <v>13</v>
      </c>
      <c r="D564" s="129">
        <f>'Free Spins Symbol'!$X$18</f>
        <v>40</v>
      </c>
      <c r="E564" s="129">
        <f>'Free Spins Symbol'!$Y$18</f>
        <v>32</v>
      </c>
      <c r="F564" s="117">
        <f>VLOOKUP(MID($A564,13,2),'Free Spins Symbol'!$T$2:$Z$29,7,0)</f>
        <v>48</v>
      </c>
      <c r="G564" s="100">
        <f>(B564*C564*D564-B554*C554*D554)*(E564-E555)*F564</f>
        <v>0</v>
      </c>
      <c r="H564" s="118" t="e">
        <f t="shared" si="106"/>
        <v>#DIV/0!</v>
      </c>
      <c r="I564" s="100">
        <v>5</v>
      </c>
      <c r="J564" s="119">
        <f t="shared" si="110"/>
        <v>0</v>
      </c>
      <c r="K564" s="120">
        <f t="shared" si="111"/>
        <v>0</v>
      </c>
    </row>
    <row r="565" spans="1:11" x14ac:dyDescent="0.3">
      <c r="A565" s="116" t="s">
        <v>270</v>
      </c>
      <c r="B565" s="117">
        <f>VLOOKUP(MID($A565,1,2),'Free Spins Symbol'!$T$2:$Z$29,3,0)</f>
        <v>35</v>
      </c>
      <c r="C565" s="117">
        <f>VLOOKUP(MID($A565,4,2),'Free Spins Symbol'!$T$2:$Z$29,4,0)</f>
        <v>1</v>
      </c>
      <c r="D565" s="129">
        <f>'Free Spins Symbol'!$X$18</f>
        <v>40</v>
      </c>
      <c r="E565" s="129">
        <f>'Free Spins Symbol'!$Y$18</f>
        <v>32</v>
      </c>
      <c r="F565" s="117">
        <f>VLOOKUP(MID($A565,13,2),'Free Spins Symbol'!$T$2:$Z$29,7,0)</f>
        <v>48</v>
      </c>
      <c r="G565" s="100">
        <f>(B565*C565*D565-B554*C554*D554)*(E565-E556)*F565</f>
        <v>0</v>
      </c>
      <c r="H565" s="118" t="e">
        <f t="shared" si="106"/>
        <v>#DIV/0!</v>
      </c>
      <c r="I565" s="100">
        <v>5</v>
      </c>
      <c r="J565" s="119">
        <f t="shared" si="110"/>
        <v>0</v>
      </c>
      <c r="K565" s="120">
        <f t="shared" si="111"/>
        <v>0</v>
      </c>
    </row>
    <row r="566" spans="1:11" x14ac:dyDescent="0.3">
      <c r="A566" s="116" t="s">
        <v>271</v>
      </c>
      <c r="B566" s="117">
        <f>VLOOKUP(MID($A566,1,2),'Free Spins Symbol'!$T$2:$Z$29,3,0)</f>
        <v>28</v>
      </c>
      <c r="C566" s="117">
        <f>VLOOKUP(MID($A566,4,2),'Free Spins Symbol'!$T$2:$Z$29,4,0)</f>
        <v>13</v>
      </c>
      <c r="D566" s="129">
        <f>'Free Spins Symbol'!$X$18</f>
        <v>40</v>
      </c>
      <c r="E566" s="129">
        <f>'Free Spins Symbol'!$Y$18</f>
        <v>32</v>
      </c>
      <c r="F566" s="117">
        <f>VLOOKUP(MID($A566,13,2),'Free Spins Symbol'!$T$2:$Z$29,7,0)</f>
        <v>48</v>
      </c>
      <c r="G566" s="100">
        <f>(B566*C566*D566-B554*C554*D554)*(E566-E557)*F566</f>
        <v>0</v>
      </c>
      <c r="H566" s="118" t="e">
        <f t="shared" si="106"/>
        <v>#DIV/0!</v>
      </c>
      <c r="I566" s="100">
        <v>5</v>
      </c>
      <c r="J566" s="119">
        <f t="shared" si="110"/>
        <v>0</v>
      </c>
      <c r="K566" s="120">
        <f t="shared" si="111"/>
        <v>0</v>
      </c>
    </row>
    <row r="567" spans="1:11" x14ac:dyDescent="0.3">
      <c r="A567" s="116" t="s">
        <v>272</v>
      </c>
      <c r="B567" s="117">
        <f>VLOOKUP(MID($A567,1,2),'Free Spins Symbol'!$T$2:$Z$29,3,0)</f>
        <v>34</v>
      </c>
      <c r="C567" s="117">
        <f>VLOOKUP(MID($A567,4,2),'Free Spins Symbol'!$T$2:$Z$29,4,0)</f>
        <v>13</v>
      </c>
      <c r="D567" s="129">
        <f>'Free Spins Symbol'!$X$18</f>
        <v>40</v>
      </c>
      <c r="E567" s="129">
        <f>'Free Spins Symbol'!$Y$18</f>
        <v>32</v>
      </c>
      <c r="F567" s="117">
        <f>VLOOKUP(MID($A567,13,2),'Free Spins Symbol'!$T$2:$Z$29,7,0)</f>
        <v>48</v>
      </c>
      <c r="G567" s="100">
        <f>(B567*C567*D567-B554*C554*D554)*(E567-E558)*F567</f>
        <v>0</v>
      </c>
      <c r="H567" s="118" t="e">
        <f t="shared" si="106"/>
        <v>#DIV/0!</v>
      </c>
      <c r="I567" s="100">
        <v>5</v>
      </c>
      <c r="J567" s="119">
        <f t="shared" si="110"/>
        <v>0</v>
      </c>
      <c r="K567" s="120">
        <f t="shared" si="111"/>
        <v>0</v>
      </c>
    </row>
    <row r="568" spans="1:11" x14ac:dyDescent="0.3">
      <c r="A568" s="116" t="s">
        <v>273</v>
      </c>
      <c r="B568" s="117">
        <f>VLOOKUP(MID($A568,1,2),'Free Spins Symbol'!$T$2:$Z$29,3,0)</f>
        <v>19</v>
      </c>
      <c r="C568" s="117">
        <f>VLOOKUP(MID($A568,4,2),'Free Spins Symbol'!$T$2:$Z$29,4,0)</f>
        <v>2</v>
      </c>
      <c r="D568" s="129">
        <f>'Free Spins Symbol'!$X$18</f>
        <v>40</v>
      </c>
      <c r="E568" s="129">
        <f>'Free Spins Symbol'!$Y$18</f>
        <v>32</v>
      </c>
      <c r="F568" s="117">
        <f>VLOOKUP(MID($A568,13,2),'Free Spins Symbol'!$T$2:$Z$29,7,0)</f>
        <v>48</v>
      </c>
      <c r="G568" s="100">
        <f>(B568*C568*D568-B554*C554*D554)*(E568-E559)*F568</f>
        <v>0</v>
      </c>
      <c r="H568" s="118" t="e">
        <f t="shared" si="106"/>
        <v>#DIV/0!</v>
      </c>
      <c r="I568" s="100">
        <v>5</v>
      </c>
      <c r="J568" s="119">
        <f t="shared" si="110"/>
        <v>0</v>
      </c>
      <c r="K568" s="120">
        <f t="shared" si="111"/>
        <v>0</v>
      </c>
    </row>
    <row r="569" spans="1:11" x14ac:dyDescent="0.3">
      <c r="A569" s="116" t="s">
        <v>274</v>
      </c>
      <c r="B569" s="117">
        <f>VLOOKUP(MID($A569,1,2),'Free Spins Symbol'!$T$2:$Z$29,3,0)</f>
        <v>18</v>
      </c>
      <c r="C569" s="117">
        <f>VLOOKUP(MID($A569,4,2),'Free Spins Symbol'!$T$2:$Z$29,4,0)</f>
        <v>0</v>
      </c>
      <c r="D569" s="129">
        <f>'Free Spins Symbol'!$X$18</f>
        <v>40</v>
      </c>
      <c r="E569" s="129">
        <f>'Free Spins Symbol'!$Y$18</f>
        <v>32</v>
      </c>
      <c r="F569" s="117">
        <f>VLOOKUP(MID($A569,13,2),'Free Spins Symbol'!$T$2:$Z$29,7,0)</f>
        <v>48</v>
      </c>
      <c r="G569" s="100">
        <f>B569*C569*(D569-D568-D567-D566-D565-D564-D563-D562-D561-D560+8*D554)*E569*F569</f>
        <v>0</v>
      </c>
      <c r="H569" s="118" t="e">
        <f t="shared" si="106"/>
        <v>#DIV/0!</v>
      </c>
      <c r="I569" s="100">
        <v>5</v>
      </c>
      <c r="J569" s="119">
        <f t="shared" si="110"/>
        <v>0</v>
      </c>
      <c r="K569" s="120">
        <f t="shared" si="111"/>
        <v>0</v>
      </c>
    </row>
    <row r="570" spans="1:11" x14ac:dyDescent="0.3">
      <c r="A570" s="116" t="s">
        <v>275</v>
      </c>
      <c r="B570" s="117">
        <f>VLOOKUP(MID($A570,1,2),'Free Spins Symbol'!$T$2:$Z$29,3,0)</f>
        <v>20</v>
      </c>
      <c r="C570" s="117">
        <f>VLOOKUP(MID($A570,4,2),'Free Spins Symbol'!$T$2:$Z$29,4,0)</f>
        <v>2</v>
      </c>
      <c r="D570" s="129">
        <f>'Free Spins Symbol'!$X$18</f>
        <v>40</v>
      </c>
      <c r="E570" s="129">
        <f>'Free Spins Symbol'!$Y$18</f>
        <v>32</v>
      </c>
      <c r="F570" s="117">
        <f>VLOOKUP(MID($A570,13,2),'Free Spins Symbol'!$T$2:$Z$29,7,0)</f>
        <v>48</v>
      </c>
      <c r="G570" s="100">
        <f>(B570*C570-B569*C569)*(D570-D560)*E570*F570</f>
        <v>0</v>
      </c>
      <c r="H570" s="118" t="e">
        <f t="shared" si="106"/>
        <v>#DIV/0!</v>
      </c>
      <c r="I570" s="100">
        <v>5</v>
      </c>
      <c r="J570" s="119">
        <f t="shared" si="110"/>
        <v>0</v>
      </c>
      <c r="K570" s="120">
        <f t="shared" si="111"/>
        <v>0</v>
      </c>
    </row>
    <row r="571" spans="1:11" x14ac:dyDescent="0.3">
      <c r="A571" s="116" t="s">
        <v>276</v>
      </c>
      <c r="B571" s="117">
        <f>VLOOKUP(MID($A571,1,2),'Free Spins Symbol'!$T$2:$Z$29,3,0)</f>
        <v>22</v>
      </c>
      <c r="C571" s="117">
        <f>VLOOKUP(MID($A571,4,2),'Free Spins Symbol'!$T$2:$Z$29,4,0)</f>
        <v>2</v>
      </c>
      <c r="D571" s="129">
        <f>'Free Spins Symbol'!$X$18</f>
        <v>40</v>
      </c>
      <c r="E571" s="129">
        <f>'Free Spins Symbol'!$Y$18</f>
        <v>32</v>
      </c>
      <c r="F571" s="117">
        <f>VLOOKUP(MID($A571,13,2),'Free Spins Symbol'!$T$2:$Z$29,7,0)</f>
        <v>48</v>
      </c>
      <c r="G571" s="100">
        <f>(B571*C571-B569*C569)*(D571-D561)*E571*F571</f>
        <v>0</v>
      </c>
      <c r="H571" s="118" t="e">
        <f t="shared" si="106"/>
        <v>#DIV/0!</v>
      </c>
      <c r="I571" s="100">
        <v>5</v>
      </c>
      <c r="J571" s="119">
        <f t="shared" si="110"/>
        <v>0</v>
      </c>
      <c r="K571" s="120">
        <f t="shared" si="111"/>
        <v>0</v>
      </c>
    </row>
    <row r="572" spans="1:11" x14ac:dyDescent="0.3">
      <c r="A572" s="116" t="s">
        <v>277</v>
      </c>
      <c r="B572" s="117">
        <f>VLOOKUP(MID($A572,1,2),'Free Spins Symbol'!$T$2:$Z$29,3,0)</f>
        <v>24</v>
      </c>
      <c r="C572" s="117">
        <f>VLOOKUP(MID($A572,4,2),'Free Spins Symbol'!$T$2:$Z$29,4,0)</f>
        <v>4</v>
      </c>
      <c r="D572" s="129">
        <f>'Free Spins Symbol'!$X$18</f>
        <v>40</v>
      </c>
      <c r="E572" s="129">
        <f>'Free Spins Symbol'!$Y$18</f>
        <v>32</v>
      </c>
      <c r="F572" s="117">
        <f>VLOOKUP(MID($A572,13,2),'Free Spins Symbol'!$T$2:$Z$29,7,0)</f>
        <v>48</v>
      </c>
      <c r="G572" s="100">
        <f>(B572*C572-B569*C569)*(D572-D562)*E572*F572</f>
        <v>0</v>
      </c>
      <c r="H572" s="118" t="e">
        <f t="shared" si="106"/>
        <v>#DIV/0!</v>
      </c>
      <c r="I572" s="100">
        <v>5</v>
      </c>
      <c r="J572" s="119">
        <f t="shared" si="110"/>
        <v>0</v>
      </c>
      <c r="K572" s="120">
        <f t="shared" si="111"/>
        <v>0</v>
      </c>
    </row>
    <row r="573" spans="1:11" x14ac:dyDescent="0.3">
      <c r="A573" s="116" t="s">
        <v>278</v>
      </c>
      <c r="B573" s="117">
        <f>VLOOKUP(MID($A573,1,2),'Free Spins Symbol'!$T$2:$Z$29,3,0)</f>
        <v>24</v>
      </c>
      <c r="C573" s="117">
        <f>VLOOKUP(MID($A573,4,2),'Free Spins Symbol'!$T$2:$Z$29,4,0)</f>
        <v>4</v>
      </c>
      <c r="D573" s="129">
        <f>'Free Spins Symbol'!$X$18</f>
        <v>40</v>
      </c>
      <c r="E573" s="129">
        <f>'Free Spins Symbol'!$Y$18</f>
        <v>32</v>
      </c>
      <c r="F573" s="117">
        <f>VLOOKUP(MID($A573,13,2),'Free Spins Symbol'!$T$2:$Z$29,7,0)</f>
        <v>48</v>
      </c>
      <c r="G573" s="100">
        <f>(B573*C573-B569*C569)*(D573-D563)*E573*F573</f>
        <v>0</v>
      </c>
      <c r="H573" s="118" t="e">
        <f t="shared" si="106"/>
        <v>#DIV/0!</v>
      </c>
      <c r="I573" s="100">
        <v>5</v>
      </c>
      <c r="J573" s="119">
        <f t="shared" si="110"/>
        <v>0</v>
      </c>
      <c r="K573" s="120">
        <f t="shared" si="111"/>
        <v>0</v>
      </c>
    </row>
    <row r="574" spans="1:11" x14ac:dyDescent="0.3">
      <c r="A574" s="122" t="s">
        <v>279</v>
      </c>
      <c r="B574" s="117">
        <f>VLOOKUP(MID($A574,1,2),'Free Spins Symbol'!$T$2:$Z$29,3,0)</f>
        <v>100</v>
      </c>
      <c r="C574" s="117">
        <f>VLOOKUP(MID($A574,4,2),'Free Spins Symbol'!$T$2:$Z$29,4,0)</f>
        <v>8</v>
      </c>
      <c r="D574" s="117">
        <f>VLOOKUP(MID($A574,7,2),'Free Spins Symbol'!$T$2:$Z$29,5,0)</f>
        <v>4</v>
      </c>
      <c r="E574" s="117">
        <f>VLOOKUP(MID($A574,10,2),'Free Spins Symbol'!$T$2:$Z$29,6,0)</f>
        <v>16</v>
      </c>
      <c r="F574" s="117">
        <f>VLOOKUP(MID($A574,13,2),'Free Spins Symbol'!$T$2:$Z$29,7,0)</f>
        <v>48</v>
      </c>
      <c r="G574" s="100">
        <f>B574*C574*D574*E574*F574</f>
        <v>2457600</v>
      </c>
      <c r="H574" s="121">
        <f t="shared" ref="H574" si="112">B$1/G574</f>
        <v>0</v>
      </c>
      <c r="I574" s="123">
        <v>2</v>
      </c>
      <c r="J574" s="124">
        <f t="shared" si="110"/>
        <v>1.4285714285714285E-2</v>
      </c>
      <c r="K574" s="120">
        <f t="shared" si="111"/>
        <v>7.1428571428571426E-3</v>
      </c>
    </row>
    <row r="576" spans="1:11" ht="16.8" thickBot="1" x14ac:dyDescent="0.35"/>
    <row r="577" spans="1:11" ht="16.8" thickBot="1" x14ac:dyDescent="0.35">
      <c r="A577" s="125" t="s">
        <v>306</v>
      </c>
    </row>
    <row r="578" spans="1:11" ht="16.8" thickBot="1" x14ac:dyDescent="0.35">
      <c r="A578" s="95" t="s">
        <v>280</v>
      </c>
      <c r="B578" s="142">
        <f>B2</f>
        <v>344064000</v>
      </c>
      <c r="C578" s="142"/>
      <c r="D578" s="142"/>
      <c r="E578" s="142"/>
      <c r="F578" s="142"/>
      <c r="G578" s="7"/>
      <c r="H578" s="106"/>
      <c r="I578" s="107" t="s">
        <v>281</v>
      </c>
      <c r="J578" s="108">
        <f>SUM(J580:J614)</f>
        <v>6.186858258928571</v>
      </c>
      <c r="K578" s="126">
        <f>SUM(K580:K615)</f>
        <v>0.30160714285714285</v>
      </c>
    </row>
    <row r="579" spans="1:11" ht="33" thickBot="1" x14ac:dyDescent="0.35">
      <c r="A579" s="109" t="s">
        <v>233</v>
      </c>
      <c r="B579" s="110" t="s">
        <v>234</v>
      </c>
      <c r="C579" s="110" t="s">
        <v>235</v>
      </c>
      <c r="D579" s="110" t="s">
        <v>236</v>
      </c>
      <c r="E579" s="110" t="s">
        <v>237</v>
      </c>
      <c r="F579" s="110" t="s">
        <v>238</v>
      </c>
      <c r="G579" s="111" t="s">
        <v>239</v>
      </c>
      <c r="H579" s="112" t="s">
        <v>240</v>
      </c>
      <c r="I579" s="113" t="s">
        <v>241</v>
      </c>
      <c r="J579" s="114" t="s">
        <v>242</v>
      </c>
      <c r="K579" s="115" t="s">
        <v>243</v>
      </c>
    </row>
    <row r="580" spans="1:11" x14ac:dyDescent="0.3">
      <c r="A580" s="116" t="s">
        <v>244</v>
      </c>
      <c r="B580" s="117">
        <f>VLOOKUP(MID($A580,1,2),'Free Spins Symbol'!$T$2:$Z$29,3,0)</f>
        <v>18</v>
      </c>
      <c r="C580" s="117">
        <f>VLOOKUP(MID($A580,4,2),'Free Spins Symbol'!$T$2:$Z$29,4,0)</f>
        <v>0</v>
      </c>
      <c r="D580" s="129">
        <f>'Free Spins Symbol'!$X$18</f>
        <v>40</v>
      </c>
      <c r="E580" s="117">
        <f>VLOOKUP(MID($A580,10,2),'Free Spins Symbol'!$T$2:$Z$29,6,0)</f>
        <v>0</v>
      </c>
      <c r="F580" s="129">
        <f>'Free Spins Symbol'!$Z$18</f>
        <v>48</v>
      </c>
      <c r="G580" s="100">
        <f>B580*C580*D580*E580*F580</f>
        <v>0</v>
      </c>
      <c r="H580" s="118" t="e">
        <f>B$2/G580</f>
        <v>#DIV/0!</v>
      </c>
      <c r="I580" s="100">
        <v>500</v>
      </c>
      <c r="J580" s="119">
        <f t="shared" ref="J580:J584" si="113">K580*I580</f>
        <v>0</v>
      </c>
      <c r="K580" s="120">
        <f>G580/B$2</f>
        <v>0</v>
      </c>
    </row>
    <row r="581" spans="1:11" x14ac:dyDescent="0.3">
      <c r="A581" s="116" t="s">
        <v>245</v>
      </c>
      <c r="B581" s="117">
        <f>VLOOKUP(MID($A581,1,2),'Free Spins Symbol'!$T$2:$Z$29,3,0)</f>
        <v>20</v>
      </c>
      <c r="C581" s="117">
        <f>VLOOKUP(MID($A581,4,2),'Free Spins Symbol'!$T$2:$Z$29,4,0)</f>
        <v>2</v>
      </c>
      <c r="D581" s="129">
        <f>'Free Spins Symbol'!$X$18</f>
        <v>40</v>
      </c>
      <c r="E581" s="117">
        <f>VLOOKUP(MID($A581,10,2),'Free Spins Symbol'!$T$2:$Z$29,6,0)</f>
        <v>1</v>
      </c>
      <c r="F581" s="129">
        <f>'Free Spins Symbol'!$Z$18</f>
        <v>48</v>
      </c>
      <c r="G581" s="100">
        <f>B581*C581*D581*E581*F581-G580</f>
        <v>76800</v>
      </c>
      <c r="H581" s="118">
        <f t="shared" ref="H581:H615" si="114">B$2/G581</f>
        <v>4480</v>
      </c>
      <c r="I581" s="100">
        <v>250</v>
      </c>
      <c r="J581" s="119">
        <f t="shared" si="113"/>
        <v>5.5803571428571425E-2</v>
      </c>
      <c r="K581" s="120">
        <f t="shared" ref="K581:K584" si="115">G581/B$2</f>
        <v>2.2321428571428571E-4</v>
      </c>
    </row>
    <row r="582" spans="1:11" x14ac:dyDescent="0.3">
      <c r="A582" s="116" t="s">
        <v>246</v>
      </c>
      <c r="B582" s="117">
        <f>VLOOKUP(MID($A582,1,2),'Free Spins Symbol'!$T$2:$Z$29,3,0)</f>
        <v>22</v>
      </c>
      <c r="C582" s="117">
        <f>VLOOKUP(MID($A582,4,2),'Free Spins Symbol'!$T$2:$Z$29,4,0)</f>
        <v>2</v>
      </c>
      <c r="D582" s="129">
        <f>'Free Spins Symbol'!$X$18</f>
        <v>40</v>
      </c>
      <c r="E582" s="117">
        <f>VLOOKUP(MID($A582,10,2),'Free Spins Symbol'!$T$2:$Z$29,6,0)</f>
        <v>1</v>
      </c>
      <c r="F582" s="129">
        <f>'Free Spins Symbol'!$Z$18</f>
        <v>48</v>
      </c>
      <c r="G582" s="100">
        <f>B582*C582*D582*E582*F582-G580</f>
        <v>84480</v>
      </c>
      <c r="H582" s="118">
        <f t="shared" si="114"/>
        <v>4072.7272727272725</v>
      </c>
      <c r="I582" s="100">
        <v>250</v>
      </c>
      <c r="J582" s="119">
        <f t="shared" si="113"/>
        <v>6.1383928571428575E-2</v>
      </c>
      <c r="K582" s="120">
        <f t="shared" si="115"/>
        <v>2.455357142857143E-4</v>
      </c>
    </row>
    <row r="583" spans="1:11" x14ac:dyDescent="0.3">
      <c r="A583" s="116" t="s">
        <v>247</v>
      </c>
      <c r="B583" s="117">
        <f>VLOOKUP(MID($A583,1,2),'Free Spins Symbol'!$T$2:$Z$29,3,0)</f>
        <v>24</v>
      </c>
      <c r="C583" s="117">
        <f>VLOOKUP(MID($A583,4,2),'Free Spins Symbol'!$T$2:$Z$29,4,0)</f>
        <v>4</v>
      </c>
      <c r="D583" s="129">
        <f>'Free Spins Symbol'!$X$18</f>
        <v>40</v>
      </c>
      <c r="E583" s="117">
        <f>VLOOKUP(MID($A583,10,2),'Free Spins Symbol'!$T$2:$Z$29,6,0)</f>
        <v>1</v>
      </c>
      <c r="F583" s="129">
        <f>'Free Spins Symbol'!$Z$18</f>
        <v>48</v>
      </c>
      <c r="G583" s="100">
        <f>B583*C583*D583*E583*F583-G580</f>
        <v>184320</v>
      </c>
      <c r="H583" s="118">
        <f t="shared" si="114"/>
        <v>1866.6666666666667</v>
      </c>
      <c r="I583" s="100">
        <v>150</v>
      </c>
      <c r="J583" s="119">
        <f t="shared" si="113"/>
        <v>8.0357142857142863E-2</v>
      </c>
      <c r="K583" s="120">
        <f t="shared" si="115"/>
        <v>5.3571428571428574E-4</v>
      </c>
    </row>
    <row r="584" spans="1:11" x14ac:dyDescent="0.3">
      <c r="A584" s="116" t="s">
        <v>248</v>
      </c>
      <c r="B584" s="117">
        <f>VLOOKUP(MID($A584,1,2),'Free Spins Symbol'!$T$2:$Z$29,3,0)</f>
        <v>24</v>
      </c>
      <c r="C584" s="117">
        <f>VLOOKUP(MID($A584,4,2),'Free Spins Symbol'!$T$2:$Z$29,4,0)</f>
        <v>4</v>
      </c>
      <c r="D584" s="129">
        <f>'Free Spins Symbol'!$X$18</f>
        <v>40</v>
      </c>
      <c r="E584" s="117">
        <f>VLOOKUP(MID($A584,10,2),'Free Spins Symbol'!$T$2:$Z$29,6,0)</f>
        <v>1</v>
      </c>
      <c r="F584" s="129">
        <f>'Free Spins Symbol'!$Z$18</f>
        <v>48</v>
      </c>
      <c r="G584" s="100">
        <f>B584*C584*D584*E584*F584-G580</f>
        <v>184320</v>
      </c>
      <c r="H584" s="118">
        <f t="shared" si="114"/>
        <v>1866.6666666666667</v>
      </c>
      <c r="I584" s="100">
        <v>150</v>
      </c>
      <c r="J584" s="119">
        <f t="shared" si="113"/>
        <v>8.0357142857142863E-2</v>
      </c>
      <c r="K584" s="120">
        <f t="shared" si="115"/>
        <v>5.3571428571428574E-4</v>
      </c>
    </row>
    <row r="585" spans="1:11" x14ac:dyDescent="0.3">
      <c r="A585" s="116" t="s">
        <v>254</v>
      </c>
      <c r="B585" s="117">
        <f>VLOOKUP(MID($A585,1,2),'Free Spins Symbol'!$T$2:$Z$29,3,0)</f>
        <v>18</v>
      </c>
      <c r="C585" s="117">
        <f>VLOOKUP(MID($A585,4,2),'Free Spins Symbol'!$T$2:$Z$29,4,0)</f>
        <v>0</v>
      </c>
      <c r="D585" s="129">
        <f>'Free Spins Symbol'!$X$18</f>
        <v>40</v>
      </c>
      <c r="E585" s="117">
        <f>VLOOKUP(MID($A585,10,2),'Free Spins Symbol'!$T$2:$Z$29,6,0)</f>
        <v>0</v>
      </c>
      <c r="F585" s="129">
        <f>'Free Spins Symbol'!$Z$18</f>
        <v>48</v>
      </c>
      <c r="G585" s="100">
        <f>B585*C585*D585*E585*(F585-F584-F583-F582-F581+3*F580)</f>
        <v>0</v>
      </c>
      <c r="H585" s="118" t="e">
        <f t="shared" si="114"/>
        <v>#DIV/0!</v>
      </c>
      <c r="I585" s="100">
        <v>100</v>
      </c>
      <c r="J585" s="119">
        <f>K585*I585</f>
        <v>0</v>
      </c>
      <c r="K585" s="120">
        <f>G585/B$2</f>
        <v>0</v>
      </c>
    </row>
    <row r="586" spans="1:11" x14ac:dyDescent="0.3">
      <c r="A586" s="116" t="s">
        <v>249</v>
      </c>
      <c r="B586" s="117">
        <f>VLOOKUP(MID($A586,1,2),'Free Spins Symbol'!$T$2:$Z$29,3,0)</f>
        <v>38</v>
      </c>
      <c r="C586" s="117">
        <f>VLOOKUP(MID($A586,4,2),'Free Spins Symbol'!$T$2:$Z$29,4,0)</f>
        <v>13</v>
      </c>
      <c r="D586" s="129">
        <f>'Free Spins Symbol'!$X$18</f>
        <v>40</v>
      </c>
      <c r="E586" s="117">
        <f>VLOOKUP(MID($A586,10,2),'Free Spins Symbol'!$T$2:$Z$29,6,0)</f>
        <v>7</v>
      </c>
      <c r="F586" s="129">
        <f>'Free Spins Symbol'!$Z$18</f>
        <v>48</v>
      </c>
      <c r="G586" s="100">
        <f>B586*C586*D586*E586*F586-G580</f>
        <v>6639360</v>
      </c>
      <c r="H586" s="118">
        <f t="shared" si="114"/>
        <v>51.821862348178136</v>
      </c>
      <c r="I586" s="100">
        <v>100</v>
      </c>
      <c r="J586" s="119">
        <f t="shared" ref="J586:J594" si="116">K586*I586</f>
        <v>1.9296875000000002</v>
      </c>
      <c r="K586" s="120">
        <f t="shared" ref="K586:K594" si="117">G586/B$2</f>
        <v>1.9296875000000002E-2</v>
      </c>
    </row>
    <row r="587" spans="1:11" x14ac:dyDescent="0.3">
      <c r="A587" s="116" t="s">
        <v>250</v>
      </c>
      <c r="B587" s="117">
        <f>VLOOKUP(MID($A587,1,2),'Free Spins Symbol'!$T$2:$Z$29,3,0)</f>
        <v>35</v>
      </c>
      <c r="C587" s="117">
        <f>VLOOKUP(MID($A587,4,2),'Free Spins Symbol'!$T$2:$Z$29,4,0)</f>
        <v>1</v>
      </c>
      <c r="D587" s="129">
        <f>'Free Spins Symbol'!$X$18</f>
        <v>40</v>
      </c>
      <c r="E587" s="117">
        <f>VLOOKUP(MID($A587,10,2),'Free Spins Symbol'!$T$2:$Z$29,6,0)</f>
        <v>1</v>
      </c>
      <c r="F587" s="129">
        <f>'Free Spins Symbol'!$Z$18</f>
        <v>48</v>
      </c>
      <c r="G587" s="100">
        <f>B587*C587*D587*E587*F587-G580</f>
        <v>67200</v>
      </c>
      <c r="H587" s="118">
        <f t="shared" si="114"/>
        <v>5120</v>
      </c>
      <c r="I587" s="100">
        <v>100</v>
      </c>
      <c r="J587" s="119">
        <f t="shared" si="116"/>
        <v>1.953125E-2</v>
      </c>
      <c r="K587" s="120">
        <f t="shared" si="117"/>
        <v>1.9531250000000001E-4</v>
      </c>
    </row>
    <row r="588" spans="1:11" x14ac:dyDescent="0.3">
      <c r="A588" s="116" t="s">
        <v>251</v>
      </c>
      <c r="B588" s="117">
        <f>VLOOKUP(MID($A588,1,2),'Free Spins Symbol'!$T$2:$Z$29,3,0)</f>
        <v>28</v>
      </c>
      <c r="C588" s="117">
        <f>VLOOKUP(MID($A588,4,2),'Free Spins Symbol'!$T$2:$Z$29,4,0)</f>
        <v>13</v>
      </c>
      <c r="D588" s="129">
        <f>'Free Spins Symbol'!$X$18</f>
        <v>40</v>
      </c>
      <c r="E588" s="117">
        <f>VLOOKUP(MID($A588,10,2),'Free Spins Symbol'!$T$2:$Z$29,6,0)</f>
        <v>1</v>
      </c>
      <c r="F588" s="129">
        <f>'Free Spins Symbol'!$Z$18</f>
        <v>48</v>
      </c>
      <c r="G588" s="100">
        <f>B588*C588*D588*E588*F588-G580</f>
        <v>698880</v>
      </c>
      <c r="H588" s="118">
        <f t="shared" si="114"/>
        <v>492.30769230769232</v>
      </c>
      <c r="I588" s="100">
        <v>100</v>
      </c>
      <c r="J588" s="119">
        <f t="shared" si="116"/>
        <v>0.203125</v>
      </c>
      <c r="K588" s="120">
        <f t="shared" si="117"/>
        <v>2.0312500000000001E-3</v>
      </c>
    </row>
    <row r="589" spans="1:11" x14ac:dyDescent="0.3">
      <c r="A589" s="116" t="s">
        <v>252</v>
      </c>
      <c r="B589" s="117">
        <f>VLOOKUP(MID($A589,1,2),'Free Spins Symbol'!$T$2:$Z$29,3,0)</f>
        <v>34</v>
      </c>
      <c r="C589" s="117">
        <f>VLOOKUP(MID($A589,4,2),'Free Spins Symbol'!$T$2:$Z$29,4,0)</f>
        <v>13</v>
      </c>
      <c r="D589" s="129">
        <f>'Free Spins Symbol'!$X$18</f>
        <v>40</v>
      </c>
      <c r="E589" s="117">
        <f>VLOOKUP(MID($A589,10,2),'Free Spins Symbol'!$T$2:$Z$29,6,0)</f>
        <v>8</v>
      </c>
      <c r="F589" s="129">
        <f>'Free Spins Symbol'!$Z$18</f>
        <v>48</v>
      </c>
      <c r="G589" s="100">
        <f>(B589*C589*D589*E589)*F589-G580</f>
        <v>6789120</v>
      </c>
      <c r="H589" s="118">
        <f t="shared" si="114"/>
        <v>50.678733031674206</v>
      </c>
      <c r="I589" s="100">
        <v>100</v>
      </c>
      <c r="J589" s="119">
        <f t="shared" si="116"/>
        <v>1.9732142857142858</v>
      </c>
      <c r="K589" s="120">
        <f t="shared" si="117"/>
        <v>1.9732142857142858E-2</v>
      </c>
    </row>
    <row r="590" spans="1:11" x14ac:dyDescent="0.3">
      <c r="A590" s="116" t="s">
        <v>253</v>
      </c>
      <c r="B590" s="117">
        <f>VLOOKUP(MID($A590,1,2),'Free Spins Symbol'!$T$2:$Z$29,3,0)</f>
        <v>19</v>
      </c>
      <c r="C590" s="117">
        <f>VLOOKUP(MID($A590,4,2),'Free Spins Symbol'!$T$2:$Z$29,4,0)</f>
        <v>2</v>
      </c>
      <c r="D590" s="129">
        <f>'Free Spins Symbol'!$X$18</f>
        <v>40</v>
      </c>
      <c r="E590" s="117">
        <f>VLOOKUP(MID($A590,10,2),'Free Spins Symbol'!$T$2:$Z$29,6,0)</f>
        <v>7</v>
      </c>
      <c r="F590" s="129">
        <f>'Free Spins Symbol'!$Z$18</f>
        <v>48</v>
      </c>
      <c r="G590" s="100">
        <f>B590*C590*D590*E590*F590-G580</f>
        <v>510720</v>
      </c>
      <c r="H590" s="118">
        <f t="shared" si="114"/>
        <v>673.68421052631584</v>
      </c>
      <c r="I590" s="100">
        <v>100</v>
      </c>
      <c r="J590" s="119">
        <f t="shared" si="116"/>
        <v>0.1484375</v>
      </c>
      <c r="K590" s="120">
        <f t="shared" si="117"/>
        <v>1.484375E-3</v>
      </c>
    </row>
    <row r="591" spans="1:11" x14ac:dyDescent="0.3">
      <c r="A591" s="116" t="s">
        <v>255</v>
      </c>
      <c r="B591" s="117">
        <f>VLOOKUP(MID($A591,1,2),'Free Spins Symbol'!$T$2:$Z$29,3,0)</f>
        <v>20</v>
      </c>
      <c r="C591" s="117">
        <f>VLOOKUP(MID($A591,4,2),'Free Spins Symbol'!$T$2:$Z$29,4,0)</f>
        <v>2</v>
      </c>
      <c r="D591" s="129">
        <f>'Free Spins Symbol'!$X$18</f>
        <v>40</v>
      </c>
      <c r="E591" s="117">
        <f>VLOOKUP(MID($A591,10,2),'Free Spins Symbol'!$T$2:$Z$29,6,0)</f>
        <v>1</v>
      </c>
      <c r="F591" s="129">
        <f>'Free Spins Symbol'!$Z$18</f>
        <v>48</v>
      </c>
      <c r="G591" s="100">
        <f>(B591*C591*D591*E591-B585*C585*D585*E585)*(F591-F581)</f>
        <v>0</v>
      </c>
      <c r="H591" s="118" t="e">
        <f t="shared" si="114"/>
        <v>#DIV/0!</v>
      </c>
      <c r="I591" s="100">
        <v>50</v>
      </c>
      <c r="J591" s="119">
        <f t="shared" si="116"/>
        <v>0</v>
      </c>
      <c r="K591" s="120">
        <f t="shared" si="117"/>
        <v>0</v>
      </c>
    </row>
    <row r="592" spans="1:11" x14ac:dyDescent="0.3">
      <c r="A592" s="116" t="s">
        <v>256</v>
      </c>
      <c r="B592" s="117">
        <f>VLOOKUP(MID($A592,1,2),'Free Spins Symbol'!$T$2:$Z$29,3,0)</f>
        <v>22</v>
      </c>
      <c r="C592" s="117">
        <f>VLOOKUP(MID($A592,4,2),'Free Spins Symbol'!$T$2:$Z$29,4,0)</f>
        <v>2</v>
      </c>
      <c r="D592" s="129">
        <f>'Free Spins Symbol'!$X$18</f>
        <v>40</v>
      </c>
      <c r="E592" s="117">
        <f>VLOOKUP(MID($A592,10,2),'Free Spins Symbol'!$T$2:$Z$29,6,0)</f>
        <v>1</v>
      </c>
      <c r="F592" s="129">
        <f>'Free Spins Symbol'!$Z$18</f>
        <v>48</v>
      </c>
      <c r="G592" s="100">
        <f>(B592*C592*D592*E592-B585*C585*D585*E585)*(F592-F582)</f>
        <v>0</v>
      </c>
      <c r="H592" s="118" t="e">
        <f t="shared" si="114"/>
        <v>#DIV/0!</v>
      </c>
      <c r="I592" s="100">
        <v>50</v>
      </c>
      <c r="J592" s="119">
        <f t="shared" si="116"/>
        <v>0</v>
      </c>
      <c r="K592" s="120">
        <f t="shared" si="117"/>
        <v>0</v>
      </c>
    </row>
    <row r="593" spans="1:11" x14ac:dyDescent="0.3">
      <c r="A593" s="116" t="s">
        <v>257</v>
      </c>
      <c r="B593" s="117">
        <f>VLOOKUP(MID($A593,1,2),'Free Spins Symbol'!$T$2:$Z$29,3,0)</f>
        <v>24</v>
      </c>
      <c r="C593" s="117">
        <f>VLOOKUP(MID($A593,4,2),'Free Spins Symbol'!$T$2:$Z$29,4,0)</f>
        <v>4</v>
      </c>
      <c r="D593" s="129">
        <f>'Free Spins Symbol'!$X$18</f>
        <v>40</v>
      </c>
      <c r="E593" s="117">
        <f>VLOOKUP(MID($A593,10,2),'Free Spins Symbol'!$T$2:$Z$29,6,0)</f>
        <v>1</v>
      </c>
      <c r="F593" s="129">
        <f>'Free Spins Symbol'!$Z$18</f>
        <v>48</v>
      </c>
      <c r="G593" s="100">
        <f>(B593*C593*D593*E593-B585*C585*D585*E585)*(F593-F583)</f>
        <v>0</v>
      </c>
      <c r="H593" s="118" t="e">
        <f t="shared" si="114"/>
        <v>#DIV/0!</v>
      </c>
      <c r="I593" s="100">
        <v>30</v>
      </c>
      <c r="J593" s="119">
        <f t="shared" si="116"/>
        <v>0</v>
      </c>
      <c r="K593" s="120">
        <f t="shared" si="117"/>
        <v>0</v>
      </c>
    </row>
    <row r="594" spans="1:11" x14ac:dyDescent="0.3">
      <c r="A594" s="116" t="s">
        <v>258</v>
      </c>
      <c r="B594" s="117">
        <f>VLOOKUP(MID($A594,1,2),'Free Spins Symbol'!$T$2:$Z$29,3,0)</f>
        <v>24</v>
      </c>
      <c r="C594" s="117">
        <f>VLOOKUP(MID($A594,4,2),'Free Spins Symbol'!$T$2:$Z$29,4,0)</f>
        <v>4</v>
      </c>
      <c r="D594" s="129">
        <f>'Free Spins Symbol'!$X$18</f>
        <v>40</v>
      </c>
      <c r="E594" s="117">
        <f>VLOOKUP(MID($A594,10,2),'Free Spins Symbol'!$T$2:$Z$29,6,0)</f>
        <v>1</v>
      </c>
      <c r="F594" s="129">
        <f>'Free Spins Symbol'!$Z$18</f>
        <v>48</v>
      </c>
      <c r="G594" s="100">
        <f>(B594*C594*D594*E594-B585*C585*D585*E585)*(F594-F584)</f>
        <v>0</v>
      </c>
      <c r="H594" s="118" t="e">
        <f t="shared" si="114"/>
        <v>#DIV/0!</v>
      </c>
      <c r="I594" s="100">
        <v>30</v>
      </c>
      <c r="J594" s="119">
        <f t="shared" si="116"/>
        <v>0</v>
      </c>
      <c r="K594" s="120">
        <f t="shared" si="117"/>
        <v>0</v>
      </c>
    </row>
    <row r="595" spans="1:11" x14ac:dyDescent="0.3">
      <c r="A595" s="116" t="s">
        <v>264</v>
      </c>
      <c r="B595" s="117">
        <f>VLOOKUP(MID($A595,1,2),'Free Spins Symbol'!$T$2:$Z$29,3,0)</f>
        <v>18</v>
      </c>
      <c r="C595" s="117">
        <f>VLOOKUP(MID($A595,4,2),'Free Spins Symbol'!$T$2:$Z$29,4,0)</f>
        <v>0</v>
      </c>
      <c r="D595" s="129">
        <f>'Free Spins Symbol'!$X$18</f>
        <v>40</v>
      </c>
      <c r="E595" s="117">
        <f>VLOOKUP(MID($A595,10,2),'Free Spins Symbol'!$T$2:$Z$29,6,0)</f>
        <v>32</v>
      </c>
      <c r="F595" s="129">
        <f>'Free Spins Symbol'!$Z$18</f>
        <v>48</v>
      </c>
      <c r="G595" s="100">
        <f>(B595*C595*D595)*(E595*F595-(E594+E593+E592+E591-3*E585)*F585-(E590-E585)*F590-(E589-E585)*F589-(E588-E585)*F588-(E587-E585)*F587-(E586-E585)*F586)</f>
        <v>0</v>
      </c>
      <c r="H595" s="118" t="e">
        <f t="shared" si="114"/>
        <v>#DIV/0!</v>
      </c>
      <c r="I595" s="100">
        <v>20</v>
      </c>
      <c r="J595" s="119">
        <f>K595*I595</f>
        <v>0</v>
      </c>
      <c r="K595" s="120">
        <f>G595/B$2</f>
        <v>0</v>
      </c>
    </row>
    <row r="596" spans="1:11" x14ac:dyDescent="0.3">
      <c r="A596" s="116" t="s">
        <v>259</v>
      </c>
      <c r="B596" s="117">
        <f>VLOOKUP(MID($A596,1,2),'Free Spins Symbol'!$T$2:$Z$29,3,0)</f>
        <v>38</v>
      </c>
      <c r="C596" s="117">
        <f>VLOOKUP(MID($A596,4,2),'Free Spins Symbol'!$T$2:$Z$29,4,0)</f>
        <v>13</v>
      </c>
      <c r="D596" s="129">
        <f>'Free Spins Symbol'!$X$18</f>
        <v>40</v>
      </c>
      <c r="E596" s="117">
        <f>VLOOKUP(MID($A596,10,2),'Free Spins Symbol'!$T$2:$Z$29,6,0)</f>
        <v>7</v>
      </c>
      <c r="F596" s="129">
        <f>'Free Spins Symbol'!$Z$18</f>
        <v>48</v>
      </c>
      <c r="G596" s="100">
        <f>(B596*C596*D596*E596-B585*C585*D585*E585)*(F596-F586)</f>
        <v>0</v>
      </c>
      <c r="H596" s="118" t="e">
        <f t="shared" si="114"/>
        <v>#DIV/0!</v>
      </c>
      <c r="I596" s="100">
        <v>20</v>
      </c>
      <c r="J596" s="119">
        <f t="shared" ref="J596:J615" si="118">K596*I596</f>
        <v>0</v>
      </c>
      <c r="K596" s="120">
        <f t="shared" ref="K596:K615" si="119">G596/B$2</f>
        <v>0</v>
      </c>
    </row>
    <row r="597" spans="1:11" x14ac:dyDescent="0.3">
      <c r="A597" s="116" t="s">
        <v>260</v>
      </c>
      <c r="B597" s="117">
        <f>VLOOKUP(MID($A597,1,2),'Free Spins Symbol'!$T$2:$Z$29,3,0)</f>
        <v>35</v>
      </c>
      <c r="C597" s="117">
        <f>VLOOKUP(MID($A597,4,2),'Free Spins Symbol'!$T$2:$Z$29,4,0)</f>
        <v>1</v>
      </c>
      <c r="D597" s="129">
        <f>'Free Spins Symbol'!$X$18</f>
        <v>40</v>
      </c>
      <c r="E597" s="117">
        <f>VLOOKUP(MID($A597,10,2),'Free Spins Symbol'!$T$2:$Z$29,6,0)</f>
        <v>1</v>
      </c>
      <c r="F597" s="129">
        <f>'Free Spins Symbol'!$Z$18</f>
        <v>48</v>
      </c>
      <c r="G597" s="100">
        <f>(B597*C597*D597*E597-B585*C585*D585*E585)*(F597-F587)</f>
        <v>0</v>
      </c>
      <c r="H597" s="118" t="e">
        <f t="shared" si="114"/>
        <v>#DIV/0!</v>
      </c>
      <c r="I597" s="100">
        <v>20</v>
      </c>
      <c r="J597" s="119">
        <f t="shared" si="118"/>
        <v>0</v>
      </c>
      <c r="K597" s="120">
        <f t="shared" si="119"/>
        <v>0</v>
      </c>
    </row>
    <row r="598" spans="1:11" x14ac:dyDescent="0.3">
      <c r="A598" s="116" t="s">
        <v>261</v>
      </c>
      <c r="B598" s="117">
        <f>VLOOKUP(MID($A598,1,2),'Free Spins Symbol'!$T$2:$Z$29,3,0)</f>
        <v>28</v>
      </c>
      <c r="C598" s="117">
        <f>VLOOKUP(MID($A598,4,2),'Free Spins Symbol'!$T$2:$Z$29,4,0)</f>
        <v>13</v>
      </c>
      <c r="D598" s="129">
        <f>'Free Spins Symbol'!$X$18</f>
        <v>40</v>
      </c>
      <c r="E598" s="117">
        <f>VLOOKUP(MID($A598,10,2),'Free Spins Symbol'!$T$2:$Z$29,6,0)</f>
        <v>1</v>
      </c>
      <c r="F598" s="129">
        <f>'Free Spins Symbol'!$Z$18</f>
        <v>48</v>
      </c>
      <c r="G598" s="100">
        <f>(B598*C598*D598*E598-B585*C585*D585*E585)*(F598-F588)</f>
        <v>0</v>
      </c>
      <c r="H598" s="118" t="e">
        <f t="shared" si="114"/>
        <v>#DIV/0!</v>
      </c>
      <c r="I598" s="100">
        <v>20</v>
      </c>
      <c r="J598" s="119">
        <f t="shared" si="118"/>
        <v>0</v>
      </c>
      <c r="K598" s="120">
        <f t="shared" si="119"/>
        <v>0</v>
      </c>
    </row>
    <row r="599" spans="1:11" x14ac:dyDescent="0.3">
      <c r="A599" s="116" t="s">
        <v>262</v>
      </c>
      <c r="B599" s="117">
        <f>VLOOKUP(MID($A599,1,2),'Free Spins Symbol'!$T$2:$Z$29,3,0)</f>
        <v>34</v>
      </c>
      <c r="C599" s="117">
        <f>VLOOKUP(MID($A599,4,2),'Free Spins Symbol'!$T$2:$Z$29,4,0)</f>
        <v>13</v>
      </c>
      <c r="D599" s="129">
        <f>'Free Spins Symbol'!$X$18</f>
        <v>40</v>
      </c>
      <c r="E599" s="117">
        <f>VLOOKUP(MID($A599,10,2),'Free Spins Symbol'!$T$2:$Z$29,6,0)</f>
        <v>8</v>
      </c>
      <c r="F599" s="129">
        <f>'Free Spins Symbol'!$Z$18</f>
        <v>48</v>
      </c>
      <c r="G599" s="100">
        <f>(B599*C599*D599*E599-B585*C585*D585*E585)*(F599-F589)</f>
        <v>0</v>
      </c>
      <c r="H599" s="118" t="e">
        <f t="shared" si="114"/>
        <v>#DIV/0!</v>
      </c>
      <c r="I599" s="100">
        <v>20</v>
      </c>
      <c r="J599" s="119">
        <f t="shared" si="118"/>
        <v>0</v>
      </c>
      <c r="K599" s="120">
        <f t="shared" si="119"/>
        <v>0</v>
      </c>
    </row>
    <row r="600" spans="1:11" x14ac:dyDescent="0.3">
      <c r="A600" s="116" t="s">
        <v>263</v>
      </c>
      <c r="B600" s="117">
        <f>VLOOKUP(MID($A600,1,2),'Free Spins Symbol'!$T$2:$Z$29,3,0)</f>
        <v>19</v>
      </c>
      <c r="C600" s="117">
        <f>VLOOKUP(MID($A600,4,2),'Free Spins Symbol'!$T$2:$Z$29,4,0)</f>
        <v>2</v>
      </c>
      <c r="D600" s="129">
        <f>'Free Spins Symbol'!$X$18</f>
        <v>40</v>
      </c>
      <c r="E600" s="117">
        <f>VLOOKUP(MID($A600,10,2),'Free Spins Symbol'!$T$2:$Z$29,6,0)</f>
        <v>7</v>
      </c>
      <c r="F600" s="129">
        <f>'Free Spins Symbol'!$Z$18</f>
        <v>48</v>
      </c>
      <c r="G600" s="100">
        <f>(B600*C600*D600*E600-B585*C585*D585*E585)*(F600-F590)</f>
        <v>0</v>
      </c>
      <c r="H600" s="118" t="e">
        <f t="shared" si="114"/>
        <v>#DIV/0!</v>
      </c>
      <c r="I600" s="100">
        <v>20</v>
      </c>
      <c r="J600" s="119">
        <f t="shared" si="118"/>
        <v>0</v>
      </c>
      <c r="K600" s="120">
        <f t="shared" si="119"/>
        <v>0</v>
      </c>
    </row>
    <row r="601" spans="1:11" x14ac:dyDescent="0.3">
      <c r="A601" s="116" t="s">
        <v>265</v>
      </c>
      <c r="B601" s="117">
        <f>VLOOKUP(MID($A601,1,2),'Free Spins Symbol'!$T$2:$Z$29,3,0)</f>
        <v>20</v>
      </c>
      <c r="C601" s="117">
        <f>VLOOKUP(MID($A601,4,2),'Free Spins Symbol'!$T$2:$Z$29,4,0)</f>
        <v>2</v>
      </c>
      <c r="D601" s="129">
        <f>'Free Spins Symbol'!$X$18</f>
        <v>40</v>
      </c>
      <c r="E601" s="117">
        <f>VLOOKUP(MID($A601,10,2),'Free Spins Symbol'!$T$2:$Z$29,6,0)</f>
        <v>32</v>
      </c>
      <c r="F601" s="129">
        <f>'Free Spins Symbol'!$Z$18</f>
        <v>48</v>
      </c>
      <c r="G601" s="100">
        <f>(B601*C601*D601)*(E601-E591)*F601</f>
        <v>2380800</v>
      </c>
      <c r="H601" s="118">
        <f t="shared" si="114"/>
        <v>144.51612903225808</v>
      </c>
      <c r="I601" s="100">
        <v>20</v>
      </c>
      <c r="J601" s="119">
        <f t="shared" si="118"/>
        <v>0.13839285714285715</v>
      </c>
      <c r="K601" s="120">
        <f t="shared" si="119"/>
        <v>6.9196428571428568E-3</v>
      </c>
    </row>
    <row r="602" spans="1:11" x14ac:dyDescent="0.3">
      <c r="A602" s="116" t="s">
        <v>266</v>
      </c>
      <c r="B602" s="117">
        <f>VLOOKUP(MID($A602,1,2),'Free Spins Symbol'!$T$2:$Z$29,3,0)</f>
        <v>22</v>
      </c>
      <c r="C602" s="117">
        <f>VLOOKUP(MID($A602,4,2),'Free Spins Symbol'!$T$2:$Z$29,4,0)</f>
        <v>2</v>
      </c>
      <c r="D602" s="129">
        <f>'Free Spins Symbol'!$X$18</f>
        <v>40</v>
      </c>
      <c r="E602" s="117">
        <f>VLOOKUP(MID($A602,10,2),'Free Spins Symbol'!$T$2:$Z$29,6,0)</f>
        <v>32</v>
      </c>
      <c r="F602" s="129">
        <f>'Free Spins Symbol'!$Z$18</f>
        <v>48</v>
      </c>
      <c r="G602" s="100">
        <f>(B602*C602*D602)*(E602-E592)*F602</f>
        <v>2618880</v>
      </c>
      <c r="H602" s="118">
        <f t="shared" si="114"/>
        <v>131.3782991202346</v>
      </c>
      <c r="I602" s="100">
        <v>20</v>
      </c>
      <c r="J602" s="119">
        <f t="shared" si="118"/>
        <v>0.15223214285714287</v>
      </c>
      <c r="K602" s="120">
        <f t="shared" si="119"/>
        <v>7.6116071428571431E-3</v>
      </c>
    </row>
    <row r="603" spans="1:11" x14ac:dyDescent="0.3">
      <c r="A603" s="116" t="s">
        <v>267</v>
      </c>
      <c r="B603" s="117">
        <f>VLOOKUP(MID($A603,1,2),'Free Spins Symbol'!$T$2:$Z$29,3,0)</f>
        <v>24</v>
      </c>
      <c r="C603" s="117">
        <f>VLOOKUP(MID($A603,4,2),'Free Spins Symbol'!$T$2:$Z$29,4,0)</f>
        <v>4</v>
      </c>
      <c r="D603" s="129">
        <f>'Free Spins Symbol'!$X$18</f>
        <v>40</v>
      </c>
      <c r="E603" s="117">
        <f>VLOOKUP(MID($A603,10,2),'Free Spins Symbol'!$T$2:$Z$29,6,0)</f>
        <v>32</v>
      </c>
      <c r="F603" s="129">
        <f>'Free Spins Symbol'!$Z$18</f>
        <v>48</v>
      </c>
      <c r="G603" s="100">
        <f>(B603*C603*D603-B595*C595*D595)*(E603-E593)*F603</f>
        <v>5713920</v>
      </c>
      <c r="H603" s="118">
        <f t="shared" si="114"/>
        <v>60.215053763440864</v>
      </c>
      <c r="I603" s="100">
        <v>10</v>
      </c>
      <c r="J603" s="119">
        <f t="shared" si="118"/>
        <v>0.16607142857142859</v>
      </c>
      <c r="K603" s="120">
        <f t="shared" si="119"/>
        <v>1.6607142857142859E-2</v>
      </c>
    </row>
    <row r="604" spans="1:11" x14ac:dyDescent="0.3">
      <c r="A604" s="116" t="s">
        <v>268</v>
      </c>
      <c r="B604" s="117">
        <f>VLOOKUP(MID($A604,1,2),'Free Spins Symbol'!$T$2:$Z$29,3,0)</f>
        <v>24</v>
      </c>
      <c r="C604" s="117">
        <f>VLOOKUP(MID($A604,4,2),'Free Spins Symbol'!$T$2:$Z$29,4,0)</f>
        <v>4</v>
      </c>
      <c r="D604" s="129">
        <f>'Free Spins Symbol'!$X$18</f>
        <v>40</v>
      </c>
      <c r="E604" s="117">
        <f>VLOOKUP(MID($A604,10,2),'Free Spins Symbol'!$T$2:$Z$29,6,0)</f>
        <v>32</v>
      </c>
      <c r="F604" s="129">
        <f>'Free Spins Symbol'!$Z$18</f>
        <v>48</v>
      </c>
      <c r="G604" s="100">
        <f>(B604*C604*D604-B595*C595*D595)*(E604-E594)*F604</f>
        <v>5713920</v>
      </c>
      <c r="H604" s="118">
        <f t="shared" si="114"/>
        <v>60.215053763440864</v>
      </c>
      <c r="I604" s="100">
        <v>10</v>
      </c>
      <c r="J604" s="119">
        <f t="shared" si="118"/>
        <v>0.16607142857142859</v>
      </c>
      <c r="K604" s="120">
        <f t="shared" si="119"/>
        <v>1.6607142857142859E-2</v>
      </c>
    </row>
    <row r="605" spans="1:11" x14ac:dyDescent="0.3">
      <c r="A605" s="116" t="s">
        <v>269</v>
      </c>
      <c r="B605" s="117">
        <f>VLOOKUP(MID($A605,1,2),'Free Spins Symbol'!$T$2:$Z$29,3,0)</f>
        <v>38</v>
      </c>
      <c r="C605" s="117">
        <f>VLOOKUP(MID($A605,4,2),'Free Spins Symbol'!$T$2:$Z$29,4,0)</f>
        <v>13</v>
      </c>
      <c r="D605" s="129">
        <f>'Free Spins Symbol'!$X$18</f>
        <v>40</v>
      </c>
      <c r="E605" s="117">
        <f>VLOOKUP(MID($A605,10,2),'Free Spins Symbol'!$T$2:$Z$29,6,0)</f>
        <v>32</v>
      </c>
      <c r="F605" s="129">
        <f>'Free Spins Symbol'!$Z$18</f>
        <v>48</v>
      </c>
      <c r="G605" s="100">
        <f>(B605*C605*D605-B595*C595*D595)*(E605-E596)*F605</f>
        <v>23712000</v>
      </c>
      <c r="H605" s="118">
        <f t="shared" si="114"/>
        <v>14.510121457489879</v>
      </c>
      <c r="I605" s="100">
        <v>5</v>
      </c>
      <c r="J605" s="119">
        <f t="shared" si="118"/>
        <v>0.34458705357142855</v>
      </c>
      <c r="K605" s="120">
        <f t="shared" si="119"/>
        <v>6.8917410714285712E-2</v>
      </c>
    </row>
    <row r="606" spans="1:11" x14ac:dyDescent="0.3">
      <c r="A606" s="116" t="s">
        <v>270</v>
      </c>
      <c r="B606" s="117">
        <f>VLOOKUP(MID($A606,1,2),'Free Spins Symbol'!$T$2:$Z$29,3,0)</f>
        <v>35</v>
      </c>
      <c r="C606" s="117">
        <f>VLOOKUP(MID($A606,4,2),'Free Spins Symbol'!$T$2:$Z$29,4,0)</f>
        <v>1</v>
      </c>
      <c r="D606" s="129">
        <f>'Free Spins Symbol'!$X$18</f>
        <v>40</v>
      </c>
      <c r="E606" s="117">
        <f>VLOOKUP(MID($A606,10,2),'Free Spins Symbol'!$T$2:$Z$29,6,0)</f>
        <v>32</v>
      </c>
      <c r="F606" s="129">
        <f>'Free Spins Symbol'!$Z$18</f>
        <v>48</v>
      </c>
      <c r="G606" s="100">
        <f>(B606*C606*D606-B595*C595*D595)*(E606-E597)*F606</f>
        <v>2083200</v>
      </c>
      <c r="H606" s="118">
        <f t="shared" si="114"/>
        <v>165.16129032258064</v>
      </c>
      <c r="I606" s="100">
        <v>5</v>
      </c>
      <c r="J606" s="119">
        <f t="shared" si="118"/>
        <v>3.02734375E-2</v>
      </c>
      <c r="K606" s="120">
        <f t="shared" si="119"/>
        <v>6.0546875000000002E-3</v>
      </c>
    </row>
    <row r="607" spans="1:11" x14ac:dyDescent="0.3">
      <c r="A607" s="116" t="s">
        <v>271</v>
      </c>
      <c r="B607" s="117">
        <f>VLOOKUP(MID($A607,1,2),'Free Spins Symbol'!$T$2:$Z$29,3,0)</f>
        <v>28</v>
      </c>
      <c r="C607" s="117">
        <f>VLOOKUP(MID($A607,4,2),'Free Spins Symbol'!$T$2:$Z$29,4,0)</f>
        <v>13</v>
      </c>
      <c r="D607" s="129">
        <f>'Free Spins Symbol'!$X$18</f>
        <v>40</v>
      </c>
      <c r="E607" s="117">
        <f>VLOOKUP(MID($A607,10,2),'Free Spins Symbol'!$T$2:$Z$29,6,0)</f>
        <v>32</v>
      </c>
      <c r="F607" s="129">
        <f>'Free Spins Symbol'!$Z$18</f>
        <v>48</v>
      </c>
      <c r="G607" s="100">
        <f>(B607*C607*D607-B595*C595*D595)*(E607-E598)*F607</f>
        <v>21665280</v>
      </c>
      <c r="H607" s="118">
        <f t="shared" si="114"/>
        <v>15.88089330024814</v>
      </c>
      <c r="I607" s="100">
        <v>5</v>
      </c>
      <c r="J607" s="119">
        <f t="shared" si="118"/>
        <v>0.31484375000000003</v>
      </c>
      <c r="K607" s="120">
        <f t="shared" si="119"/>
        <v>6.2968750000000004E-2</v>
      </c>
    </row>
    <row r="608" spans="1:11" x14ac:dyDescent="0.3">
      <c r="A608" s="116" t="s">
        <v>272</v>
      </c>
      <c r="B608" s="117">
        <f>VLOOKUP(MID($A608,1,2),'Free Spins Symbol'!$T$2:$Z$29,3,0)</f>
        <v>34</v>
      </c>
      <c r="C608" s="117">
        <f>VLOOKUP(MID($A608,4,2),'Free Spins Symbol'!$T$2:$Z$29,4,0)</f>
        <v>13</v>
      </c>
      <c r="D608" s="129">
        <f>'Free Spins Symbol'!$X$18</f>
        <v>40</v>
      </c>
      <c r="E608" s="117">
        <f>VLOOKUP(MID($A608,10,2),'Free Spins Symbol'!$T$2:$Z$29,6,0)</f>
        <v>32</v>
      </c>
      <c r="F608" s="129">
        <f>'Free Spins Symbol'!$Z$18</f>
        <v>48</v>
      </c>
      <c r="G608" s="100">
        <f>(B608*C608*D608-B595*C595*D595)*(E608-E599)*F608</f>
        <v>20367360</v>
      </c>
      <c r="H608" s="118">
        <f t="shared" si="114"/>
        <v>16.89291101055807</v>
      </c>
      <c r="I608" s="100">
        <v>5</v>
      </c>
      <c r="J608" s="119">
        <f t="shared" si="118"/>
        <v>0.29598214285714286</v>
      </c>
      <c r="K608" s="120">
        <f t="shared" si="119"/>
        <v>5.9196428571428573E-2</v>
      </c>
    </row>
    <row r="609" spans="1:11" x14ac:dyDescent="0.3">
      <c r="A609" s="116" t="s">
        <v>273</v>
      </c>
      <c r="B609" s="117">
        <f>VLOOKUP(MID($A609,1,2),'Free Spins Symbol'!$T$2:$Z$29,3,0)</f>
        <v>19</v>
      </c>
      <c r="C609" s="117">
        <f>VLOOKUP(MID($A609,4,2),'Free Spins Symbol'!$T$2:$Z$29,4,0)</f>
        <v>2</v>
      </c>
      <c r="D609" s="129">
        <f>'Free Spins Symbol'!$X$18</f>
        <v>40</v>
      </c>
      <c r="E609" s="117">
        <f>VLOOKUP(MID($A609,10,2),'Free Spins Symbol'!$T$2:$Z$29,6,0)</f>
        <v>32</v>
      </c>
      <c r="F609" s="129">
        <f>'Free Spins Symbol'!$Z$18</f>
        <v>48</v>
      </c>
      <c r="G609" s="100">
        <f>(B609*C609*D609-B595*C595*D595)*(E609-E600)*F609</f>
        <v>1824000</v>
      </c>
      <c r="H609" s="118">
        <f t="shared" si="114"/>
        <v>188.63157894736841</v>
      </c>
      <c r="I609" s="100">
        <v>5</v>
      </c>
      <c r="J609" s="119">
        <f t="shared" si="118"/>
        <v>2.6506696428571432E-2</v>
      </c>
      <c r="K609" s="120">
        <f t="shared" si="119"/>
        <v>5.301339285714286E-3</v>
      </c>
    </row>
    <row r="610" spans="1:11" x14ac:dyDescent="0.3">
      <c r="A610" s="116" t="s">
        <v>274</v>
      </c>
      <c r="B610" s="117">
        <f>VLOOKUP(MID($A610,1,2),'Free Spins Symbol'!$T$2:$Z$29,3,0)</f>
        <v>18</v>
      </c>
      <c r="C610" s="117">
        <f>VLOOKUP(MID($A610,4,2),'Free Spins Symbol'!$T$2:$Z$29,4,0)</f>
        <v>0</v>
      </c>
      <c r="D610" s="129">
        <f>'Free Spins Symbol'!$X$18</f>
        <v>40</v>
      </c>
      <c r="E610" s="117">
        <f>VLOOKUP(MID($A610,10,2),'Free Spins Symbol'!$T$2:$Z$29,6,0)</f>
        <v>32</v>
      </c>
      <c r="F610" s="129">
        <f>'Free Spins Symbol'!$Z$18</f>
        <v>48</v>
      </c>
      <c r="G610" s="100">
        <f>B610*C610*(D610-D609-D608-D607-D606-D605-D604-D603-D602-D601+8*D595)*E610*F610</f>
        <v>0</v>
      </c>
      <c r="H610" s="118" t="e">
        <f t="shared" si="114"/>
        <v>#DIV/0!</v>
      </c>
      <c r="I610" s="100">
        <v>5</v>
      </c>
      <c r="J610" s="119">
        <f t="shared" si="118"/>
        <v>0</v>
      </c>
      <c r="K610" s="120">
        <f t="shared" si="119"/>
        <v>0</v>
      </c>
    </row>
    <row r="611" spans="1:11" x14ac:dyDescent="0.3">
      <c r="A611" s="116" t="s">
        <v>275</v>
      </c>
      <c r="B611" s="117">
        <f>VLOOKUP(MID($A611,1,2),'Free Spins Symbol'!$T$2:$Z$29,3,0)</f>
        <v>20</v>
      </c>
      <c r="C611" s="117">
        <f>VLOOKUP(MID($A611,4,2),'Free Spins Symbol'!$T$2:$Z$29,4,0)</f>
        <v>2</v>
      </c>
      <c r="D611" s="129">
        <f>'Free Spins Symbol'!$X$18</f>
        <v>40</v>
      </c>
      <c r="E611" s="117">
        <f>VLOOKUP(MID($A611,10,2),'Free Spins Symbol'!$T$2:$Z$29,6,0)</f>
        <v>32</v>
      </c>
      <c r="F611" s="129">
        <f>'Free Spins Symbol'!$Z$18</f>
        <v>48</v>
      </c>
      <c r="G611" s="100">
        <f t="shared" ref="G611:G614" si="120">B611*C611*(D611-D601)*E611*F611</f>
        <v>0</v>
      </c>
      <c r="H611" s="118" t="e">
        <f t="shared" si="114"/>
        <v>#DIV/0!</v>
      </c>
      <c r="I611" s="100">
        <v>5</v>
      </c>
      <c r="J611" s="119">
        <f t="shared" si="118"/>
        <v>0</v>
      </c>
      <c r="K611" s="120">
        <f t="shared" si="119"/>
        <v>0</v>
      </c>
    </row>
    <row r="612" spans="1:11" x14ac:dyDescent="0.3">
      <c r="A612" s="116" t="s">
        <v>276</v>
      </c>
      <c r="B612" s="117">
        <f>VLOOKUP(MID($A612,1,2),'Free Spins Symbol'!$T$2:$Z$29,3,0)</f>
        <v>22</v>
      </c>
      <c r="C612" s="117">
        <f>VLOOKUP(MID($A612,4,2),'Free Spins Symbol'!$T$2:$Z$29,4,0)</f>
        <v>2</v>
      </c>
      <c r="D612" s="129">
        <f>'Free Spins Symbol'!$X$18</f>
        <v>40</v>
      </c>
      <c r="E612" s="117">
        <f>VLOOKUP(MID($A612,10,2),'Free Spins Symbol'!$T$2:$Z$29,6,0)</f>
        <v>32</v>
      </c>
      <c r="F612" s="129">
        <f>'Free Spins Symbol'!$Z$18</f>
        <v>48</v>
      </c>
      <c r="G612" s="100">
        <f t="shared" si="120"/>
        <v>0</v>
      </c>
      <c r="H612" s="118" t="e">
        <f t="shared" si="114"/>
        <v>#DIV/0!</v>
      </c>
      <c r="I612" s="100">
        <v>5</v>
      </c>
      <c r="J612" s="119">
        <f t="shared" si="118"/>
        <v>0</v>
      </c>
      <c r="K612" s="120">
        <f t="shared" si="119"/>
        <v>0</v>
      </c>
    </row>
    <row r="613" spans="1:11" x14ac:dyDescent="0.3">
      <c r="A613" s="116" t="s">
        <v>277</v>
      </c>
      <c r="B613" s="117">
        <f>VLOOKUP(MID($A613,1,2),'Free Spins Symbol'!$T$2:$Z$29,3,0)</f>
        <v>24</v>
      </c>
      <c r="C613" s="117">
        <f>VLOOKUP(MID($A613,4,2),'Free Spins Symbol'!$T$2:$Z$29,4,0)</f>
        <v>4</v>
      </c>
      <c r="D613" s="129">
        <f>'Free Spins Symbol'!$X$18</f>
        <v>40</v>
      </c>
      <c r="E613" s="117">
        <f>VLOOKUP(MID($A613,10,2),'Free Spins Symbol'!$T$2:$Z$29,6,0)</f>
        <v>32</v>
      </c>
      <c r="F613" s="129">
        <f>'Free Spins Symbol'!$Z$18</f>
        <v>48</v>
      </c>
      <c r="G613" s="100">
        <f t="shared" si="120"/>
        <v>0</v>
      </c>
      <c r="H613" s="118" t="e">
        <f t="shared" si="114"/>
        <v>#DIV/0!</v>
      </c>
      <c r="I613" s="100">
        <v>5</v>
      </c>
      <c r="J613" s="119">
        <f t="shared" si="118"/>
        <v>0</v>
      </c>
      <c r="K613" s="120">
        <f t="shared" si="119"/>
        <v>0</v>
      </c>
    </row>
    <row r="614" spans="1:11" x14ac:dyDescent="0.3">
      <c r="A614" s="116" t="s">
        <v>278</v>
      </c>
      <c r="B614" s="117">
        <f>VLOOKUP(MID($A614,1,2),'Free Spins Symbol'!$T$2:$Z$29,3,0)</f>
        <v>24</v>
      </c>
      <c r="C614" s="117">
        <f>VLOOKUP(MID($A614,4,2),'Free Spins Symbol'!$T$2:$Z$29,4,0)</f>
        <v>4</v>
      </c>
      <c r="D614" s="129">
        <f>'Free Spins Symbol'!$X$18</f>
        <v>40</v>
      </c>
      <c r="E614" s="117">
        <f>VLOOKUP(MID($A614,10,2),'Free Spins Symbol'!$T$2:$Z$29,6,0)</f>
        <v>32</v>
      </c>
      <c r="F614" s="129">
        <f>'Free Spins Symbol'!$Z$18</f>
        <v>48</v>
      </c>
      <c r="G614" s="100">
        <f t="shared" si="120"/>
        <v>0</v>
      </c>
      <c r="H614" s="118" t="e">
        <f t="shared" si="114"/>
        <v>#DIV/0!</v>
      </c>
      <c r="I614" s="100">
        <v>5</v>
      </c>
      <c r="J614" s="119">
        <f t="shared" si="118"/>
        <v>0</v>
      </c>
      <c r="K614" s="120">
        <f t="shared" si="119"/>
        <v>0</v>
      </c>
    </row>
    <row r="615" spans="1:11" x14ac:dyDescent="0.3">
      <c r="A615" s="122" t="s">
        <v>279</v>
      </c>
      <c r="B615" s="117">
        <f>VLOOKUP(MID($A615,1,2),'Free Spins Symbol'!$T$2:$Z$29,3,0)</f>
        <v>100</v>
      </c>
      <c r="C615" s="117">
        <f>VLOOKUP(MID($A615,4,2),'Free Spins Symbol'!$T$2:$Z$29,4,0)</f>
        <v>8</v>
      </c>
      <c r="D615" s="117">
        <f>VLOOKUP(MID($A615,7,2),'Free Spins Symbol'!$T$2:$Z$29,5,0)</f>
        <v>4</v>
      </c>
      <c r="E615" s="117">
        <f>VLOOKUP(MID($A615,10,2),'Free Spins Symbol'!$T$2:$Z$29,6,0)</f>
        <v>16</v>
      </c>
      <c r="F615" s="117">
        <f>VLOOKUP(MID($A615,13,2),'Free Spins Symbol'!$T$2:$Z$29,7,0)</f>
        <v>48</v>
      </c>
      <c r="G615" s="100">
        <f>B615*C615*D615*E615*F615</f>
        <v>2457600</v>
      </c>
      <c r="H615" s="118">
        <f t="shared" si="114"/>
        <v>140</v>
      </c>
      <c r="I615" s="123">
        <v>2</v>
      </c>
      <c r="J615" s="124">
        <f t="shared" si="118"/>
        <v>1.4285714285714285E-2</v>
      </c>
      <c r="K615" s="120">
        <f t="shared" si="119"/>
        <v>7.1428571428571426E-3</v>
      </c>
    </row>
    <row r="617" spans="1:11" ht="16.8" thickBot="1" x14ac:dyDescent="0.35"/>
    <row r="618" spans="1:11" ht="16.8" thickBot="1" x14ac:dyDescent="0.35">
      <c r="A618" s="125" t="s">
        <v>307</v>
      </c>
    </row>
    <row r="619" spans="1:11" ht="16.8" thickBot="1" x14ac:dyDescent="0.35">
      <c r="A619" s="95" t="s">
        <v>280</v>
      </c>
      <c r="B619" s="142">
        <f>B2</f>
        <v>344064000</v>
      </c>
      <c r="C619" s="142"/>
      <c r="D619" s="142"/>
      <c r="E619" s="142"/>
      <c r="F619" s="142"/>
      <c r="G619" s="7"/>
      <c r="H619" s="106"/>
      <c r="I619" s="107" t="s">
        <v>281</v>
      </c>
      <c r="J619" s="108">
        <f>SUM(J621:J655)</f>
        <v>2.9175000000000004</v>
      </c>
      <c r="K619" s="126">
        <f>SUM(K621:K656)</f>
        <v>7.8334821428571427E-2</v>
      </c>
    </row>
    <row r="620" spans="1:11" ht="33" thickBot="1" x14ac:dyDescent="0.35">
      <c r="A620" s="109" t="s">
        <v>233</v>
      </c>
      <c r="B620" s="110" t="s">
        <v>234</v>
      </c>
      <c r="C620" s="110" t="s">
        <v>235</v>
      </c>
      <c r="D620" s="110" t="s">
        <v>236</v>
      </c>
      <c r="E620" s="110" t="s">
        <v>237</v>
      </c>
      <c r="F620" s="110" t="s">
        <v>238</v>
      </c>
      <c r="G620" s="111" t="s">
        <v>239</v>
      </c>
      <c r="H620" s="112" t="s">
        <v>240</v>
      </c>
      <c r="I620" s="113" t="s">
        <v>241</v>
      </c>
      <c r="J620" s="114" t="s">
        <v>242</v>
      </c>
      <c r="K620" s="115" t="s">
        <v>243</v>
      </c>
    </row>
    <row r="621" spans="1:11" x14ac:dyDescent="0.3">
      <c r="A621" s="116" t="s">
        <v>244</v>
      </c>
      <c r="B621" s="117">
        <f>VLOOKUP(MID($A621,1,2),'Free Spins Symbol'!$T$2:$Z$29,3,0)</f>
        <v>18</v>
      </c>
      <c r="C621" s="117">
        <f>VLOOKUP(MID($A621,4,2),'Free Spins Symbol'!$T$2:$Z$29,4,0)</f>
        <v>0</v>
      </c>
      <c r="D621" s="117">
        <f>VLOOKUP(MID($A621,7,2),'Free Spins Symbol'!$T$2:$Z$29,5,0)</f>
        <v>0</v>
      </c>
      <c r="E621" s="129">
        <f>'Free Spins Symbol'!$Y$18</f>
        <v>32</v>
      </c>
      <c r="F621" s="129">
        <f>'Free Spins Symbol'!$Z$18</f>
        <v>48</v>
      </c>
      <c r="G621" s="100">
        <f>B621*C621*D621*E621*F621</f>
        <v>0</v>
      </c>
      <c r="H621" s="118" t="e">
        <f>B$2/G621</f>
        <v>#DIV/0!</v>
      </c>
      <c r="I621" s="100">
        <v>500</v>
      </c>
      <c r="J621" s="119">
        <f t="shared" ref="J621:J625" si="121">K621*I621</f>
        <v>0</v>
      </c>
      <c r="K621" s="120">
        <f>G621/B$2</f>
        <v>0</v>
      </c>
    </row>
    <row r="622" spans="1:11" x14ac:dyDescent="0.3">
      <c r="A622" s="116" t="s">
        <v>245</v>
      </c>
      <c r="B622" s="117">
        <f>VLOOKUP(MID($A622,1,2),'Free Spins Symbol'!$T$2:$Z$29,3,0)</f>
        <v>20</v>
      </c>
      <c r="C622" s="117">
        <f>VLOOKUP(MID($A622,4,2),'Free Spins Symbol'!$T$2:$Z$29,4,0)</f>
        <v>2</v>
      </c>
      <c r="D622" s="117">
        <f>VLOOKUP(MID($A622,7,2),'Free Spins Symbol'!$T$2:$Z$29,5,0)</f>
        <v>2</v>
      </c>
      <c r="E622" s="129">
        <f>'Free Spins Symbol'!$Y$18</f>
        <v>32</v>
      </c>
      <c r="F622" s="129">
        <f>'Free Spins Symbol'!$Z$18</f>
        <v>48</v>
      </c>
      <c r="G622" s="100">
        <f>B622*C622*D622*E622*F622-G621</f>
        <v>122880</v>
      </c>
      <c r="H622" s="118">
        <f t="shared" ref="H622:H656" si="122">B$2/G622</f>
        <v>2800</v>
      </c>
      <c r="I622" s="100">
        <v>250</v>
      </c>
      <c r="J622" s="119">
        <f t="shared" si="121"/>
        <v>8.9285714285714288E-2</v>
      </c>
      <c r="K622" s="120">
        <f t="shared" ref="K622:K625" si="123">G622/B$2</f>
        <v>3.5714285714285714E-4</v>
      </c>
    </row>
    <row r="623" spans="1:11" x14ac:dyDescent="0.3">
      <c r="A623" s="116" t="s">
        <v>246</v>
      </c>
      <c r="B623" s="117">
        <f>VLOOKUP(MID($A623,1,2),'Free Spins Symbol'!$T$2:$Z$29,3,0)</f>
        <v>22</v>
      </c>
      <c r="C623" s="117">
        <f>VLOOKUP(MID($A623,4,2),'Free Spins Symbol'!$T$2:$Z$29,4,0)</f>
        <v>2</v>
      </c>
      <c r="D623" s="117">
        <f>VLOOKUP(MID($A623,7,2),'Free Spins Symbol'!$T$2:$Z$29,5,0)</f>
        <v>3</v>
      </c>
      <c r="E623" s="129">
        <f>'Free Spins Symbol'!$Y$18</f>
        <v>32</v>
      </c>
      <c r="F623" s="129">
        <f>'Free Spins Symbol'!$Z$18</f>
        <v>48</v>
      </c>
      <c r="G623" s="100">
        <f>B623*C623*D623*E623*F623-G621</f>
        <v>202752</v>
      </c>
      <c r="H623" s="118">
        <f t="shared" si="122"/>
        <v>1696.969696969697</v>
      </c>
      <c r="I623" s="100">
        <v>250</v>
      </c>
      <c r="J623" s="119">
        <f t="shared" si="121"/>
        <v>0.14732142857142858</v>
      </c>
      <c r="K623" s="120">
        <f t="shared" si="123"/>
        <v>5.8928571428571428E-4</v>
      </c>
    </row>
    <row r="624" spans="1:11" x14ac:dyDescent="0.3">
      <c r="A624" s="116" t="s">
        <v>247</v>
      </c>
      <c r="B624" s="117">
        <f>VLOOKUP(MID($A624,1,2),'Free Spins Symbol'!$T$2:$Z$29,3,0)</f>
        <v>24</v>
      </c>
      <c r="C624" s="117">
        <f>VLOOKUP(MID($A624,4,2),'Free Spins Symbol'!$T$2:$Z$29,4,0)</f>
        <v>4</v>
      </c>
      <c r="D624" s="117">
        <f>VLOOKUP(MID($A624,7,2),'Free Spins Symbol'!$T$2:$Z$29,5,0)</f>
        <v>2</v>
      </c>
      <c r="E624" s="129">
        <f>'Free Spins Symbol'!$Y$18</f>
        <v>32</v>
      </c>
      <c r="F624" s="129">
        <f>'Free Spins Symbol'!$Z$18</f>
        <v>48</v>
      </c>
      <c r="G624" s="100">
        <f>B624*C624*D624*E624*F624-G621</f>
        <v>294912</v>
      </c>
      <c r="H624" s="118">
        <f t="shared" si="122"/>
        <v>1166.6666666666667</v>
      </c>
      <c r="I624" s="100">
        <v>150</v>
      </c>
      <c r="J624" s="119">
        <f t="shared" si="121"/>
        <v>0.12857142857142856</v>
      </c>
      <c r="K624" s="120">
        <f t="shared" si="123"/>
        <v>8.571428571428571E-4</v>
      </c>
    </row>
    <row r="625" spans="1:11" x14ac:dyDescent="0.3">
      <c r="A625" s="116" t="s">
        <v>248</v>
      </c>
      <c r="B625" s="117">
        <f>VLOOKUP(MID($A625,1,2),'Free Spins Symbol'!$T$2:$Z$29,3,0)</f>
        <v>24</v>
      </c>
      <c r="C625" s="117">
        <f>VLOOKUP(MID($A625,4,2),'Free Spins Symbol'!$T$2:$Z$29,4,0)</f>
        <v>4</v>
      </c>
      <c r="D625" s="117">
        <f>VLOOKUP(MID($A625,7,2),'Free Spins Symbol'!$T$2:$Z$29,5,0)</f>
        <v>2</v>
      </c>
      <c r="E625" s="129">
        <f>'Free Spins Symbol'!$Y$18</f>
        <v>32</v>
      </c>
      <c r="F625" s="129">
        <f>'Free Spins Symbol'!$Z$18</f>
        <v>48</v>
      </c>
      <c r="G625" s="100">
        <f>B625*C625*D625*E625*F625-G621</f>
        <v>294912</v>
      </c>
      <c r="H625" s="118">
        <f t="shared" si="122"/>
        <v>1166.6666666666667</v>
      </c>
      <c r="I625" s="100">
        <v>150</v>
      </c>
      <c r="J625" s="119">
        <f t="shared" si="121"/>
        <v>0.12857142857142856</v>
      </c>
      <c r="K625" s="120">
        <f t="shared" si="123"/>
        <v>8.571428571428571E-4</v>
      </c>
    </row>
    <row r="626" spans="1:11" x14ac:dyDescent="0.3">
      <c r="A626" s="116" t="s">
        <v>254</v>
      </c>
      <c r="B626" s="117">
        <f>VLOOKUP(MID($A626,1,2),'Free Spins Symbol'!$T$2:$Z$29,3,0)</f>
        <v>18</v>
      </c>
      <c r="C626" s="117">
        <f>VLOOKUP(MID($A626,4,2),'Free Spins Symbol'!$T$2:$Z$29,4,0)</f>
        <v>0</v>
      </c>
      <c r="D626" s="117">
        <f>VLOOKUP(MID($A626,7,2),'Free Spins Symbol'!$T$2:$Z$29,5,0)</f>
        <v>0</v>
      </c>
      <c r="E626" s="129">
        <f>'Free Spins Symbol'!$Y$18</f>
        <v>32</v>
      </c>
      <c r="F626" s="129">
        <f>'Free Spins Symbol'!$Z$18</f>
        <v>48</v>
      </c>
      <c r="G626" s="100">
        <f>B626*C626*D626*E626*(F626-F625-F624-F623-F622+3*F621)</f>
        <v>0</v>
      </c>
      <c r="H626" s="118" t="e">
        <f t="shared" si="122"/>
        <v>#DIV/0!</v>
      </c>
      <c r="I626" s="100">
        <v>100</v>
      </c>
      <c r="J626" s="119">
        <f>K626*I626</f>
        <v>0</v>
      </c>
      <c r="K626" s="120">
        <f>G626/B$2</f>
        <v>0</v>
      </c>
    </row>
    <row r="627" spans="1:11" x14ac:dyDescent="0.3">
      <c r="A627" s="116" t="s">
        <v>249</v>
      </c>
      <c r="B627" s="117">
        <f>VLOOKUP(MID($A627,1,2),'Free Spins Symbol'!$T$2:$Z$29,3,0)</f>
        <v>38</v>
      </c>
      <c r="C627" s="117">
        <f>VLOOKUP(MID($A627,4,2),'Free Spins Symbol'!$T$2:$Z$29,4,0)</f>
        <v>13</v>
      </c>
      <c r="D627" s="117">
        <f>VLOOKUP(MID($A627,7,2),'Free Spins Symbol'!$T$2:$Z$29,5,0)</f>
        <v>1</v>
      </c>
      <c r="E627" s="129">
        <f>'Free Spins Symbol'!$Y$18</f>
        <v>32</v>
      </c>
      <c r="F627" s="129">
        <f>'Free Spins Symbol'!$Z$18</f>
        <v>48</v>
      </c>
      <c r="G627" s="100">
        <f>B627*C627*D627*E627*F627-G621</f>
        <v>758784</v>
      </c>
      <c r="H627" s="118">
        <f t="shared" si="122"/>
        <v>453.44129554655871</v>
      </c>
      <c r="I627" s="100">
        <v>100</v>
      </c>
      <c r="J627" s="119">
        <f t="shared" ref="J627:J635" si="124">K627*I627</f>
        <v>0.22053571428571431</v>
      </c>
      <c r="K627" s="120">
        <f t="shared" ref="K627:K635" si="125">G627/B$2</f>
        <v>2.205357142857143E-3</v>
      </c>
    </row>
    <row r="628" spans="1:11" x14ac:dyDescent="0.3">
      <c r="A628" s="116" t="s">
        <v>250</v>
      </c>
      <c r="B628" s="117">
        <f>VLOOKUP(MID($A628,1,2),'Free Spins Symbol'!$T$2:$Z$29,3,0)</f>
        <v>35</v>
      </c>
      <c r="C628" s="117">
        <f>VLOOKUP(MID($A628,4,2),'Free Spins Symbol'!$T$2:$Z$29,4,0)</f>
        <v>1</v>
      </c>
      <c r="D628" s="117">
        <f>VLOOKUP(MID($A628,7,2),'Free Spins Symbol'!$T$2:$Z$29,5,0)</f>
        <v>9</v>
      </c>
      <c r="E628" s="129">
        <f>'Free Spins Symbol'!$Y$18</f>
        <v>32</v>
      </c>
      <c r="F628" s="129">
        <f>'Free Spins Symbol'!$Z$18</f>
        <v>48</v>
      </c>
      <c r="G628" s="100">
        <f>B628*C628*D628*E628*F628-G621</f>
        <v>483840</v>
      </c>
      <c r="H628" s="118">
        <f t="shared" si="122"/>
        <v>711.11111111111109</v>
      </c>
      <c r="I628" s="100">
        <v>100</v>
      </c>
      <c r="J628" s="119">
        <f t="shared" si="124"/>
        <v>0.140625</v>
      </c>
      <c r="K628" s="120">
        <f t="shared" si="125"/>
        <v>1.4062499999999999E-3</v>
      </c>
    </row>
    <row r="629" spans="1:11" x14ac:dyDescent="0.3">
      <c r="A629" s="116" t="s">
        <v>251</v>
      </c>
      <c r="B629" s="117">
        <f>VLOOKUP(MID($A629,1,2),'Free Spins Symbol'!$T$2:$Z$29,3,0)</f>
        <v>28</v>
      </c>
      <c r="C629" s="117">
        <f>VLOOKUP(MID($A629,4,2),'Free Spins Symbol'!$T$2:$Z$29,4,0)</f>
        <v>13</v>
      </c>
      <c r="D629" s="117">
        <f>VLOOKUP(MID($A629,7,2),'Free Spins Symbol'!$T$2:$Z$29,5,0)</f>
        <v>9</v>
      </c>
      <c r="E629" s="129">
        <f>'Free Spins Symbol'!$Y$18</f>
        <v>32</v>
      </c>
      <c r="F629" s="129">
        <f>'Free Spins Symbol'!$Z$18</f>
        <v>48</v>
      </c>
      <c r="G629" s="100">
        <f>B629*C629*D629*E629*F629-G621</f>
        <v>5031936</v>
      </c>
      <c r="H629" s="118">
        <f t="shared" si="122"/>
        <v>68.376068376068375</v>
      </c>
      <c r="I629" s="100">
        <v>100</v>
      </c>
      <c r="J629" s="119">
        <f t="shared" si="124"/>
        <v>1.4625000000000001</v>
      </c>
      <c r="K629" s="120">
        <f t="shared" si="125"/>
        <v>1.4625000000000001E-2</v>
      </c>
    </row>
    <row r="630" spans="1:11" x14ac:dyDescent="0.3">
      <c r="A630" s="116" t="s">
        <v>252</v>
      </c>
      <c r="B630" s="117">
        <f>VLOOKUP(MID($A630,1,2),'Free Spins Symbol'!$T$2:$Z$29,3,0)</f>
        <v>34</v>
      </c>
      <c r="C630" s="117">
        <f>VLOOKUP(MID($A630,4,2),'Free Spins Symbol'!$T$2:$Z$29,4,0)</f>
        <v>13</v>
      </c>
      <c r="D630" s="117">
        <f>VLOOKUP(MID($A630,7,2),'Free Spins Symbol'!$T$2:$Z$29,5,0)</f>
        <v>1</v>
      </c>
      <c r="E630" s="129">
        <f>'Free Spins Symbol'!$Y$18</f>
        <v>32</v>
      </c>
      <c r="F630" s="129">
        <f>'Free Spins Symbol'!$Z$18</f>
        <v>48</v>
      </c>
      <c r="G630" s="100">
        <f>(B630*C630*D630*E630)*F630-G621</f>
        <v>678912</v>
      </c>
      <c r="H630" s="118">
        <f t="shared" si="122"/>
        <v>506.7873303167421</v>
      </c>
      <c r="I630" s="100">
        <v>100</v>
      </c>
      <c r="J630" s="119">
        <f t="shared" si="124"/>
        <v>0.19732142857142856</v>
      </c>
      <c r="K630" s="120">
        <f t="shared" si="125"/>
        <v>1.9732142857142856E-3</v>
      </c>
    </row>
    <row r="631" spans="1:11" x14ac:dyDescent="0.3">
      <c r="A631" s="116" t="s">
        <v>253</v>
      </c>
      <c r="B631" s="117">
        <f>VLOOKUP(MID($A631,1,2),'Free Spins Symbol'!$T$2:$Z$29,3,0)</f>
        <v>19</v>
      </c>
      <c r="C631" s="117">
        <f>VLOOKUP(MID($A631,4,2),'Free Spins Symbol'!$T$2:$Z$29,4,0)</f>
        <v>2</v>
      </c>
      <c r="D631" s="117">
        <f>VLOOKUP(MID($A631,7,2),'Free Spins Symbol'!$T$2:$Z$29,5,0)</f>
        <v>10</v>
      </c>
      <c r="E631" s="129">
        <f>'Free Spins Symbol'!$Y$18</f>
        <v>32</v>
      </c>
      <c r="F631" s="129">
        <f>'Free Spins Symbol'!$Z$18</f>
        <v>48</v>
      </c>
      <c r="G631" s="100">
        <f>B631*C631*D631*E631*F631-G621</f>
        <v>583680</v>
      </c>
      <c r="H631" s="118">
        <f t="shared" si="122"/>
        <v>589.47368421052636</v>
      </c>
      <c r="I631" s="100">
        <v>100</v>
      </c>
      <c r="J631" s="119">
        <f t="shared" si="124"/>
        <v>0.16964285714285715</v>
      </c>
      <c r="K631" s="120">
        <f t="shared" si="125"/>
        <v>1.6964285714285714E-3</v>
      </c>
    </row>
    <row r="632" spans="1:11" x14ac:dyDescent="0.3">
      <c r="A632" s="116" t="s">
        <v>255</v>
      </c>
      <c r="B632" s="117">
        <f>VLOOKUP(MID($A632,1,2),'Free Spins Symbol'!$T$2:$Z$29,3,0)</f>
        <v>20</v>
      </c>
      <c r="C632" s="117">
        <f>VLOOKUP(MID($A632,4,2),'Free Spins Symbol'!$T$2:$Z$29,4,0)</f>
        <v>2</v>
      </c>
      <c r="D632" s="117">
        <f>VLOOKUP(MID($A632,7,2),'Free Spins Symbol'!$T$2:$Z$29,5,0)</f>
        <v>2</v>
      </c>
      <c r="E632" s="129">
        <f>'Free Spins Symbol'!$Y$18</f>
        <v>32</v>
      </c>
      <c r="F632" s="129">
        <f>'Free Spins Symbol'!$Z$18</f>
        <v>48</v>
      </c>
      <c r="G632" s="100">
        <f>(B632*C632*D632*E632-B626*C626*D626*E626)*(F632-F622)</f>
        <v>0</v>
      </c>
      <c r="H632" s="118" t="e">
        <f t="shared" si="122"/>
        <v>#DIV/0!</v>
      </c>
      <c r="I632" s="100">
        <v>50</v>
      </c>
      <c r="J632" s="119">
        <f t="shared" si="124"/>
        <v>0</v>
      </c>
      <c r="K632" s="120">
        <f t="shared" si="125"/>
        <v>0</v>
      </c>
    </row>
    <row r="633" spans="1:11" x14ac:dyDescent="0.3">
      <c r="A633" s="116" t="s">
        <v>256</v>
      </c>
      <c r="B633" s="117">
        <f>VLOOKUP(MID($A633,1,2),'Free Spins Symbol'!$T$2:$Z$29,3,0)</f>
        <v>22</v>
      </c>
      <c r="C633" s="117">
        <f>VLOOKUP(MID($A633,4,2),'Free Spins Symbol'!$T$2:$Z$29,4,0)</f>
        <v>2</v>
      </c>
      <c r="D633" s="117">
        <f>VLOOKUP(MID($A633,7,2),'Free Spins Symbol'!$T$2:$Z$29,5,0)</f>
        <v>3</v>
      </c>
      <c r="E633" s="129">
        <f>'Free Spins Symbol'!$Y$18</f>
        <v>32</v>
      </c>
      <c r="F633" s="129">
        <f>'Free Spins Symbol'!$Z$18</f>
        <v>48</v>
      </c>
      <c r="G633" s="100">
        <f>(B633*C633*D633*E633-B626*C626*D626*E626)*(F633-F623)</f>
        <v>0</v>
      </c>
      <c r="H633" s="118" t="e">
        <f t="shared" si="122"/>
        <v>#DIV/0!</v>
      </c>
      <c r="I633" s="100">
        <v>50</v>
      </c>
      <c r="J633" s="119">
        <f t="shared" si="124"/>
        <v>0</v>
      </c>
      <c r="K633" s="120">
        <f t="shared" si="125"/>
        <v>0</v>
      </c>
    </row>
    <row r="634" spans="1:11" x14ac:dyDescent="0.3">
      <c r="A634" s="116" t="s">
        <v>257</v>
      </c>
      <c r="B634" s="117">
        <f>VLOOKUP(MID($A634,1,2),'Free Spins Symbol'!$T$2:$Z$29,3,0)</f>
        <v>24</v>
      </c>
      <c r="C634" s="117">
        <f>VLOOKUP(MID($A634,4,2),'Free Spins Symbol'!$T$2:$Z$29,4,0)</f>
        <v>4</v>
      </c>
      <c r="D634" s="117">
        <f>VLOOKUP(MID($A634,7,2),'Free Spins Symbol'!$T$2:$Z$29,5,0)</f>
        <v>2</v>
      </c>
      <c r="E634" s="129">
        <f>'Free Spins Symbol'!$Y$18</f>
        <v>32</v>
      </c>
      <c r="F634" s="129">
        <f>'Free Spins Symbol'!$Z$18</f>
        <v>48</v>
      </c>
      <c r="G634" s="100">
        <f>(B634*C634*D634*E634-B626*C626*D626*E626)*(F634-F624)</f>
        <v>0</v>
      </c>
      <c r="H634" s="118" t="e">
        <f t="shared" si="122"/>
        <v>#DIV/0!</v>
      </c>
      <c r="I634" s="100">
        <v>30</v>
      </c>
      <c r="J634" s="119">
        <f t="shared" si="124"/>
        <v>0</v>
      </c>
      <c r="K634" s="120">
        <f t="shared" si="125"/>
        <v>0</v>
      </c>
    </row>
    <row r="635" spans="1:11" x14ac:dyDescent="0.3">
      <c r="A635" s="116" t="s">
        <v>258</v>
      </c>
      <c r="B635" s="117">
        <f>VLOOKUP(MID($A635,1,2),'Free Spins Symbol'!$T$2:$Z$29,3,0)</f>
        <v>24</v>
      </c>
      <c r="C635" s="117">
        <f>VLOOKUP(MID($A635,4,2),'Free Spins Symbol'!$T$2:$Z$29,4,0)</f>
        <v>4</v>
      </c>
      <c r="D635" s="117">
        <f>VLOOKUP(MID($A635,7,2),'Free Spins Symbol'!$T$2:$Z$29,5,0)</f>
        <v>2</v>
      </c>
      <c r="E635" s="129">
        <f>'Free Spins Symbol'!$Y$18</f>
        <v>32</v>
      </c>
      <c r="F635" s="129">
        <f>'Free Spins Symbol'!$Z$18</f>
        <v>48</v>
      </c>
      <c r="G635" s="100">
        <f>(B635*C635*D635*E635-B626*C626*D626*E626)*(F635-F625)</f>
        <v>0</v>
      </c>
      <c r="H635" s="118" t="e">
        <f t="shared" si="122"/>
        <v>#DIV/0!</v>
      </c>
      <c r="I635" s="100">
        <v>30</v>
      </c>
      <c r="J635" s="119">
        <f t="shared" si="124"/>
        <v>0</v>
      </c>
      <c r="K635" s="120">
        <f t="shared" si="125"/>
        <v>0</v>
      </c>
    </row>
    <row r="636" spans="1:11" x14ac:dyDescent="0.3">
      <c r="A636" s="116" t="s">
        <v>264</v>
      </c>
      <c r="B636" s="117">
        <f>VLOOKUP(MID($A636,1,2),'Free Spins Symbol'!$T$2:$Z$29,3,0)</f>
        <v>18</v>
      </c>
      <c r="C636" s="117">
        <f>VLOOKUP(MID($A636,4,2),'Free Spins Symbol'!$T$2:$Z$29,4,0)</f>
        <v>0</v>
      </c>
      <c r="D636" s="117">
        <f>VLOOKUP(MID($A636,7,2),'Free Spins Symbol'!$T$2:$Z$29,5,0)</f>
        <v>0</v>
      </c>
      <c r="E636" s="129">
        <f>'Free Spins Symbol'!$Y$18</f>
        <v>32</v>
      </c>
      <c r="F636" s="129">
        <f>'Free Spins Symbol'!$Z$18</f>
        <v>48</v>
      </c>
      <c r="G636" s="100">
        <f>(B636*C636*D636)*(E636*F636-(E635+E634+E633+E632-3*E626)*F626-(E631-E626)*F631-(E630-E626)*F630-(E629-E626)*F629-(E628-E626)*F628-(E627-E626)*F627)</f>
        <v>0</v>
      </c>
      <c r="H636" s="118" t="e">
        <f t="shared" si="122"/>
        <v>#DIV/0!</v>
      </c>
      <c r="I636" s="100">
        <v>20</v>
      </c>
      <c r="J636" s="119">
        <f>K636*I636</f>
        <v>0</v>
      </c>
      <c r="K636" s="120">
        <f>G636/B$2</f>
        <v>0</v>
      </c>
    </row>
    <row r="637" spans="1:11" x14ac:dyDescent="0.3">
      <c r="A637" s="116" t="s">
        <v>259</v>
      </c>
      <c r="B637" s="117">
        <f>VLOOKUP(MID($A637,1,2),'Free Spins Symbol'!$T$2:$Z$29,3,0)</f>
        <v>38</v>
      </c>
      <c r="C637" s="117">
        <f>VLOOKUP(MID($A637,4,2),'Free Spins Symbol'!$T$2:$Z$29,4,0)</f>
        <v>13</v>
      </c>
      <c r="D637" s="117">
        <f>VLOOKUP(MID($A637,7,2),'Free Spins Symbol'!$T$2:$Z$29,5,0)</f>
        <v>1</v>
      </c>
      <c r="E637" s="129">
        <f>'Free Spins Symbol'!$Y$18</f>
        <v>32</v>
      </c>
      <c r="F637" s="129">
        <f>'Free Spins Symbol'!$Z$18</f>
        <v>48</v>
      </c>
      <c r="G637" s="100">
        <f>(B637*C637*D637*E637-B626*C626*D626*E626)*(F637-F627)</f>
        <v>0</v>
      </c>
      <c r="H637" s="118" t="e">
        <f t="shared" si="122"/>
        <v>#DIV/0!</v>
      </c>
      <c r="I637" s="100">
        <v>20</v>
      </c>
      <c r="J637" s="119">
        <f t="shared" ref="J637:J656" si="126">K637*I637</f>
        <v>0</v>
      </c>
      <c r="K637" s="120">
        <f t="shared" ref="K637:K656" si="127">G637/B$2</f>
        <v>0</v>
      </c>
    </row>
    <row r="638" spans="1:11" x14ac:dyDescent="0.3">
      <c r="A638" s="116" t="s">
        <v>260</v>
      </c>
      <c r="B638" s="117">
        <f>VLOOKUP(MID($A638,1,2),'Free Spins Symbol'!$T$2:$Z$29,3,0)</f>
        <v>35</v>
      </c>
      <c r="C638" s="117">
        <f>VLOOKUP(MID($A638,4,2),'Free Spins Symbol'!$T$2:$Z$29,4,0)</f>
        <v>1</v>
      </c>
      <c r="D638" s="117">
        <f>VLOOKUP(MID($A638,7,2),'Free Spins Symbol'!$T$2:$Z$29,5,0)</f>
        <v>9</v>
      </c>
      <c r="E638" s="129">
        <f>'Free Spins Symbol'!$Y$18</f>
        <v>32</v>
      </c>
      <c r="F638" s="129">
        <f>'Free Spins Symbol'!$Z$18</f>
        <v>48</v>
      </c>
      <c r="G638" s="100">
        <f>(B638*C638*D638*E638-B626*C626*D626*E626)*(F638-F628)</f>
        <v>0</v>
      </c>
      <c r="H638" s="118" t="e">
        <f t="shared" si="122"/>
        <v>#DIV/0!</v>
      </c>
      <c r="I638" s="100">
        <v>20</v>
      </c>
      <c r="J638" s="119">
        <f t="shared" si="126"/>
        <v>0</v>
      </c>
      <c r="K638" s="120">
        <f t="shared" si="127"/>
        <v>0</v>
      </c>
    </row>
    <row r="639" spans="1:11" x14ac:dyDescent="0.3">
      <c r="A639" s="116" t="s">
        <v>261</v>
      </c>
      <c r="B639" s="117">
        <f>VLOOKUP(MID($A639,1,2),'Free Spins Symbol'!$T$2:$Z$29,3,0)</f>
        <v>28</v>
      </c>
      <c r="C639" s="117">
        <f>VLOOKUP(MID($A639,4,2),'Free Spins Symbol'!$T$2:$Z$29,4,0)</f>
        <v>13</v>
      </c>
      <c r="D639" s="117">
        <f>VLOOKUP(MID($A639,7,2),'Free Spins Symbol'!$T$2:$Z$29,5,0)</f>
        <v>9</v>
      </c>
      <c r="E639" s="129">
        <f>'Free Spins Symbol'!$Y$18</f>
        <v>32</v>
      </c>
      <c r="F639" s="129">
        <f>'Free Spins Symbol'!$Z$18</f>
        <v>48</v>
      </c>
      <c r="G639" s="100">
        <f>(B639*C639*D639*E639-B626*C626*D626*E626)*(F639-F629)</f>
        <v>0</v>
      </c>
      <c r="H639" s="118" t="e">
        <f t="shared" si="122"/>
        <v>#DIV/0!</v>
      </c>
      <c r="I639" s="100">
        <v>20</v>
      </c>
      <c r="J639" s="119">
        <f t="shared" si="126"/>
        <v>0</v>
      </c>
      <c r="K639" s="120">
        <f t="shared" si="127"/>
        <v>0</v>
      </c>
    </row>
    <row r="640" spans="1:11" x14ac:dyDescent="0.3">
      <c r="A640" s="116" t="s">
        <v>262</v>
      </c>
      <c r="B640" s="117">
        <f>VLOOKUP(MID($A640,1,2),'Free Spins Symbol'!$T$2:$Z$29,3,0)</f>
        <v>34</v>
      </c>
      <c r="C640" s="117">
        <f>VLOOKUP(MID($A640,4,2),'Free Spins Symbol'!$T$2:$Z$29,4,0)</f>
        <v>13</v>
      </c>
      <c r="D640" s="117">
        <f>VLOOKUP(MID($A640,7,2),'Free Spins Symbol'!$T$2:$Z$29,5,0)</f>
        <v>1</v>
      </c>
      <c r="E640" s="129">
        <f>'Free Spins Symbol'!$Y$18</f>
        <v>32</v>
      </c>
      <c r="F640" s="129">
        <f>'Free Spins Symbol'!$Z$18</f>
        <v>48</v>
      </c>
      <c r="G640" s="100">
        <f>(B640*C640*D640*E640-B626*C626*D626*E626)*(F640-F630)</f>
        <v>0</v>
      </c>
      <c r="H640" s="118" t="e">
        <f t="shared" si="122"/>
        <v>#DIV/0!</v>
      </c>
      <c r="I640" s="100">
        <v>20</v>
      </c>
      <c r="J640" s="119">
        <f t="shared" si="126"/>
        <v>0</v>
      </c>
      <c r="K640" s="120">
        <f t="shared" si="127"/>
        <v>0</v>
      </c>
    </row>
    <row r="641" spans="1:11" x14ac:dyDescent="0.3">
      <c r="A641" s="116" t="s">
        <v>263</v>
      </c>
      <c r="B641" s="117">
        <f>VLOOKUP(MID($A641,1,2),'Free Spins Symbol'!$T$2:$Z$29,3,0)</f>
        <v>19</v>
      </c>
      <c r="C641" s="117">
        <f>VLOOKUP(MID($A641,4,2),'Free Spins Symbol'!$T$2:$Z$29,4,0)</f>
        <v>2</v>
      </c>
      <c r="D641" s="117">
        <f>VLOOKUP(MID($A641,7,2),'Free Spins Symbol'!$T$2:$Z$29,5,0)</f>
        <v>10</v>
      </c>
      <c r="E641" s="129">
        <f>'Free Spins Symbol'!$Y$18</f>
        <v>32</v>
      </c>
      <c r="F641" s="129">
        <f>'Free Spins Symbol'!$Z$18</f>
        <v>48</v>
      </c>
      <c r="G641" s="100">
        <f>(B641*C641*D641*E641-B626*C626*D626*E626)*(F641-F631)</f>
        <v>0</v>
      </c>
      <c r="H641" s="118" t="e">
        <f t="shared" si="122"/>
        <v>#DIV/0!</v>
      </c>
      <c r="I641" s="100">
        <v>20</v>
      </c>
      <c r="J641" s="119">
        <f t="shared" si="126"/>
        <v>0</v>
      </c>
      <c r="K641" s="120">
        <f t="shared" si="127"/>
        <v>0</v>
      </c>
    </row>
    <row r="642" spans="1:11" x14ac:dyDescent="0.3">
      <c r="A642" s="116" t="s">
        <v>265</v>
      </c>
      <c r="B642" s="117">
        <f>VLOOKUP(MID($A642,1,2),'Free Spins Symbol'!$T$2:$Z$29,3,0)</f>
        <v>20</v>
      </c>
      <c r="C642" s="117">
        <f>VLOOKUP(MID($A642,4,2),'Free Spins Symbol'!$T$2:$Z$29,4,0)</f>
        <v>2</v>
      </c>
      <c r="D642" s="117">
        <f>VLOOKUP(MID($A642,7,2),'Free Spins Symbol'!$T$2:$Z$29,5,0)</f>
        <v>2</v>
      </c>
      <c r="E642" s="129">
        <f>'Free Spins Symbol'!$Y$18</f>
        <v>32</v>
      </c>
      <c r="F642" s="129">
        <f>'Free Spins Symbol'!$Z$18</f>
        <v>48</v>
      </c>
      <c r="G642" s="100">
        <f>(B642*C642*D642)*(E642-E632)*F642</f>
        <v>0</v>
      </c>
      <c r="H642" s="118" t="e">
        <f t="shared" si="122"/>
        <v>#DIV/0!</v>
      </c>
      <c r="I642" s="100">
        <v>20</v>
      </c>
      <c r="J642" s="119">
        <f t="shared" si="126"/>
        <v>0</v>
      </c>
      <c r="K642" s="120">
        <f t="shared" si="127"/>
        <v>0</v>
      </c>
    </row>
    <row r="643" spans="1:11" x14ac:dyDescent="0.3">
      <c r="A643" s="116" t="s">
        <v>266</v>
      </c>
      <c r="B643" s="117">
        <f>VLOOKUP(MID($A643,1,2),'Free Spins Symbol'!$T$2:$Z$29,3,0)</f>
        <v>22</v>
      </c>
      <c r="C643" s="117">
        <f>VLOOKUP(MID($A643,4,2),'Free Spins Symbol'!$T$2:$Z$29,4,0)</f>
        <v>2</v>
      </c>
      <c r="D643" s="117">
        <f>VLOOKUP(MID($A643,7,2),'Free Spins Symbol'!$T$2:$Z$29,5,0)</f>
        <v>3</v>
      </c>
      <c r="E643" s="129">
        <f>'Free Spins Symbol'!$Y$18</f>
        <v>32</v>
      </c>
      <c r="F643" s="129">
        <f>'Free Spins Symbol'!$Z$18</f>
        <v>48</v>
      </c>
      <c r="G643" s="100">
        <f>(B643*C643*D643)*(E643-E633)*F643</f>
        <v>0</v>
      </c>
      <c r="H643" s="118" t="e">
        <f t="shared" si="122"/>
        <v>#DIV/0!</v>
      </c>
      <c r="I643" s="100">
        <v>20</v>
      </c>
      <c r="J643" s="119">
        <f t="shared" si="126"/>
        <v>0</v>
      </c>
      <c r="K643" s="120">
        <f t="shared" si="127"/>
        <v>0</v>
      </c>
    </row>
    <row r="644" spans="1:11" x14ac:dyDescent="0.3">
      <c r="A644" s="116" t="s">
        <v>267</v>
      </c>
      <c r="B644" s="117">
        <f>VLOOKUP(MID($A644,1,2),'Free Spins Symbol'!$T$2:$Z$29,3,0)</f>
        <v>24</v>
      </c>
      <c r="C644" s="117">
        <f>VLOOKUP(MID($A644,4,2),'Free Spins Symbol'!$T$2:$Z$29,4,0)</f>
        <v>4</v>
      </c>
      <c r="D644" s="117">
        <f>VLOOKUP(MID($A644,7,2),'Free Spins Symbol'!$T$2:$Z$29,5,0)</f>
        <v>2</v>
      </c>
      <c r="E644" s="129">
        <f>'Free Spins Symbol'!$Y$18</f>
        <v>32</v>
      </c>
      <c r="F644" s="129">
        <f>'Free Spins Symbol'!$Z$18</f>
        <v>48</v>
      </c>
      <c r="G644" s="100">
        <f>(B644*C644*D644-B636*C636*D636)*(E644-E634)*F644</f>
        <v>0</v>
      </c>
      <c r="H644" s="118" t="e">
        <f t="shared" si="122"/>
        <v>#DIV/0!</v>
      </c>
      <c r="I644" s="100">
        <v>10</v>
      </c>
      <c r="J644" s="119">
        <f t="shared" si="126"/>
        <v>0</v>
      </c>
      <c r="K644" s="120">
        <f t="shared" si="127"/>
        <v>0</v>
      </c>
    </row>
    <row r="645" spans="1:11" x14ac:dyDescent="0.3">
      <c r="A645" s="116" t="s">
        <v>268</v>
      </c>
      <c r="B645" s="117">
        <f>VLOOKUP(MID($A645,1,2),'Free Spins Symbol'!$T$2:$Z$29,3,0)</f>
        <v>24</v>
      </c>
      <c r="C645" s="117">
        <f>VLOOKUP(MID($A645,4,2),'Free Spins Symbol'!$T$2:$Z$29,4,0)</f>
        <v>4</v>
      </c>
      <c r="D645" s="117">
        <f>VLOOKUP(MID($A645,7,2),'Free Spins Symbol'!$T$2:$Z$29,5,0)</f>
        <v>2</v>
      </c>
      <c r="E645" s="129">
        <f>'Free Spins Symbol'!$Y$18</f>
        <v>32</v>
      </c>
      <c r="F645" s="129">
        <f>'Free Spins Symbol'!$Z$18</f>
        <v>48</v>
      </c>
      <c r="G645" s="100">
        <f>(B645*C645*D645-B636*C636*D636)*(E645-E635)*F645</f>
        <v>0</v>
      </c>
      <c r="H645" s="118" t="e">
        <f t="shared" si="122"/>
        <v>#DIV/0!</v>
      </c>
      <c r="I645" s="100">
        <v>10</v>
      </c>
      <c r="J645" s="119">
        <f t="shared" si="126"/>
        <v>0</v>
      </c>
      <c r="K645" s="120">
        <f t="shared" si="127"/>
        <v>0</v>
      </c>
    </row>
    <row r="646" spans="1:11" x14ac:dyDescent="0.3">
      <c r="A646" s="116" t="s">
        <v>269</v>
      </c>
      <c r="B646" s="117">
        <f>VLOOKUP(MID($A646,1,2),'Free Spins Symbol'!$T$2:$Z$29,3,0)</f>
        <v>38</v>
      </c>
      <c r="C646" s="117">
        <f>VLOOKUP(MID($A646,4,2),'Free Spins Symbol'!$T$2:$Z$29,4,0)</f>
        <v>13</v>
      </c>
      <c r="D646" s="117">
        <f>VLOOKUP(MID($A646,7,2),'Free Spins Symbol'!$T$2:$Z$29,5,0)</f>
        <v>1</v>
      </c>
      <c r="E646" s="129">
        <f>'Free Spins Symbol'!$Y$18</f>
        <v>32</v>
      </c>
      <c r="F646" s="129">
        <f>'Free Spins Symbol'!$Z$18</f>
        <v>48</v>
      </c>
      <c r="G646" s="100">
        <f>(B646*C646*D646-B636*C636*D636)*(E646-E637)*F646</f>
        <v>0</v>
      </c>
      <c r="H646" s="118" t="e">
        <f t="shared" si="122"/>
        <v>#DIV/0!</v>
      </c>
      <c r="I646" s="100">
        <v>5</v>
      </c>
      <c r="J646" s="119">
        <f t="shared" si="126"/>
        <v>0</v>
      </c>
      <c r="K646" s="120">
        <f t="shared" si="127"/>
        <v>0</v>
      </c>
    </row>
    <row r="647" spans="1:11" x14ac:dyDescent="0.3">
      <c r="A647" s="116" t="s">
        <v>270</v>
      </c>
      <c r="B647" s="117">
        <f>VLOOKUP(MID($A647,1,2),'Free Spins Symbol'!$T$2:$Z$29,3,0)</f>
        <v>35</v>
      </c>
      <c r="C647" s="117">
        <f>VLOOKUP(MID($A647,4,2),'Free Spins Symbol'!$T$2:$Z$29,4,0)</f>
        <v>1</v>
      </c>
      <c r="D647" s="117">
        <f>VLOOKUP(MID($A647,7,2),'Free Spins Symbol'!$T$2:$Z$29,5,0)</f>
        <v>9</v>
      </c>
      <c r="E647" s="129">
        <f>'Free Spins Symbol'!$Y$18</f>
        <v>32</v>
      </c>
      <c r="F647" s="129">
        <f>'Free Spins Symbol'!$Z$18</f>
        <v>48</v>
      </c>
      <c r="G647" s="100">
        <f>(B647*C647*D647-B636*C636*D636)*(E647-E638)*F647</f>
        <v>0</v>
      </c>
      <c r="H647" s="118" t="e">
        <f t="shared" si="122"/>
        <v>#DIV/0!</v>
      </c>
      <c r="I647" s="100">
        <v>5</v>
      </c>
      <c r="J647" s="119">
        <f t="shared" si="126"/>
        <v>0</v>
      </c>
      <c r="K647" s="120">
        <f t="shared" si="127"/>
        <v>0</v>
      </c>
    </row>
    <row r="648" spans="1:11" x14ac:dyDescent="0.3">
      <c r="A648" s="116" t="s">
        <v>271</v>
      </c>
      <c r="B648" s="117">
        <f>VLOOKUP(MID($A648,1,2),'Free Spins Symbol'!$T$2:$Z$29,3,0)</f>
        <v>28</v>
      </c>
      <c r="C648" s="117">
        <f>VLOOKUP(MID($A648,4,2),'Free Spins Symbol'!$T$2:$Z$29,4,0)</f>
        <v>13</v>
      </c>
      <c r="D648" s="117">
        <f>VLOOKUP(MID($A648,7,2),'Free Spins Symbol'!$T$2:$Z$29,5,0)</f>
        <v>9</v>
      </c>
      <c r="E648" s="129">
        <f>'Free Spins Symbol'!$Y$18</f>
        <v>32</v>
      </c>
      <c r="F648" s="129">
        <f>'Free Spins Symbol'!$Z$18</f>
        <v>48</v>
      </c>
      <c r="G648" s="100">
        <f>(B648*C648*D648-B636*C636*D636)*(E648-E639)*F648</f>
        <v>0</v>
      </c>
      <c r="H648" s="118" t="e">
        <f t="shared" si="122"/>
        <v>#DIV/0!</v>
      </c>
      <c r="I648" s="100">
        <v>5</v>
      </c>
      <c r="J648" s="119">
        <f t="shared" si="126"/>
        <v>0</v>
      </c>
      <c r="K648" s="120">
        <f t="shared" si="127"/>
        <v>0</v>
      </c>
    </row>
    <row r="649" spans="1:11" x14ac:dyDescent="0.3">
      <c r="A649" s="116" t="s">
        <v>272</v>
      </c>
      <c r="B649" s="117">
        <f>VLOOKUP(MID($A649,1,2),'Free Spins Symbol'!$T$2:$Z$29,3,0)</f>
        <v>34</v>
      </c>
      <c r="C649" s="117">
        <f>VLOOKUP(MID($A649,4,2),'Free Spins Symbol'!$T$2:$Z$29,4,0)</f>
        <v>13</v>
      </c>
      <c r="D649" s="117">
        <f>VLOOKUP(MID($A649,7,2),'Free Spins Symbol'!$T$2:$Z$29,5,0)</f>
        <v>1</v>
      </c>
      <c r="E649" s="129">
        <f>'Free Spins Symbol'!$Y$18</f>
        <v>32</v>
      </c>
      <c r="F649" s="129">
        <f>'Free Spins Symbol'!$Z$18</f>
        <v>48</v>
      </c>
      <c r="G649" s="100">
        <f>(B649*C649*D649-B636*C636*D636)*(E649-E640)*F649</f>
        <v>0</v>
      </c>
      <c r="H649" s="118" t="e">
        <f t="shared" si="122"/>
        <v>#DIV/0!</v>
      </c>
      <c r="I649" s="100">
        <v>5</v>
      </c>
      <c r="J649" s="119">
        <f t="shared" si="126"/>
        <v>0</v>
      </c>
      <c r="K649" s="120">
        <f t="shared" si="127"/>
        <v>0</v>
      </c>
    </row>
    <row r="650" spans="1:11" x14ac:dyDescent="0.3">
      <c r="A650" s="116" t="s">
        <v>273</v>
      </c>
      <c r="B650" s="117">
        <f>VLOOKUP(MID($A650,1,2),'Free Spins Symbol'!$T$2:$Z$29,3,0)</f>
        <v>19</v>
      </c>
      <c r="C650" s="117">
        <f>VLOOKUP(MID($A650,4,2),'Free Spins Symbol'!$T$2:$Z$29,4,0)</f>
        <v>2</v>
      </c>
      <c r="D650" s="117">
        <f>VLOOKUP(MID($A650,7,2),'Free Spins Symbol'!$T$2:$Z$29,5,0)</f>
        <v>10</v>
      </c>
      <c r="E650" s="129">
        <f>'Free Spins Symbol'!$Y$18</f>
        <v>32</v>
      </c>
      <c r="F650" s="129">
        <f>'Free Spins Symbol'!$Z$18</f>
        <v>48</v>
      </c>
      <c r="G650" s="100">
        <f>(B650*C650*D650-B636*C636*D636)*(E650-E641)*F650</f>
        <v>0</v>
      </c>
      <c r="H650" s="118" t="e">
        <f t="shared" si="122"/>
        <v>#DIV/0!</v>
      </c>
      <c r="I650" s="100">
        <v>5</v>
      </c>
      <c r="J650" s="119">
        <f t="shared" si="126"/>
        <v>0</v>
      </c>
      <c r="K650" s="120">
        <f t="shared" si="127"/>
        <v>0</v>
      </c>
    </row>
    <row r="651" spans="1:11" x14ac:dyDescent="0.3">
      <c r="A651" s="116" t="s">
        <v>274</v>
      </c>
      <c r="B651" s="117">
        <f>VLOOKUP(MID($A651,1,2),'Free Spins Symbol'!$T$2:$Z$29,3,0)</f>
        <v>18</v>
      </c>
      <c r="C651" s="117">
        <f>VLOOKUP(MID($A651,4,2),'Free Spins Symbol'!$T$2:$Z$29,4,0)</f>
        <v>0</v>
      </c>
      <c r="D651" s="117">
        <f>VLOOKUP(MID($A651,7,2),'Free Spins Symbol'!$T$2:$Z$29,5,0)</f>
        <v>40</v>
      </c>
      <c r="E651" s="129">
        <f>'Free Spins Symbol'!$Y$18</f>
        <v>32</v>
      </c>
      <c r="F651" s="129">
        <f>'Free Spins Symbol'!$Z$18</f>
        <v>48</v>
      </c>
      <c r="G651" s="100">
        <f>B651*C651*(D651-D650-D649-D648-D647-D646-D645-D644-D643-D642+8*D636)*E651*F651</f>
        <v>0</v>
      </c>
      <c r="H651" s="118" t="e">
        <f t="shared" si="122"/>
        <v>#DIV/0!</v>
      </c>
      <c r="I651" s="100">
        <v>5</v>
      </c>
      <c r="J651" s="119">
        <f t="shared" si="126"/>
        <v>0</v>
      </c>
      <c r="K651" s="120">
        <f t="shared" si="127"/>
        <v>0</v>
      </c>
    </row>
    <row r="652" spans="1:11" x14ac:dyDescent="0.3">
      <c r="A652" s="116" t="s">
        <v>275</v>
      </c>
      <c r="B652" s="117">
        <f>VLOOKUP(MID($A652,1,2),'Free Spins Symbol'!$T$2:$Z$29,3,0)</f>
        <v>20</v>
      </c>
      <c r="C652" s="117">
        <f>VLOOKUP(MID($A652,4,2),'Free Spins Symbol'!$T$2:$Z$29,4,0)</f>
        <v>2</v>
      </c>
      <c r="D652" s="117">
        <f>VLOOKUP(MID($A652,7,2),'Free Spins Symbol'!$T$2:$Z$29,5,0)</f>
        <v>40</v>
      </c>
      <c r="E652" s="129">
        <f>'Free Spins Symbol'!$Y$18</f>
        <v>32</v>
      </c>
      <c r="F652" s="129">
        <f>'Free Spins Symbol'!$Z$18</f>
        <v>48</v>
      </c>
      <c r="G652" s="100">
        <f>(B652*C652-B651*C651)*(D652-D642)*E652*F652</f>
        <v>2334720</v>
      </c>
      <c r="H652" s="118">
        <f t="shared" si="122"/>
        <v>147.36842105263159</v>
      </c>
      <c r="I652" s="100">
        <v>5</v>
      </c>
      <c r="J652" s="119">
        <f t="shared" si="126"/>
        <v>3.3928571428571426E-2</v>
      </c>
      <c r="K652" s="120">
        <f t="shared" si="127"/>
        <v>6.7857142857142855E-3</v>
      </c>
    </row>
    <row r="653" spans="1:11" x14ac:dyDescent="0.3">
      <c r="A653" s="116" t="s">
        <v>276</v>
      </c>
      <c r="B653" s="117">
        <f>VLOOKUP(MID($A653,1,2),'Free Spins Symbol'!$T$2:$Z$29,3,0)</f>
        <v>22</v>
      </c>
      <c r="C653" s="117">
        <f>VLOOKUP(MID($A653,4,2),'Free Spins Symbol'!$T$2:$Z$29,4,0)</f>
        <v>2</v>
      </c>
      <c r="D653" s="117">
        <f>VLOOKUP(MID($A653,7,2),'Free Spins Symbol'!$T$2:$Z$29,5,0)</f>
        <v>40</v>
      </c>
      <c r="E653" s="129">
        <f>'Free Spins Symbol'!$Y$18</f>
        <v>32</v>
      </c>
      <c r="F653" s="129">
        <f>'Free Spins Symbol'!$Z$18</f>
        <v>48</v>
      </c>
      <c r="G653" s="100">
        <f>(B653*C653-B651*C651)*(D653-D643)*E653*F653</f>
        <v>2500608</v>
      </c>
      <c r="H653" s="118">
        <f t="shared" si="122"/>
        <v>137.59213759213759</v>
      </c>
      <c r="I653" s="100">
        <v>5</v>
      </c>
      <c r="J653" s="119">
        <f t="shared" si="126"/>
        <v>3.6339285714285713E-2</v>
      </c>
      <c r="K653" s="120">
        <f t="shared" si="127"/>
        <v>7.2678571428571427E-3</v>
      </c>
    </row>
    <row r="654" spans="1:11" x14ac:dyDescent="0.3">
      <c r="A654" s="116" t="s">
        <v>277</v>
      </c>
      <c r="B654" s="117">
        <f>VLOOKUP(MID($A654,1,2),'Free Spins Symbol'!$T$2:$Z$29,3,0)</f>
        <v>24</v>
      </c>
      <c r="C654" s="117">
        <f>VLOOKUP(MID($A654,4,2),'Free Spins Symbol'!$T$2:$Z$29,4,0)</f>
        <v>4</v>
      </c>
      <c r="D654" s="117">
        <f>VLOOKUP(MID($A654,7,2),'Free Spins Symbol'!$T$2:$Z$29,5,0)</f>
        <v>40</v>
      </c>
      <c r="E654" s="129">
        <f>'Free Spins Symbol'!$Y$18</f>
        <v>32</v>
      </c>
      <c r="F654" s="129">
        <f>'Free Spins Symbol'!$Z$18</f>
        <v>48</v>
      </c>
      <c r="G654" s="100">
        <f>(B654*C654-B651*C651)*(D654-D644)*E654*F654</f>
        <v>5603328</v>
      </c>
      <c r="H654" s="118">
        <f t="shared" si="122"/>
        <v>61.403508771929822</v>
      </c>
      <c r="I654" s="100">
        <v>5</v>
      </c>
      <c r="J654" s="119">
        <f t="shared" si="126"/>
        <v>8.1428571428571433E-2</v>
      </c>
      <c r="K654" s="120">
        <f t="shared" si="127"/>
        <v>1.6285714285714285E-2</v>
      </c>
    </row>
    <row r="655" spans="1:11" x14ac:dyDescent="0.3">
      <c r="A655" s="116" t="s">
        <v>278</v>
      </c>
      <c r="B655" s="117">
        <f>VLOOKUP(MID($A655,1,2),'Free Spins Symbol'!$T$2:$Z$29,3,0)</f>
        <v>24</v>
      </c>
      <c r="C655" s="117">
        <f>VLOOKUP(MID($A655,4,2),'Free Spins Symbol'!$T$2:$Z$29,4,0)</f>
        <v>4</v>
      </c>
      <c r="D655" s="117">
        <f>VLOOKUP(MID($A655,7,2),'Free Spins Symbol'!$T$2:$Z$29,5,0)</f>
        <v>40</v>
      </c>
      <c r="E655" s="129">
        <f>'Free Spins Symbol'!$Y$18</f>
        <v>32</v>
      </c>
      <c r="F655" s="129">
        <f>'Free Spins Symbol'!$Z$18</f>
        <v>48</v>
      </c>
      <c r="G655" s="100">
        <f>(B655*C655-B651*C651)*(D655-D645)*E655*F655</f>
        <v>5603328</v>
      </c>
      <c r="H655" s="118">
        <f t="shared" si="122"/>
        <v>61.403508771929822</v>
      </c>
      <c r="I655" s="100">
        <v>5</v>
      </c>
      <c r="J655" s="119">
        <f t="shared" si="126"/>
        <v>8.1428571428571433E-2</v>
      </c>
      <c r="K655" s="120">
        <f t="shared" si="127"/>
        <v>1.6285714285714285E-2</v>
      </c>
    </row>
    <row r="656" spans="1:11" x14ac:dyDescent="0.3">
      <c r="A656" s="122" t="s">
        <v>279</v>
      </c>
      <c r="B656" s="117">
        <f>VLOOKUP(MID($A656,1,2),'Free Spins Symbol'!$T$2:$Z$29,3,0)</f>
        <v>100</v>
      </c>
      <c r="C656" s="117">
        <f>VLOOKUP(MID($A656,4,2),'Free Spins Symbol'!$T$2:$Z$29,4,0)</f>
        <v>8</v>
      </c>
      <c r="D656" s="117">
        <f>VLOOKUP(MID($A656,7,2),'Free Spins Symbol'!$T$2:$Z$29,5,0)</f>
        <v>4</v>
      </c>
      <c r="E656" s="117">
        <f>VLOOKUP(MID($A656,10,2),'Free Spins Symbol'!$T$2:$Z$29,6,0)</f>
        <v>16</v>
      </c>
      <c r="F656" s="117">
        <f>VLOOKUP(MID($A656,13,2),'Free Spins Symbol'!$T$2:$Z$29,7,0)</f>
        <v>48</v>
      </c>
      <c r="G656" s="100">
        <f>B656*C656*D656*E656*F656</f>
        <v>2457600</v>
      </c>
      <c r="H656" s="118">
        <f t="shared" si="122"/>
        <v>140</v>
      </c>
      <c r="I656" s="123">
        <v>2</v>
      </c>
      <c r="J656" s="124">
        <f t="shared" si="126"/>
        <v>1.4285714285714285E-2</v>
      </c>
      <c r="K656" s="120">
        <f t="shared" si="127"/>
        <v>7.1428571428571426E-3</v>
      </c>
    </row>
    <row r="658" spans="1:11" ht="16.8" thickBot="1" x14ac:dyDescent="0.35"/>
    <row r="659" spans="1:11" ht="16.8" thickBot="1" x14ac:dyDescent="0.35">
      <c r="A659" s="125" t="s">
        <v>308</v>
      </c>
    </row>
    <row r="660" spans="1:11" ht="16.8" thickBot="1" x14ac:dyDescent="0.35">
      <c r="A660" s="95" t="s">
        <v>280</v>
      </c>
      <c r="B660" s="142">
        <f>B2</f>
        <v>344064000</v>
      </c>
      <c r="C660" s="142"/>
      <c r="D660" s="142"/>
      <c r="E660" s="142"/>
      <c r="F660" s="142"/>
      <c r="G660" s="7"/>
      <c r="H660" s="106"/>
      <c r="I660" s="107" t="s">
        <v>281</v>
      </c>
      <c r="J660" s="108">
        <f>SUM(J662:J696)</f>
        <v>30.989583333333332</v>
      </c>
      <c r="K660" s="126">
        <f>SUM(K662:K697)</f>
        <v>0.88214285714285712</v>
      </c>
    </row>
    <row r="661" spans="1:11" ht="33" thickBot="1" x14ac:dyDescent="0.35">
      <c r="A661" s="109" t="s">
        <v>233</v>
      </c>
      <c r="B661" s="110" t="s">
        <v>234</v>
      </c>
      <c r="C661" s="110" t="s">
        <v>235</v>
      </c>
      <c r="D661" s="110" t="s">
        <v>236</v>
      </c>
      <c r="E661" s="110" t="s">
        <v>237</v>
      </c>
      <c r="F661" s="110" t="s">
        <v>238</v>
      </c>
      <c r="G661" s="111" t="s">
        <v>239</v>
      </c>
      <c r="H661" s="112" t="s">
        <v>240</v>
      </c>
      <c r="I661" s="113" t="s">
        <v>241</v>
      </c>
      <c r="J661" s="114" t="s">
        <v>242</v>
      </c>
      <c r="K661" s="115" t="s">
        <v>243</v>
      </c>
    </row>
    <row r="662" spans="1:11" x14ac:dyDescent="0.3">
      <c r="A662" s="116" t="s">
        <v>244</v>
      </c>
      <c r="B662" s="129">
        <f>'Free Spins Symbol'!$V$18</f>
        <v>100</v>
      </c>
      <c r="C662" s="129">
        <f>'Free Spins Symbol'!$W$18</f>
        <v>56</v>
      </c>
      <c r="D662" s="129">
        <f>'Free Spins Symbol'!$X$18</f>
        <v>40</v>
      </c>
      <c r="E662" s="117">
        <f>VLOOKUP(MID($A662,10,2),'Free Spins Symbol'!$T$2:$Z$29,6,0)</f>
        <v>0</v>
      </c>
      <c r="F662" s="117">
        <f>VLOOKUP(MID($A662,13,2),'Free Spins Symbol'!$T$2:$Z$29,7,0)</f>
        <v>0</v>
      </c>
      <c r="G662" s="100">
        <f>B662*C662*D662*E662*F662</f>
        <v>0</v>
      </c>
      <c r="H662" s="118" t="e">
        <f>B$2/G662</f>
        <v>#DIV/0!</v>
      </c>
      <c r="I662" s="100">
        <v>500</v>
      </c>
      <c r="J662" s="119">
        <f t="shared" ref="J662:J666" si="128">K662*I662</f>
        <v>0</v>
      </c>
      <c r="K662" s="120">
        <f>G662/B$2</f>
        <v>0</v>
      </c>
    </row>
    <row r="663" spans="1:11" x14ac:dyDescent="0.3">
      <c r="A663" s="116" t="s">
        <v>245</v>
      </c>
      <c r="B663" s="129">
        <f>'Free Spins Symbol'!$V$18</f>
        <v>100</v>
      </c>
      <c r="C663" s="129">
        <f>'Free Spins Symbol'!$W$18</f>
        <v>56</v>
      </c>
      <c r="D663" s="129">
        <f>'Free Spins Symbol'!$X$18</f>
        <v>40</v>
      </c>
      <c r="E663" s="117">
        <f>VLOOKUP(MID($A663,10,2),'Free Spins Symbol'!$T$2:$Z$29,6,0)</f>
        <v>1</v>
      </c>
      <c r="F663" s="117">
        <f>VLOOKUP(MID($A663,13,2),'Free Spins Symbol'!$T$2:$Z$29,7,0)</f>
        <v>1</v>
      </c>
      <c r="G663" s="100">
        <f>B663*C663*D663*E663*F663-G662</f>
        <v>224000</v>
      </c>
      <c r="H663" s="118">
        <f t="shared" ref="H663:H696" si="129">B$2/G663</f>
        <v>1536</v>
      </c>
      <c r="I663" s="100">
        <v>250</v>
      </c>
      <c r="J663" s="119">
        <f t="shared" si="128"/>
        <v>0.16276041666666666</v>
      </c>
      <c r="K663" s="120">
        <f t="shared" ref="K663:K666" si="130">G663/B$2</f>
        <v>6.5104166666666663E-4</v>
      </c>
    </row>
    <row r="664" spans="1:11" x14ac:dyDescent="0.3">
      <c r="A664" s="116" t="s">
        <v>246</v>
      </c>
      <c r="B664" s="129">
        <f>'Free Spins Symbol'!$V$18</f>
        <v>100</v>
      </c>
      <c r="C664" s="129">
        <f>'Free Spins Symbol'!$W$18</f>
        <v>56</v>
      </c>
      <c r="D664" s="129">
        <f>'Free Spins Symbol'!$X$18</f>
        <v>40</v>
      </c>
      <c r="E664" s="117">
        <f>VLOOKUP(MID($A664,10,2),'Free Spins Symbol'!$T$2:$Z$29,6,0)</f>
        <v>1</v>
      </c>
      <c r="F664" s="117">
        <f>VLOOKUP(MID($A664,13,2),'Free Spins Symbol'!$T$2:$Z$29,7,0)</f>
        <v>1</v>
      </c>
      <c r="G664" s="100">
        <f>B664*C664*D664*E664*F664-G662</f>
        <v>224000</v>
      </c>
      <c r="H664" s="118">
        <f t="shared" si="129"/>
        <v>1536</v>
      </c>
      <c r="I664" s="100">
        <v>250</v>
      </c>
      <c r="J664" s="119">
        <f t="shared" si="128"/>
        <v>0.16276041666666666</v>
      </c>
      <c r="K664" s="120">
        <f t="shared" si="130"/>
        <v>6.5104166666666663E-4</v>
      </c>
    </row>
    <row r="665" spans="1:11" x14ac:dyDescent="0.3">
      <c r="A665" s="116" t="s">
        <v>247</v>
      </c>
      <c r="B665" s="129">
        <f>'Free Spins Symbol'!$V$18</f>
        <v>100</v>
      </c>
      <c r="C665" s="129">
        <f>'Free Spins Symbol'!$W$18</f>
        <v>56</v>
      </c>
      <c r="D665" s="129">
        <f>'Free Spins Symbol'!$X$18</f>
        <v>40</v>
      </c>
      <c r="E665" s="117">
        <f>VLOOKUP(MID($A665,10,2),'Free Spins Symbol'!$T$2:$Z$29,6,0)</f>
        <v>1</v>
      </c>
      <c r="F665" s="117">
        <f>VLOOKUP(MID($A665,13,2),'Free Spins Symbol'!$T$2:$Z$29,7,0)</f>
        <v>5</v>
      </c>
      <c r="G665" s="100">
        <f>B665*C665*D665*E665*F665-G662</f>
        <v>1120000</v>
      </c>
      <c r="H665" s="118">
        <f t="shared" si="129"/>
        <v>307.2</v>
      </c>
      <c r="I665" s="100">
        <v>150</v>
      </c>
      <c r="J665" s="119">
        <f t="shared" si="128"/>
        <v>0.48828125</v>
      </c>
      <c r="K665" s="120">
        <f t="shared" si="130"/>
        <v>3.2552083333333335E-3</v>
      </c>
    </row>
    <row r="666" spans="1:11" x14ac:dyDescent="0.3">
      <c r="A666" s="116" t="s">
        <v>248</v>
      </c>
      <c r="B666" s="129">
        <f>'Free Spins Symbol'!$V$18</f>
        <v>100</v>
      </c>
      <c r="C666" s="129">
        <f>'Free Spins Symbol'!$W$18</f>
        <v>56</v>
      </c>
      <c r="D666" s="129">
        <f>'Free Spins Symbol'!$X$18</f>
        <v>40</v>
      </c>
      <c r="E666" s="117">
        <f>VLOOKUP(MID($A666,10,2),'Free Spins Symbol'!$T$2:$Z$29,6,0)</f>
        <v>1</v>
      </c>
      <c r="F666" s="117">
        <f>VLOOKUP(MID($A666,13,2),'Free Spins Symbol'!$T$2:$Z$29,7,0)</f>
        <v>5</v>
      </c>
      <c r="G666" s="100">
        <f>B666*C666*D666*E666*F666-G662</f>
        <v>1120000</v>
      </c>
      <c r="H666" s="118">
        <f t="shared" si="129"/>
        <v>307.2</v>
      </c>
      <c r="I666" s="100">
        <v>150</v>
      </c>
      <c r="J666" s="119">
        <f t="shared" si="128"/>
        <v>0.48828125</v>
      </c>
      <c r="K666" s="120">
        <f t="shared" si="130"/>
        <v>3.2552083333333335E-3</v>
      </c>
    </row>
    <row r="667" spans="1:11" x14ac:dyDescent="0.3">
      <c r="A667" s="116" t="s">
        <v>254</v>
      </c>
      <c r="B667" s="129">
        <f>'Free Spins Symbol'!$V$18</f>
        <v>100</v>
      </c>
      <c r="C667" s="129">
        <f>'Free Spins Symbol'!$W$18</f>
        <v>56</v>
      </c>
      <c r="D667" s="129">
        <f>'Free Spins Symbol'!$X$18</f>
        <v>40</v>
      </c>
      <c r="E667" s="117">
        <f>VLOOKUP(MID($A667,10,2),'Free Spins Symbol'!$T$2:$Z$29,6,0)</f>
        <v>0</v>
      </c>
      <c r="F667" s="117">
        <f>VLOOKUP(MID($A667,13,2),'Free Spins Symbol'!$T$2:$Z$29,7,0)</f>
        <v>48</v>
      </c>
      <c r="G667" s="100">
        <f>B667*C667*D667*E667*(F667-F666-F665-F664-F663+3*F662)</f>
        <v>0</v>
      </c>
      <c r="H667" s="118" t="e">
        <f t="shared" si="129"/>
        <v>#DIV/0!</v>
      </c>
      <c r="I667" s="100">
        <v>100</v>
      </c>
      <c r="J667" s="119">
        <f>K667*I667</f>
        <v>0</v>
      </c>
      <c r="K667" s="120">
        <f>G667/B$2</f>
        <v>0</v>
      </c>
    </row>
    <row r="668" spans="1:11" x14ac:dyDescent="0.3">
      <c r="A668" s="116" t="s">
        <v>249</v>
      </c>
      <c r="B668" s="129">
        <f>'Free Spins Symbol'!$V$18</f>
        <v>100</v>
      </c>
      <c r="C668" s="129">
        <f>'Free Spins Symbol'!$W$18</f>
        <v>56</v>
      </c>
      <c r="D668" s="129">
        <f>'Free Spins Symbol'!$X$18</f>
        <v>40</v>
      </c>
      <c r="E668" s="117">
        <f>VLOOKUP(MID($A668,10,2),'Free Spins Symbol'!$T$2:$Z$29,6,0)</f>
        <v>7</v>
      </c>
      <c r="F668" s="117">
        <f>VLOOKUP(MID($A668,13,2),'Free Spins Symbol'!$T$2:$Z$29,7,0)</f>
        <v>2</v>
      </c>
      <c r="G668" s="100">
        <f>B668*C668*D668*E668*F668-G662</f>
        <v>3136000</v>
      </c>
      <c r="H668" s="118">
        <f t="shared" si="129"/>
        <v>109.71428571428571</v>
      </c>
      <c r="I668" s="100">
        <v>100</v>
      </c>
      <c r="J668" s="119">
        <f t="shared" ref="J668:J676" si="131">K668*I668</f>
        <v>0.91145833333333337</v>
      </c>
      <c r="K668" s="120">
        <f t="shared" ref="K668:K676" si="132">G668/B$2</f>
        <v>9.1145833333333339E-3</v>
      </c>
    </row>
    <row r="669" spans="1:11" x14ac:dyDescent="0.3">
      <c r="A669" s="116" t="s">
        <v>250</v>
      </c>
      <c r="B669" s="129">
        <f>'Free Spins Symbol'!$V$18</f>
        <v>100</v>
      </c>
      <c r="C669" s="129">
        <f>'Free Spins Symbol'!$W$18</f>
        <v>56</v>
      </c>
      <c r="D669" s="129">
        <f>'Free Spins Symbol'!$X$18</f>
        <v>40</v>
      </c>
      <c r="E669" s="117">
        <f>VLOOKUP(MID($A669,10,2),'Free Spins Symbol'!$T$2:$Z$29,6,0)</f>
        <v>1</v>
      </c>
      <c r="F669" s="117">
        <f>VLOOKUP(MID($A669,13,2),'Free Spins Symbol'!$T$2:$Z$29,7,0)</f>
        <v>11</v>
      </c>
      <c r="G669" s="100">
        <f>B669*C669*D669*E669*F669-G662</f>
        <v>2464000</v>
      </c>
      <c r="H669" s="118">
        <f t="shared" si="129"/>
        <v>139.63636363636363</v>
      </c>
      <c r="I669" s="100">
        <v>100</v>
      </c>
      <c r="J669" s="119">
        <f t="shared" si="131"/>
        <v>0.71614583333333326</v>
      </c>
      <c r="K669" s="120">
        <f t="shared" si="132"/>
        <v>7.161458333333333E-3</v>
      </c>
    </row>
    <row r="670" spans="1:11" x14ac:dyDescent="0.3">
      <c r="A670" s="116" t="s">
        <v>251</v>
      </c>
      <c r="B670" s="129">
        <f>'Free Spins Symbol'!$V$18</f>
        <v>100</v>
      </c>
      <c r="C670" s="129">
        <f>'Free Spins Symbol'!$W$18</f>
        <v>56</v>
      </c>
      <c r="D670" s="129">
        <f>'Free Spins Symbol'!$X$18</f>
        <v>40</v>
      </c>
      <c r="E670" s="117">
        <f>VLOOKUP(MID($A670,10,2),'Free Spins Symbol'!$T$2:$Z$29,6,0)</f>
        <v>1</v>
      </c>
      <c r="F670" s="117">
        <f>VLOOKUP(MID($A670,13,2),'Free Spins Symbol'!$T$2:$Z$29,7,0)</f>
        <v>1</v>
      </c>
      <c r="G670" s="100">
        <f>B670*C670*D670*E670*F670-G662</f>
        <v>224000</v>
      </c>
      <c r="H670" s="118">
        <f t="shared" si="129"/>
        <v>1536</v>
      </c>
      <c r="I670" s="100">
        <v>100</v>
      </c>
      <c r="J670" s="119">
        <f t="shared" si="131"/>
        <v>6.5104166666666657E-2</v>
      </c>
      <c r="K670" s="120">
        <f t="shared" si="132"/>
        <v>6.5104166666666663E-4</v>
      </c>
    </row>
    <row r="671" spans="1:11" x14ac:dyDescent="0.3">
      <c r="A671" s="116" t="s">
        <v>252</v>
      </c>
      <c r="B671" s="129">
        <f>'Free Spins Symbol'!$V$18</f>
        <v>100</v>
      </c>
      <c r="C671" s="129">
        <f>'Free Spins Symbol'!$W$18</f>
        <v>56</v>
      </c>
      <c r="D671" s="129">
        <f>'Free Spins Symbol'!$X$18</f>
        <v>40</v>
      </c>
      <c r="E671" s="117">
        <f>VLOOKUP(MID($A671,10,2),'Free Spins Symbol'!$T$2:$Z$29,6,0)</f>
        <v>8</v>
      </c>
      <c r="F671" s="117">
        <f>VLOOKUP(MID($A671,13,2),'Free Spins Symbol'!$T$2:$Z$29,7,0)</f>
        <v>11</v>
      </c>
      <c r="G671" s="100">
        <f>(B671*C671*D671*E671-B667*C667*D667*E667)*F671</f>
        <v>19712000</v>
      </c>
      <c r="H671" s="118">
        <f t="shared" si="129"/>
        <v>17.454545454545453</v>
      </c>
      <c r="I671" s="100">
        <v>100</v>
      </c>
      <c r="J671" s="119">
        <f t="shared" si="131"/>
        <v>5.7291666666666661</v>
      </c>
      <c r="K671" s="120">
        <f t="shared" si="132"/>
        <v>5.7291666666666664E-2</v>
      </c>
    </row>
    <row r="672" spans="1:11" x14ac:dyDescent="0.3">
      <c r="A672" s="116" t="s">
        <v>253</v>
      </c>
      <c r="B672" s="129">
        <f>'Free Spins Symbol'!$V$18</f>
        <v>100</v>
      </c>
      <c r="C672" s="129">
        <f>'Free Spins Symbol'!$W$18</f>
        <v>56</v>
      </c>
      <c r="D672" s="129">
        <f>'Free Spins Symbol'!$X$18</f>
        <v>40</v>
      </c>
      <c r="E672" s="117">
        <f>VLOOKUP(MID($A672,10,2),'Free Spins Symbol'!$T$2:$Z$29,6,0)</f>
        <v>7</v>
      </c>
      <c r="F672" s="117">
        <f>VLOOKUP(MID($A672,13,2),'Free Spins Symbol'!$T$2:$Z$29,7,0)</f>
        <v>11</v>
      </c>
      <c r="G672" s="100">
        <f>B672*C672*D672*E672*F672-G662</f>
        <v>17248000</v>
      </c>
      <c r="H672" s="118">
        <f t="shared" si="129"/>
        <v>19.948051948051948</v>
      </c>
      <c r="I672" s="100">
        <v>100</v>
      </c>
      <c r="J672" s="119">
        <f t="shared" si="131"/>
        <v>5.0130208333333339</v>
      </c>
      <c r="K672" s="120">
        <f t="shared" si="132"/>
        <v>5.0130208333333336E-2</v>
      </c>
    </row>
    <row r="673" spans="1:11" x14ac:dyDescent="0.3">
      <c r="A673" s="116" t="s">
        <v>255</v>
      </c>
      <c r="B673" s="129">
        <f>'Free Spins Symbol'!$V$18</f>
        <v>100</v>
      </c>
      <c r="C673" s="129">
        <f>'Free Spins Symbol'!$W$18</f>
        <v>56</v>
      </c>
      <c r="D673" s="129">
        <f>'Free Spins Symbol'!$X$18</f>
        <v>40</v>
      </c>
      <c r="E673" s="117">
        <f>VLOOKUP(MID($A673,10,2),'Free Spins Symbol'!$T$2:$Z$29,6,0)</f>
        <v>1</v>
      </c>
      <c r="F673" s="117">
        <f>VLOOKUP(MID($A673,13,2),'Free Spins Symbol'!$T$2:$Z$29,7,0)</f>
        <v>48</v>
      </c>
      <c r="G673" s="100">
        <f>(B673*C673*D673*E673-B667*C667*D667*E667)*(F673-F663)</f>
        <v>10528000</v>
      </c>
      <c r="H673" s="118">
        <f t="shared" si="129"/>
        <v>32.680851063829785</v>
      </c>
      <c r="I673" s="100">
        <v>50</v>
      </c>
      <c r="J673" s="119">
        <f t="shared" si="131"/>
        <v>1.5299479166666665</v>
      </c>
      <c r="K673" s="120">
        <f t="shared" si="132"/>
        <v>3.0598958333333332E-2</v>
      </c>
    </row>
    <row r="674" spans="1:11" x14ac:dyDescent="0.3">
      <c r="A674" s="116" t="s">
        <v>256</v>
      </c>
      <c r="B674" s="129">
        <f>'Free Spins Symbol'!$V$18</f>
        <v>100</v>
      </c>
      <c r="C674" s="129">
        <f>'Free Spins Symbol'!$W$18</f>
        <v>56</v>
      </c>
      <c r="D674" s="129">
        <f>'Free Spins Symbol'!$X$18</f>
        <v>40</v>
      </c>
      <c r="E674" s="117">
        <f>VLOOKUP(MID($A674,10,2),'Free Spins Symbol'!$T$2:$Z$29,6,0)</f>
        <v>1</v>
      </c>
      <c r="F674" s="117">
        <f>VLOOKUP(MID($A674,13,2),'Free Spins Symbol'!$T$2:$Z$29,7,0)</f>
        <v>48</v>
      </c>
      <c r="G674" s="100">
        <f>(B674*C674*D674*E674-B667*C667*D667*E667)*(F674-F664)</f>
        <v>10528000</v>
      </c>
      <c r="H674" s="118">
        <f t="shared" si="129"/>
        <v>32.680851063829785</v>
      </c>
      <c r="I674" s="100">
        <v>50</v>
      </c>
      <c r="J674" s="119">
        <f t="shared" si="131"/>
        <v>1.5299479166666665</v>
      </c>
      <c r="K674" s="120">
        <f t="shared" si="132"/>
        <v>3.0598958333333332E-2</v>
      </c>
    </row>
    <row r="675" spans="1:11" x14ac:dyDescent="0.3">
      <c r="A675" s="116" t="s">
        <v>257</v>
      </c>
      <c r="B675" s="129">
        <f>'Free Spins Symbol'!$V$18</f>
        <v>100</v>
      </c>
      <c r="C675" s="129">
        <f>'Free Spins Symbol'!$W$18</f>
        <v>56</v>
      </c>
      <c r="D675" s="129">
        <f>'Free Spins Symbol'!$X$18</f>
        <v>40</v>
      </c>
      <c r="E675" s="117">
        <f>VLOOKUP(MID($A675,10,2),'Free Spins Symbol'!$T$2:$Z$29,6,0)</f>
        <v>1</v>
      </c>
      <c r="F675" s="117">
        <f>VLOOKUP(MID($A675,13,2),'Free Spins Symbol'!$T$2:$Z$29,7,0)</f>
        <v>48</v>
      </c>
      <c r="G675" s="100">
        <f>(B675*C675*D675*E675-B667*C667*D667*E667)*(F675-F665)</f>
        <v>9632000</v>
      </c>
      <c r="H675" s="118">
        <f t="shared" si="129"/>
        <v>35.720930232558139</v>
      </c>
      <c r="I675" s="100">
        <v>30</v>
      </c>
      <c r="J675" s="119">
        <f t="shared" si="131"/>
        <v>0.83984375</v>
      </c>
      <c r="K675" s="120">
        <f t="shared" si="132"/>
        <v>2.7994791666666668E-2</v>
      </c>
    </row>
    <row r="676" spans="1:11" x14ac:dyDescent="0.3">
      <c r="A676" s="116" t="s">
        <v>258</v>
      </c>
      <c r="B676" s="129">
        <f>'Free Spins Symbol'!$V$18</f>
        <v>100</v>
      </c>
      <c r="C676" s="129">
        <f>'Free Spins Symbol'!$W$18</f>
        <v>56</v>
      </c>
      <c r="D676" s="129">
        <f>'Free Spins Symbol'!$X$18</f>
        <v>40</v>
      </c>
      <c r="E676" s="117">
        <f>VLOOKUP(MID($A676,10,2),'Free Spins Symbol'!$T$2:$Z$29,6,0)</f>
        <v>1</v>
      </c>
      <c r="F676" s="117">
        <f>VLOOKUP(MID($A676,13,2),'Free Spins Symbol'!$T$2:$Z$29,7,0)</f>
        <v>48</v>
      </c>
      <c r="G676" s="100">
        <f>(B676*C676*D676*E676-B667*C667*D667*E667)*(F676-F666)</f>
        <v>9632000</v>
      </c>
      <c r="H676" s="118">
        <f t="shared" si="129"/>
        <v>35.720930232558139</v>
      </c>
      <c r="I676" s="100">
        <v>30</v>
      </c>
      <c r="J676" s="119">
        <f t="shared" si="131"/>
        <v>0.83984375</v>
      </c>
      <c r="K676" s="120">
        <f t="shared" si="132"/>
        <v>2.7994791666666668E-2</v>
      </c>
    </row>
    <row r="677" spans="1:11" x14ac:dyDescent="0.3">
      <c r="A677" s="116" t="s">
        <v>264</v>
      </c>
      <c r="B677" s="129">
        <f>'Free Spins Symbol'!$V$18</f>
        <v>100</v>
      </c>
      <c r="C677" s="129">
        <f>'Free Spins Symbol'!$W$18</f>
        <v>56</v>
      </c>
      <c r="D677" s="129">
        <f>'Free Spins Symbol'!$X$18</f>
        <v>40</v>
      </c>
      <c r="E677" s="117">
        <f>VLOOKUP(MID($A677,10,2),'Free Spins Symbol'!$T$2:$Z$29,6,0)</f>
        <v>32</v>
      </c>
      <c r="F677" s="117">
        <f>VLOOKUP(MID($A677,13,2),'Free Spins Symbol'!$T$2:$Z$29,7,0)</f>
        <v>48</v>
      </c>
      <c r="G677" s="100">
        <v>0</v>
      </c>
      <c r="H677" s="118" t="e">
        <f t="shared" si="129"/>
        <v>#DIV/0!</v>
      </c>
      <c r="I677" s="100">
        <v>20</v>
      </c>
      <c r="J677" s="119">
        <f>K677*I677</f>
        <v>0</v>
      </c>
      <c r="K677" s="120">
        <f>G677/B$2</f>
        <v>0</v>
      </c>
    </row>
    <row r="678" spans="1:11" x14ac:dyDescent="0.3">
      <c r="A678" s="116" t="s">
        <v>259</v>
      </c>
      <c r="B678" s="129">
        <f>'Free Spins Symbol'!$V$18</f>
        <v>100</v>
      </c>
      <c r="C678" s="129">
        <f>'Free Spins Symbol'!$W$18</f>
        <v>56</v>
      </c>
      <c r="D678" s="129">
        <f>'Free Spins Symbol'!$X$18</f>
        <v>40</v>
      </c>
      <c r="E678" s="117">
        <f>VLOOKUP(MID($A678,10,2),'Free Spins Symbol'!$T$2:$Z$29,6,0)</f>
        <v>7</v>
      </c>
      <c r="F678" s="117">
        <f>VLOOKUP(MID($A678,13,2),'Free Spins Symbol'!$T$2:$Z$29,7,0)</f>
        <v>48</v>
      </c>
      <c r="G678" s="100">
        <f>(B678*C678*D678*E678-B667*C667*D667*E667)*(F678-F668)</f>
        <v>72128000</v>
      </c>
      <c r="H678" s="118">
        <f t="shared" si="129"/>
        <v>4.7701863354037268</v>
      </c>
      <c r="I678" s="100">
        <v>20</v>
      </c>
      <c r="J678" s="119">
        <f t="shared" ref="J678:J697" si="133">K678*I678</f>
        <v>4.192708333333333</v>
      </c>
      <c r="K678" s="120">
        <f t="shared" ref="K678:K697" si="134">G678/B$2</f>
        <v>0.20963541666666666</v>
      </c>
    </row>
    <row r="679" spans="1:11" x14ac:dyDescent="0.3">
      <c r="A679" s="116" t="s">
        <v>260</v>
      </c>
      <c r="B679" s="129">
        <f>'Free Spins Symbol'!$V$18</f>
        <v>100</v>
      </c>
      <c r="C679" s="129">
        <f>'Free Spins Symbol'!$W$18</f>
        <v>56</v>
      </c>
      <c r="D679" s="129">
        <f>'Free Spins Symbol'!$X$18</f>
        <v>40</v>
      </c>
      <c r="E679" s="117">
        <f>VLOOKUP(MID($A679,10,2),'Free Spins Symbol'!$T$2:$Z$29,6,0)</f>
        <v>1</v>
      </c>
      <c r="F679" s="117">
        <f>VLOOKUP(MID($A679,13,2),'Free Spins Symbol'!$T$2:$Z$29,7,0)</f>
        <v>48</v>
      </c>
      <c r="G679" s="100">
        <f>(B679*C679*D679*E679-B667*C667*D667*E667)*(F679-F669)</f>
        <v>8288000</v>
      </c>
      <c r="H679" s="118">
        <f t="shared" si="129"/>
        <v>41.513513513513516</v>
      </c>
      <c r="I679" s="100">
        <v>20</v>
      </c>
      <c r="J679" s="119">
        <f t="shared" si="133"/>
        <v>0.48177083333333337</v>
      </c>
      <c r="K679" s="120">
        <f t="shared" si="134"/>
        <v>2.4088541666666668E-2</v>
      </c>
    </row>
    <row r="680" spans="1:11" x14ac:dyDescent="0.3">
      <c r="A680" s="116" t="s">
        <v>261</v>
      </c>
      <c r="B680" s="129">
        <f>'Free Spins Symbol'!$V$18</f>
        <v>100</v>
      </c>
      <c r="C680" s="129">
        <f>'Free Spins Symbol'!$W$18</f>
        <v>56</v>
      </c>
      <c r="D680" s="129">
        <f>'Free Spins Symbol'!$X$18</f>
        <v>40</v>
      </c>
      <c r="E680" s="117">
        <f>VLOOKUP(MID($A680,10,2),'Free Spins Symbol'!$T$2:$Z$29,6,0)</f>
        <v>1</v>
      </c>
      <c r="F680" s="117">
        <f>VLOOKUP(MID($A680,13,2),'Free Spins Symbol'!$T$2:$Z$29,7,0)</f>
        <v>48</v>
      </c>
      <c r="G680" s="100">
        <f>(B680*C680*D680*E680-B667*C667*D667*E667)*(F680-F670)</f>
        <v>10528000</v>
      </c>
      <c r="H680" s="118">
        <f t="shared" si="129"/>
        <v>32.680851063829785</v>
      </c>
      <c r="I680" s="100">
        <v>20</v>
      </c>
      <c r="J680" s="119">
        <f t="shared" si="133"/>
        <v>0.61197916666666663</v>
      </c>
      <c r="K680" s="120">
        <f t="shared" si="134"/>
        <v>3.0598958333333332E-2</v>
      </c>
    </row>
    <row r="681" spans="1:11" x14ac:dyDescent="0.3">
      <c r="A681" s="116" t="s">
        <v>262</v>
      </c>
      <c r="B681" s="129">
        <f>'Free Spins Symbol'!$V$18</f>
        <v>100</v>
      </c>
      <c r="C681" s="129">
        <f>'Free Spins Symbol'!$W$18</f>
        <v>56</v>
      </c>
      <c r="D681" s="129">
        <f>'Free Spins Symbol'!$X$18</f>
        <v>40</v>
      </c>
      <c r="E681" s="117">
        <f>VLOOKUP(MID($A681,10,2),'Free Spins Symbol'!$T$2:$Z$29,6,0)</f>
        <v>8</v>
      </c>
      <c r="F681" s="117">
        <f>VLOOKUP(MID($A681,13,2),'Free Spins Symbol'!$T$2:$Z$29,7,0)</f>
        <v>48</v>
      </c>
      <c r="G681" s="100">
        <f>(B681*C681*D681*E681-B667*C667*D667*E667)*(F681-F671)</f>
        <v>66304000</v>
      </c>
      <c r="H681" s="118">
        <f t="shared" si="129"/>
        <v>5.1891891891891895</v>
      </c>
      <c r="I681" s="100">
        <v>20</v>
      </c>
      <c r="J681" s="119">
        <f t="shared" si="133"/>
        <v>3.854166666666667</v>
      </c>
      <c r="K681" s="120">
        <f t="shared" si="134"/>
        <v>0.19270833333333334</v>
      </c>
    </row>
    <row r="682" spans="1:11" x14ac:dyDescent="0.3">
      <c r="A682" s="116" t="s">
        <v>263</v>
      </c>
      <c r="B682" s="129">
        <f>'Free Spins Symbol'!$V$18</f>
        <v>100</v>
      </c>
      <c r="C682" s="129">
        <f>'Free Spins Symbol'!$W$18</f>
        <v>56</v>
      </c>
      <c r="D682" s="129">
        <f>'Free Spins Symbol'!$X$18</f>
        <v>40</v>
      </c>
      <c r="E682" s="117">
        <f>VLOOKUP(MID($A682,10,2),'Free Spins Symbol'!$T$2:$Z$29,6,0)</f>
        <v>7</v>
      </c>
      <c r="F682" s="117">
        <f>VLOOKUP(MID($A682,13,2),'Free Spins Symbol'!$T$2:$Z$29,7,0)</f>
        <v>48</v>
      </c>
      <c r="G682" s="100">
        <f>(B682*C682*D682*E682-B667*C667*D667*E667)*(F682-F672)</f>
        <v>58016000</v>
      </c>
      <c r="H682" s="118">
        <f t="shared" si="129"/>
        <v>5.9305019305019302</v>
      </c>
      <c r="I682" s="100">
        <v>20</v>
      </c>
      <c r="J682" s="119">
        <f t="shared" si="133"/>
        <v>3.372395833333333</v>
      </c>
      <c r="K682" s="120">
        <f t="shared" si="134"/>
        <v>0.16861979166666666</v>
      </c>
    </row>
    <row r="683" spans="1:11" x14ac:dyDescent="0.3">
      <c r="A683" s="116" t="s">
        <v>265</v>
      </c>
      <c r="B683" s="129">
        <f>'Free Spins Symbol'!$V$18</f>
        <v>100</v>
      </c>
      <c r="C683" s="129">
        <f>'Free Spins Symbol'!$W$18</f>
        <v>56</v>
      </c>
      <c r="D683" s="129">
        <f>'Free Spins Symbol'!$X$18</f>
        <v>40</v>
      </c>
      <c r="E683" s="117">
        <f>VLOOKUP(MID($A683,10,2),'Free Spins Symbol'!$T$2:$Z$29,6,0)</f>
        <v>32</v>
      </c>
      <c r="F683" s="117">
        <f>VLOOKUP(MID($A683,13,2),'Free Spins Symbol'!$T$2:$Z$29,7,0)</f>
        <v>48</v>
      </c>
      <c r="G683" s="100">
        <f>(B683*C683*D683-B677*C677*D677)*(E683-E673)*F683</f>
        <v>0</v>
      </c>
      <c r="H683" s="118" t="e">
        <f t="shared" si="129"/>
        <v>#DIV/0!</v>
      </c>
      <c r="I683" s="100">
        <v>20</v>
      </c>
      <c r="J683" s="119">
        <f t="shared" si="133"/>
        <v>0</v>
      </c>
      <c r="K683" s="120">
        <f t="shared" si="134"/>
        <v>0</v>
      </c>
    </row>
    <row r="684" spans="1:11" x14ac:dyDescent="0.3">
      <c r="A684" s="116" t="s">
        <v>266</v>
      </c>
      <c r="B684" s="129">
        <f>'Free Spins Symbol'!$V$18</f>
        <v>100</v>
      </c>
      <c r="C684" s="129">
        <f>'Free Spins Symbol'!$W$18</f>
        <v>56</v>
      </c>
      <c r="D684" s="129">
        <f>'Free Spins Symbol'!$X$18</f>
        <v>40</v>
      </c>
      <c r="E684" s="117">
        <f>VLOOKUP(MID($A684,10,2),'Free Spins Symbol'!$T$2:$Z$29,6,0)</f>
        <v>32</v>
      </c>
      <c r="F684" s="117">
        <f>VLOOKUP(MID($A684,13,2),'Free Spins Symbol'!$T$2:$Z$29,7,0)</f>
        <v>48</v>
      </c>
      <c r="G684" s="100">
        <f>(B684*C684*D684-B677*C677*D677)*(E684-E674)*F684</f>
        <v>0</v>
      </c>
      <c r="H684" s="118" t="e">
        <f t="shared" si="129"/>
        <v>#DIV/0!</v>
      </c>
      <c r="I684" s="100">
        <v>20</v>
      </c>
      <c r="J684" s="119">
        <f t="shared" si="133"/>
        <v>0</v>
      </c>
      <c r="K684" s="120">
        <f t="shared" si="134"/>
        <v>0</v>
      </c>
    </row>
    <row r="685" spans="1:11" x14ac:dyDescent="0.3">
      <c r="A685" s="116" t="s">
        <v>267</v>
      </c>
      <c r="B685" s="129">
        <f>'Free Spins Symbol'!$V$18</f>
        <v>100</v>
      </c>
      <c r="C685" s="129">
        <f>'Free Spins Symbol'!$W$18</f>
        <v>56</v>
      </c>
      <c r="D685" s="129">
        <f>'Free Spins Symbol'!$X$18</f>
        <v>40</v>
      </c>
      <c r="E685" s="117">
        <f>VLOOKUP(MID($A685,10,2),'Free Spins Symbol'!$T$2:$Z$29,6,0)</f>
        <v>32</v>
      </c>
      <c r="F685" s="117">
        <f>VLOOKUP(MID($A685,13,2),'Free Spins Symbol'!$T$2:$Z$29,7,0)</f>
        <v>48</v>
      </c>
      <c r="G685" s="100">
        <f>(B685*C685*D685-B677*C677*D677)*(E685-E675)*F685</f>
        <v>0</v>
      </c>
      <c r="H685" s="118" t="e">
        <f t="shared" si="129"/>
        <v>#DIV/0!</v>
      </c>
      <c r="I685" s="100">
        <v>10</v>
      </c>
      <c r="J685" s="119">
        <f t="shared" si="133"/>
        <v>0</v>
      </c>
      <c r="K685" s="120">
        <f t="shared" si="134"/>
        <v>0</v>
      </c>
    </row>
    <row r="686" spans="1:11" x14ac:dyDescent="0.3">
      <c r="A686" s="116" t="s">
        <v>268</v>
      </c>
      <c r="B686" s="129">
        <f>'Free Spins Symbol'!$V$18</f>
        <v>100</v>
      </c>
      <c r="C686" s="129">
        <f>'Free Spins Symbol'!$W$18</f>
        <v>56</v>
      </c>
      <c r="D686" s="129">
        <f>'Free Spins Symbol'!$X$18</f>
        <v>40</v>
      </c>
      <c r="E686" s="117">
        <f>VLOOKUP(MID($A686,10,2),'Free Spins Symbol'!$T$2:$Z$29,6,0)</f>
        <v>32</v>
      </c>
      <c r="F686" s="117">
        <f>VLOOKUP(MID($A686,13,2),'Free Spins Symbol'!$T$2:$Z$29,7,0)</f>
        <v>48</v>
      </c>
      <c r="G686" s="100">
        <f>(B686*C686*D686-B677*C677*D677)*(E686-E676)*F686</f>
        <v>0</v>
      </c>
      <c r="H686" s="118" t="e">
        <f t="shared" si="129"/>
        <v>#DIV/0!</v>
      </c>
      <c r="I686" s="100">
        <v>10</v>
      </c>
      <c r="J686" s="119">
        <f t="shared" si="133"/>
        <v>0</v>
      </c>
      <c r="K686" s="120">
        <f t="shared" si="134"/>
        <v>0</v>
      </c>
    </row>
    <row r="687" spans="1:11" x14ac:dyDescent="0.3">
      <c r="A687" s="116" t="s">
        <v>269</v>
      </c>
      <c r="B687" s="129">
        <f>'Free Spins Symbol'!$V$18</f>
        <v>100</v>
      </c>
      <c r="C687" s="129">
        <f>'Free Spins Symbol'!$W$18</f>
        <v>56</v>
      </c>
      <c r="D687" s="129">
        <f>'Free Spins Symbol'!$X$18</f>
        <v>40</v>
      </c>
      <c r="E687" s="117">
        <f>VLOOKUP(MID($A687,10,2),'Free Spins Symbol'!$T$2:$Z$29,6,0)</f>
        <v>32</v>
      </c>
      <c r="F687" s="117">
        <f>VLOOKUP(MID($A687,13,2),'Free Spins Symbol'!$T$2:$Z$29,7,0)</f>
        <v>48</v>
      </c>
      <c r="G687" s="100">
        <f>(B687*C687*D687-B677*C677*D677)*(E687-E678)*F687</f>
        <v>0</v>
      </c>
      <c r="H687" s="118" t="e">
        <f t="shared" si="129"/>
        <v>#DIV/0!</v>
      </c>
      <c r="I687" s="100">
        <v>5</v>
      </c>
      <c r="J687" s="119">
        <f t="shared" si="133"/>
        <v>0</v>
      </c>
      <c r="K687" s="120">
        <f t="shared" si="134"/>
        <v>0</v>
      </c>
    </row>
    <row r="688" spans="1:11" x14ac:dyDescent="0.3">
      <c r="A688" s="116" t="s">
        <v>270</v>
      </c>
      <c r="B688" s="129">
        <f>'Free Spins Symbol'!$V$18</f>
        <v>100</v>
      </c>
      <c r="C688" s="129">
        <f>'Free Spins Symbol'!$W$18</f>
        <v>56</v>
      </c>
      <c r="D688" s="129">
        <f>'Free Spins Symbol'!$X$18</f>
        <v>40</v>
      </c>
      <c r="E688" s="117">
        <f>VLOOKUP(MID($A688,10,2),'Free Spins Symbol'!$T$2:$Z$29,6,0)</f>
        <v>32</v>
      </c>
      <c r="F688" s="117">
        <f>VLOOKUP(MID($A688,13,2),'Free Spins Symbol'!$T$2:$Z$29,7,0)</f>
        <v>48</v>
      </c>
      <c r="G688" s="100">
        <f>(B688*C688*D688-B677*C677*D677)*(E688-E679)*F688</f>
        <v>0</v>
      </c>
      <c r="H688" s="118" t="e">
        <f t="shared" si="129"/>
        <v>#DIV/0!</v>
      </c>
      <c r="I688" s="100">
        <v>5</v>
      </c>
      <c r="J688" s="119">
        <f t="shared" si="133"/>
        <v>0</v>
      </c>
      <c r="K688" s="120">
        <f t="shared" si="134"/>
        <v>0</v>
      </c>
    </row>
    <row r="689" spans="1:13" x14ac:dyDescent="0.3">
      <c r="A689" s="116" t="s">
        <v>271</v>
      </c>
      <c r="B689" s="129">
        <f>'Free Spins Symbol'!$V$18</f>
        <v>100</v>
      </c>
      <c r="C689" s="129">
        <f>'Free Spins Symbol'!$W$18</f>
        <v>56</v>
      </c>
      <c r="D689" s="129">
        <f>'Free Spins Symbol'!$X$18</f>
        <v>40</v>
      </c>
      <c r="E689" s="117">
        <f>VLOOKUP(MID($A689,10,2),'Free Spins Symbol'!$T$2:$Z$29,6,0)</f>
        <v>32</v>
      </c>
      <c r="F689" s="117">
        <f>VLOOKUP(MID($A689,13,2),'Free Spins Symbol'!$T$2:$Z$29,7,0)</f>
        <v>48</v>
      </c>
      <c r="G689" s="100">
        <f>(B689*C689*D689-B677*C677*D677)*(E689-E680)*F689</f>
        <v>0</v>
      </c>
      <c r="H689" s="118" t="e">
        <f t="shared" si="129"/>
        <v>#DIV/0!</v>
      </c>
      <c r="I689" s="100">
        <v>5</v>
      </c>
      <c r="J689" s="119">
        <f t="shared" si="133"/>
        <v>0</v>
      </c>
      <c r="K689" s="120">
        <f t="shared" si="134"/>
        <v>0</v>
      </c>
    </row>
    <row r="690" spans="1:13" x14ac:dyDescent="0.3">
      <c r="A690" s="116" t="s">
        <v>272</v>
      </c>
      <c r="B690" s="129">
        <f>'Free Spins Symbol'!$V$18</f>
        <v>100</v>
      </c>
      <c r="C690" s="129">
        <f>'Free Spins Symbol'!$W$18</f>
        <v>56</v>
      </c>
      <c r="D690" s="129">
        <f>'Free Spins Symbol'!$X$18</f>
        <v>40</v>
      </c>
      <c r="E690" s="117">
        <f>VLOOKUP(MID($A690,10,2),'Free Spins Symbol'!$T$2:$Z$29,6,0)</f>
        <v>32</v>
      </c>
      <c r="F690" s="117">
        <f>VLOOKUP(MID($A690,13,2),'Free Spins Symbol'!$T$2:$Z$29,7,0)</f>
        <v>48</v>
      </c>
      <c r="G690" s="100">
        <f>(B690*C690*D690-B677*C677*D677)*(E690-E681)*F690</f>
        <v>0</v>
      </c>
      <c r="H690" s="118" t="e">
        <f t="shared" si="129"/>
        <v>#DIV/0!</v>
      </c>
      <c r="I690" s="100">
        <v>5</v>
      </c>
      <c r="J690" s="119">
        <f t="shared" si="133"/>
        <v>0</v>
      </c>
      <c r="K690" s="120">
        <f t="shared" si="134"/>
        <v>0</v>
      </c>
    </row>
    <row r="691" spans="1:13" x14ac:dyDescent="0.3">
      <c r="A691" s="116" t="s">
        <v>273</v>
      </c>
      <c r="B691" s="129">
        <f>'Free Spins Symbol'!$V$18</f>
        <v>100</v>
      </c>
      <c r="C691" s="129">
        <f>'Free Spins Symbol'!$W$18</f>
        <v>56</v>
      </c>
      <c r="D691" s="129">
        <f>'Free Spins Symbol'!$X$18</f>
        <v>40</v>
      </c>
      <c r="E691" s="117">
        <f>VLOOKUP(MID($A691,10,2),'Free Spins Symbol'!$T$2:$Z$29,6,0)</f>
        <v>32</v>
      </c>
      <c r="F691" s="117">
        <f>VLOOKUP(MID($A691,13,2),'Free Spins Symbol'!$T$2:$Z$29,7,0)</f>
        <v>48</v>
      </c>
      <c r="G691" s="100">
        <f>(B691*C691*D691-B677*C677*D677)*(E691-E682)*F691</f>
        <v>0</v>
      </c>
      <c r="H691" s="118" t="e">
        <f t="shared" si="129"/>
        <v>#DIV/0!</v>
      </c>
      <c r="I691" s="100">
        <v>5</v>
      </c>
      <c r="J691" s="119">
        <f t="shared" si="133"/>
        <v>0</v>
      </c>
      <c r="K691" s="120">
        <f t="shared" si="134"/>
        <v>0</v>
      </c>
    </row>
    <row r="692" spans="1:13" x14ac:dyDescent="0.3">
      <c r="A692" s="116" t="s">
        <v>274</v>
      </c>
      <c r="B692" s="129">
        <f>'Free Spins Symbol'!$V$18</f>
        <v>100</v>
      </c>
      <c r="C692" s="129">
        <f>'Free Spins Symbol'!$W$18</f>
        <v>56</v>
      </c>
      <c r="D692" s="129">
        <f>'Free Spins Symbol'!$X$18</f>
        <v>40</v>
      </c>
      <c r="E692" s="117">
        <f>VLOOKUP(MID($A692,10,2),'Free Spins Symbol'!$T$2:$Z$29,6,0)</f>
        <v>32</v>
      </c>
      <c r="F692" s="117">
        <f>VLOOKUP(MID($A692,13,2),'Free Spins Symbol'!$T$2:$Z$29,7,0)</f>
        <v>48</v>
      </c>
      <c r="G692" s="100">
        <f>B692*C692*(D692-D691-D690-D689-D688-D687-D686-D685-D684-D683+8*D677)*E692*F692</f>
        <v>0</v>
      </c>
      <c r="H692" s="118" t="e">
        <f t="shared" si="129"/>
        <v>#DIV/0!</v>
      </c>
      <c r="I692" s="100">
        <v>5</v>
      </c>
      <c r="J692" s="119">
        <f t="shared" si="133"/>
        <v>0</v>
      </c>
      <c r="K692" s="120">
        <f t="shared" si="134"/>
        <v>0</v>
      </c>
    </row>
    <row r="693" spans="1:13" x14ac:dyDescent="0.3">
      <c r="A693" s="116" t="s">
        <v>275</v>
      </c>
      <c r="B693" s="129">
        <f>'Free Spins Symbol'!$V$18</f>
        <v>100</v>
      </c>
      <c r="C693" s="129">
        <f>'Free Spins Symbol'!$W$18</f>
        <v>56</v>
      </c>
      <c r="D693" s="129">
        <f>'Free Spins Symbol'!$X$18</f>
        <v>40</v>
      </c>
      <c r="E693" s="117">
        <f>VLOOKUP(MID($A693,10,2),'Free Spins Symbol'!$T$2:$Z$29,6,0)</f>
        <v>32</v>
      </c>
      <c r="F693" s="117">
        <f>VLOOKUP(MID($A693,13,2),'Free Spins Symbol'!$T$2:$Z$29,7,0)</f>
        <v>48</v>
      </c>
      <c r="G693" s="100">
        <f>(B693*C693-B692*C692)*(D693-D683)*E693*F693</f>
        <v>0</v>
      </c>
      <c r="H693" s="118" t="e">
        <f t="shared" si="129"/>
        <v>#DIV/0!</v>
      </c>
      <c r="I693" s="100">
        <v>5</v>
      </c>
      <c r="J693" s="119">
        <f t="shared" si="133"/>
        <v>0</v>
      </c>
      <c r="K693" s="120">
        <f t="shared" si="134"/>
        <v>0</v>
      </c>
    </row>
    <row r="694" spans="1:13" x14ac:dyDescent="0.3">
      <c r="A694" s="116" t="s">
        <v>276</v>
      </c>
      <c r="B694" s="129">
        <f>'Free Spins Symbol'!$V$18</f>
        <v>100</v>
      </c>
      <c r="C694" s="129">
        <f>'Free Spins Symbol'!$W$18</f>
        <v>56</v>
      </c>
      <c r="D694" s="129">
        <f>'Free Spins Symbol'!$X$18</f>
        <v>40</v>
      </c>
      <c r="E694" s="117">
        <f>VLOOKUP(MID($A694,10,2),'Free Spins Symbol'!$T$2:$Z$29,6,0)</f>
        <v>32</v>
      </c>
      <c r="F694" s="117">
        <f>VLOOKUP(MID($A694,13,2),'Free Spins Symbol'!$T$2:$Z$29,7,0)</f>
        <v>48</v>
      </c>
      <c r="G694" s="100">
        <f>(B694*C694-B692*C692)*(D694-D684)*E694*F694</f>
        <v>0</v>
      </c>
      <c r="H694" s="118" t="e">
        <f t="shared" si="129"/>
        <v>#DIV/0!</v>
      </c>
      <c r="I694" s="100">
        <v>5</v>
      </c>
      <c r="J694" s="119">
        <f t="shared" si="133"/>
        <v>0</v>
      </c>
      <c r="K694" s="120">
        <f t="shared" si="134"/>
        <v>0</v>
      </c>
    </row>
    <row r="695" spans="1:13" x14ac:dyDescent="0.3">
      <c r="A695" s="116" t="s">
        <v>277</v>
      </c>
      <c r="B695" s="129">
        <f>'Free Spins Symbol'!$V$18</f>
        <v>100</v>
      </c>
      <c r="C695" s="129">
        <f>'Free Spins Symbol'!$W$18</f>
        <v>56</v>
      </c>
      <c r="D695" s="129">
        <f>'Free Spins Symbol'!$X$18</f>
        <v>40</v>
      </c>
      <c r="E695" s="117">
        <f>VLOOKUP(MID($A695,10,2),'Free Spins Symbol'!$T$2:$Z$29,6,0)</f>
        <v>32</v>
      </c>
      <c r="F695" s="117">
        <f>VLOOKUP(MID($A695,13,2),'Free Spins Symbol'!$T$2:$Z$29,7,0)</f>
        <v>48</v>
      </c>
      <c r="G695" s="100">
        <f>(B695*C695-B692*C692)*(D695-D685)*E695*F695</f>
        <v>0</v>
      </c>
      <c r="H695" s="118" t="e">
        <f t="shared" si="129"/>
        <v>#DIV/0!</v>
      </c>
      <c r="I695" s="100">
        <v>5</v>
      </c>
      <c r="J695" s="119">
        <f t="shared" si="133"/>
        <v>0</v>
      </c>
      <c r="K695" s="120">
        <f t="shared" si="134"/>
        <v>0</v>
      </c>
    </row>
    <row r="696" spans="1:13" x14ac:dyDescent="0.3">
      <c r="A696" s="116" t="s">
        <v>278</v>
      </c>
      <c r="B696" s="129">
        <f>'Free Spins Symbol'!$V$18</f>
        <v>100</v>
      </c>
      <c r="C696" s="129">
        <f>'Free Spins Symbol'!$W$18</f>
        <v>56</v>
      </c>
      <c r="D696" s="129">
        <f>'Free Spins Symbol'!$X$18</f>
        <v>40</v>
      </c>
      <c r="E696" s="117">
        <f>VLOOKUP(MID($A696,10,2),'Free Spins Symbol'!$T$2:$Z$29,6,0)</f>
        <v>32</v>
      </c>
      <c r="F696" s="117">
        <f>VLOOKUP(MID($A696,13,2),'Free Spins Symbol'!$T$2:$Z$29,7,0)</f>
        <v>48</v>
      </c>
      <c r="G696" s="100">
        <f>(B696*C696-B692*C692)*(D696-D686)*E696*F696</f>
        <v>0</v>
      </c>
      <c r="H696" s="118" t="e">
        <f t="shared" si="129"/>
        <v>#DIV/0!</v>
      </c>
      <c r="I696" s="100">
        <v>5</v>
      </c>
      <c r="J696" s="119">
        <f t="shared" si="133"/>
        <v>0</v>
      </c>
      <c r="K696" s="120">
        <f t="shared" si="134"/>
        <v>0</v>
      </c>
    </row>
    <row r="697" spans="1:13" x14ac:dyDescent="0.3">
      <c r="A697" s="122" t="s">
        <v>279</v>
      </c>
      <c r="B697" s="117">
        <f>VLOOKUP(MID($A697,1,2),'Free Spins Symbol'!$T$2:$Z$29,3,0)</f>
        <v>100</v>
      </c>
      <c r="C697" s="117">
        <f>VLOOKUP(MID($A697,4,2),'Free Spins Symbol'!$T$2:$Z$29,4,0)</f>
        <v>8</v>
      </c>
      <c r="D697" s="117">
        <f>VLOOKUP(MID($A697,7,2),'Free Spins Symbol'!$T$2:$Z$29,5,0)</f>
        <v>4</v>
      </c>
      <c r="E697" s="117">
        <f>VLOOKUP(MID($A697,10,2),'Free Spins Symbol'!$T$2:$Z$29,6,0)</f>
        <v>16</v>
      </c>
      <c r="F697" s="117">
        <f>VLOOKUP(MID($A697,13,2),'Free Spins Symbol'!$T$2:$Z$29,7,0)</f>
        <v>48</v>
      </c>
      <c r="G697" s="100">
        <f>B697*C697*D697*E697*F697</f>
        <v>2457600</v>
      </c>
      <c r="H697" s="121">
        <f t="shared" ref="H697" si="135">B$1/G697</f>
        <v>0</v>
      </c>
      <c r="I697" s="123">
        <v>2</v>
      </c>
      <c r="J697" s="124">
        <f t="shared" si="133"/>
        <v>1.4285714285714285E-2</v>
      </c>
      <c r="K697" s="120">
        <f t="shared" si="134"/>
        <v>7.1428571428571426E-3</v>
      </c>
    </row>
    <row r="699" spans="1:13" ht="16.8" thickBot="1" x14ac:dyDescent="0.35"/>
    <row r="700" spans="1:13" ht="16.8" thickBot="1" x14ac:dyDescent="0.35">
      <c r="A700" s="125" t="s">
        <v>309</v>
      </c>
    </row>
    <row r="701" spans="1:13" ht="16.8" thickBot="1" x14ac:dyDescent="0.35">
      <c r="A701" s="95" t="s">
        <v>280</v>
      </c>
      <c r="B701" s="142">
        <f>B2</f>
        <v>344064000</v>
      </c>
      <c r="C701" s="142"/>
      <c r="D701" s="142"/>
      <c r="E701" s="142"/>
      <c r="F701" s="142"/>
      <c r="G701" s="7"/>
      <c r="H701" s="106"/>
      <c r="I701" s="107" t="s">
        <v>281</v>
      </c>
      <c r="J701" s="108">
        <f>SUM(J703:J737)</f>
        <v>44.557291666666671</v>
      </c>
      <c r="K701" s="126">
        <f>SUM(K703:K737)</f>
        <v>1.21875</v>
      </c>
      <c r="M701">
        <v>100000000</v>
      </c>
    </row>
    <row r="702" spans="1:13" ht="33" thickBot="1" x14ac:dyDescent="0.35">
      <c r="A702" s="109" t="s">
        <v>233</v>
      </c>
      <c r="B702" s="110" t="s">
        <v>234</v>
      </c>
      <c r="C702" s="110" t="s">
        <v>235</v>
      </c>
      <c r="D702" s="110" t="s">
        <v>236</v>
      </c>
      <c r="E702" s="110" t="s">
        <v>237</v>
      </c>
      <c r="F702" s="110" t="s">
        <v>238</v>
      </c>
      <c r="G702" s="111" t="s">
        <v>239</v>
      </c>
      <c r="H702" s="112" t="s">
        <v>240</v>
      </c>
      <c r="I702" s="113" t="s">
        <v>241</v>
      </c>
      <c r="J702" s="114" t="s">
        <v>242</v>
      </c>
      <c r="K702" s="115" t="s">
        <v>243</v>
      </c>
      <c r="M702" s="144">
        <f>SUM(M704:M723)</f>
        <v>0.99999999999999989</v>
      </c>
    </row>
    <row r="703" spans="1:13" x14ac:dyDescent="0.3">
      <c r="A703" s="116" t="s">
        <v>244</v>
      </c>
      <c r="B703" s="129">
        <f>'Free Spins Symbol'!$V$18</f>
        <v>100</v>
      </c>
      <c r="C703" s="129">
        <f>'Free Spins Symbol'!$W$18</f>
        <v>56</v>
      </c>
      <c r="D703" s="117">
        <f>VLOOKUP(MID($A703,7,2),'Free Spins Symbol'!$T$2:$Z$29,5,0)</f>
        <v>0</v>
      </c>
      <c r="E703" s="129">
        <f>'Free Spins Symbol'!$X$18</f>
        <v>40</v>
      </c>
      <c r="F703" s="117">
        <f>VLOOKUP(MID($A703,13,2),'Free Spins Symbol'!$T$2:$Z$29,7,0)</f>
        <v>0</v>
      </c>
      <c r="G703" s="100">
        <f>B703*C703*D703*E703*F703</f>
        <v>0</v>
      </c>
      <c r="H703" s="118" t="e">
        <f>B$2/G703</f>
        <v>#DIV/0!</v>
      </c>
      <c r="I703" s="100">
        <v>500</v>
      </c>
      <c r="J703" s="119">
        <f t="shared" ref="J703:J707" si="136">K703*I703</f>
        <v>0</v>
      </c>
      <c r="K703" s="120">
        <f>G703/B$2</f>
        <v>0</v>
      </c>
    </row>
    <row r="704" spans="1:13" x14ac:dyDescent="0.3">
      <c r="A704" s="116" t="s">
        <v>245</v>
      </c>
      <c r="B704" s="129">
        <f>'Free Spins Symbol'!$V$18</f>
        <v>100</v>
      </c>
      <c r="C704" s="129">
        <f>'Free Spins Symbol'!$W$18</f>
        <v>56</v>
      </c>
      <c r="D704" s="117">
        <f>VLOOKUP(MID($A704,7,2),'Free Spins Symbol'!$T$2:$Z$29,5,0)</f>
        <v>2</v>
      </c>
      <c r="E704" s="129">
        <f>'Free Spins Symbol'!$X$18</f>
        <v>40</v>
      </c>
      <c r="F704" s="117">
        <f>VLOOKUP(MID($A704,13,2),'Free Spins Symbol'!$T$2:$Z$29,7,0)</f>
        <v>1</v>
      </c>
      <c r="G704" s="100">
        <f>B704*C704*D704*E704*F704-G703</f>
        <v>448000</v>
      </c>
      <c r="H704" s="118">
        <f t="shared" ref="H704:H738" si="137">B$2/G704</f>
        <v>768</v>
      </c>
      <c r="I704" s="100">
        <v>250</v>
      </c>
      <c r="J704" s="119">
        <f t="shared" si="136"/>
        <v>0.32552083333333331</v>
      </c>
      <c r="K704" s="120">
        <f t="shared" ref="K704:K707" si="138">G704/B$2</f>
        <v>1.3020833333333333E-3</v>
      </c>
      <c r="M704" s="147">
        <f>(41802+374788)/$M$701</f>
        <v>4.1659000000000002E-3</v>
      </c>
    </row>
    <row r="705" spans="1:13" x14ac:dyDescent="0.3">
      <c r="A705" s="116" t="s">
        <v>246</v>
      </c>
      <c r="B705" s="129">
        <f>'Free Spins Symbol'!$V$18</f>
        <v>100</v>
      </c>
      <c r="C705" s="129">
        <f>'Free Spins Symbol'!$W$18</f>
        <v>56</v>
      </c>
      <c r="D705" s="117">
        <f>VLOOKUP(MID($A705,7,2),'Free Spins Symbol'!$T$2:$Z$29,5,0)</f>
        <v>3</v>
      </c>
      <c r="E705" s="129">
        <f>'Free Spins Symbol'!$X$18</f>
        <v>40</v>
      </c>
      <c r="F705" s="117">
        <f>VLOOKUP(MID($A705,13,2),'Free Spins Symbol'!$T$2:$Z$29,7,0)</f>
        <v>1</v>
      </c>
      <c r="G705" s="100">
        <f>B705*C705*D705*E705*F705-G703</f>
        <v>672000</v>
      </c>
      <c r="H705" s="118">
        <f t="shared" si="137"/>
        <v>512</v>
      </c>
      <c r="I705" s="100">
        <v>250</v>
      </c>
      <c r="J705" s="119">
        <f t="shared" si="136"/>
        <v>0.48828125</v>
      </c>
      <c r="K705" s="120">
        <f t="shared" si="138"/>
        <v>1.953125E-3</v>
      </c>
      <c r="M705" s="147">
        <f>(83396+374189)/$M$701</f>
        <v>4.5758500000000002E-3</v>
      </c>
    </row>
    <row r="706" spans="1:13" x14ac:dyDescent="0.3">
      <c r="A706" s="116" t="s">
        <v>247</v>
      </c>
      <c r="B706" s="129">
        <f>'Free Spins Symbol'!$V$18</f>
        <v>100</v>
      </c>
      <c r="C706" s="129">
        <f>'Free Spins Symbol'!$W$18</f>
        <v>56</v>
      </c>
      <c r="D706" s="117">
        <f>VLOOKUP(MID($A706,7,2),'Free Spins Symbol'!$T$2:$Z$29,5,0)</f>
        <v>2</v>
      </c>
      <c r="E706" s="129">
        <f>'Free Spins Symbol'!$X$18</f>
        <v>40</v>
      </c>
      <c r="F706" s="117">
        <f>VLOOKUP(MID($A706,13,2),'Free Spins Symbol'!$T$2:$Z$29,7,0)</f>
        <v>5</v>
      </c>
      <c r="G706" s="100">
        <f>B706*C706*D706*E706*F706-G703</f>
        <v>2240000</v>
      </c>
      <c r="H706" s="118">
        <f t="shared" si="137"/>
        <v>153.6</v>
      </c>
      <c r="I706" s="100">
        <v>150</v>
      </c>
      <c r="J706" s="119">
        <f t="shared" si="136"/>
        <v>0.9765625</v>
      </c>
      <c r="K706" s="120">
        <f t="shared" si="138"/>
        <v>6.510416666666667E-3</v>
      </c>
      <c r="M706" s="147">
        <f>(1874596+626502)/$M$701</f>
        <v>2.5010979999999999E-2</v>
      </c>
    </row>
    <row r="707" spans="1:13" x14ac:dyDescent="0.3">
      <c r="A707" s="116" t="s">
        <v>248</v>
      </c>
      <c r="B707" s="129">
        <f>'Free Spins Symbol'!$V$18</f>
        <v>100</v>
      </c>
      <c r="C707" s="129">
        <f>'Free Spins Symbol'!$W$18</f>
        <v>56</v>
      </c>
      <c r="D707" s="117">
        <f>VLOOKUP(MID($A707,7,2),'Free Spins Symbol'!$T$2:$Z$29,5,0)</f>
        <v>2</v>
      </c>
      <c r="E707" s="129">
        <f>'Free Spins Symbol'!$X$18</f>
        <v>40</v>
      </c>
      <c r="F707" s="117">
        <f>VLOOKUP(MID($A707,13,2),'Free Spins Symbol'!$T$2:$Z$29,7,0)</f>
        <v>5</v>
      </c>
      <c r="G707" s="100">
        <f>B707*C707*D707*E707*F707-G703</f>
        <v>2240000</v>
      </c>
      <c r="H707" s="118">
        <f t="shared" si="137"/>
        <v>153.6</v>
      </c>
      <c r="I707" s="100">
        <v>150</v>
      </c>
      <c r="J707" s="119">
        <f t="shared" si="136"/>
        <v>0.9765625</v>
      </c>
      <c r="K707" s="120">
        <f t="shared" si="138"/>
        <v>6.510416666666667E-3</v>
      </c>
      <c r="M707" s="147">
        <f>(1877031+624751)/$M$701</f>
        <v>2.501782E-2</v>
      </c>
    </row>
    <row r="708" spans="1:13" x14ac:dyDescent="0.3">
      <c r="A708" s="116" t="s">
        <v>254</v>
      </c>
      <c r="B708" s="129">
        <f>'Free Spins Symbol'!$V$18</f>
        <v>100</v>
      </c>
      <c r="C708" s="129">
        <f>'Free Spins Symbol'!$W$18</f>
        <v>56</v>
      </c>
      <c r="D708" s="117">
        <f>VLOOKUP(MID($A708,7,2),'Free Spins Symbol'!$T$2:$Z$29,5,0)</f>
        <v>0</v>
      </c>
      <c r="E708" s="129">
        <f>'Free Spins Symbol'!$X$18</f>
        <v>40</v>
      </c>
      <c r="F708" s="117">
        <f>VLOOKUP(MID($A708,13,2),'Free Spins Symbol'!$T$2:$Z$29,7,0)</f>
        <v>48</v>
      </c>
      <c r="G708" s="100">
        <v>0</v>
      </c>
      <c r="H708" s="118" t="e">
        <f t="shared" si="137"/>
        <v>#DIV/0!</v>
      </c>
      <c r="I708" s="100">
        <v>100</v>
      </c>
      <c r="J708" s="119">
        <f>K708*I708</f>
        <v>0</v>
      </c>
      <c r="K708" s="120">
        <f>G708/B$2</f>
        <v>0</v>
      </c>
      <c r="M708" s="147"/>
    </row>
    <row r="709" spans="1:13" x14ac:dyDescent="0.3">
      <c r="A709" s="116" t="s">
        <v>249</v>
      </c>
      <c r="B709" s="129">
        <f>'Free Spins Symbol'!$V$18</f>
        <v>100</v>
      </c>
      <c r="C709" s="129">
        <f>'Free Spins Symbol'!$W$18</f>
        <v>56</v>
      </c>
      <c r="D709" s="117">
        <f>VLOOKUP(MID($A709,7,2),'Free Spins Symbol'!$T$2:$Z$29,5,0)</f>
        <v>1</v>
      </c>
      <c r="E709" s="129">
        <f>'Free Spins Symbol'!$X$18</f>
        <v>40</v>
      </c>
      <c r="F709" s="117">
        <f>VLOOKUP(MID($A709,13,2),'Free Spins Symbol'!$T$2:$Z$29,7,0)</f>
        <v>2</v>
      </c>
      <c r="G709" s="100">
        <f>B709*C709*D709*E709*F709-G703</f>
        <v>448000</v>
      </c>
      <c r="H709" s="118">
        <f t="shared" si="137"/>
        <v>768</v>
      </c>
      <c r="I709" s="100">
        <v>100</v>
      </c>
      <c r="J709" s="119">
        <f t="shared" ref="J709:J717" si="139">K709*I709</f>
        <v>0.13020833333333331</v>
      </c>
      <c r="K709" s="120">
        <f t="shared" ref="K709:K717" si="140">G709/B$2</f>
        <v>1.3020833333333333E-3</v>
      </c>
      <c r="M709" s="147">
        <f>(832239+750466)/$M$701</f>
        <v>1.5827049999999999E-2</v>
      </c>
    </row>
    <row r="710" spans="1:13" x14ac:dyDescent="0.3">
      <c r="A710" s="116" t="s">
        <v>250</v>
      </c>
      <c r="B710" s="129">
        <f>'Free Spins Symbol'!$V$18</f>
        <v>100</v>
      </c>
      <c r="C710" s="129">
        <f>'Free Spins Symbol'!$W$18</f>
        <v>56</v>
      </c>
      <c r="D710" s="117">
        <f>VLOOKUP(MID($A710,7,2),'Free Spins Symbol'!$T$2:$Z$29,5,0)</f>
        <v>9</v>
      </c>
      <c r="E710" s="129">
        <f>'Free Spins Symbol'!$X$18</f>
        <v>40</v>
      </c>
      <c r="F710" s="117">
        <f>VLOOKUP(MID($A710,13,2),'Free Spins Symbol'!$T$2:$Z$29,7,0)</f>
        <v>11</v>
      </c>
      <c r="G710" s="100">
        <f>B710*C710*D710*E710*F710-G703</f>
        <v>22176000</v>
      </c>
      <c r="H710" s="118">
        <f t="shared" si="137"/>
        <v>15.515151515151516</v>
      </c>
      <c r="I710" s="100">
        <v>100</v>
      </c>
      <c r="J710" s="119">
        <f t="shared" si="139"/>
        <v>6.4453125</v>
      </c>
      <c r="K710" s="120">
        <f t="shared" si="140"/>
        <v>6.4453125E-2</v>
      </c>
      <c r="M710" s="147">
        <f>(4125498+3897167)/$M$701</f>
        <v>8.0226649999999997E-2</v>
      </c>
    </row>
    <row r="711" spans="1:13" x14ac:dyDescent="0.3">
      <c r="A711" s="116" t="s">
        <v>251</v>
      </c>
      <c r="B711" s="129">
        <f>'Free Spins Symbol'!$V$18</f>
        <v>100</v>
      </c>
      <c r="C711" s="129">
        <f>'Free Spins Symbol'!$W$18</f>
        <v>56</v>
      </c>
      <c r="D711" s="117">
        <f>VLOOKUP(MID($A711,7,2),'Free Spins Symbol'!$T$2:$Z$29,5,0)</f>
        <v>9</v>
      </c>
      <c r="E711" s="129">
        <f>'Free Spins Symbol'!$X$18</f>
        <v>40</v>
      </c>
      <c r="F711" s="117">
        <f>VLOOKUP(MID($A711,13,2),'Free Spins Symbol'!$T$2:$Z$29,7,0)</f>
        <v>1</v>
      </c>
      <c r="G711" s="100">
        <f>B711*C711*D711*E711*F711-G703</f>
        <v>2016000</v>
      </c>
      <c r="H711" s="118">
        <f t="shared" si="137"/>
        <v>170.66666666666666</v>
      </c>
      <c r="I711" s="100">
        <v>100</v>
      </c>
      <c r="J711" s="119">
        <f t="shared" si="139"/>
        <v>0.5859375</v>
      </c>
      <c r="K711" s="120">
        <f t="shared" si="140"/>
        <v>5.859375E-3</v>
      </c>
      <c r="M711" s="147">
        <f>(209067+374794)/$M$701</f>
        <v>5.8386100000000002E-3</v>
      </c>
    </row>
    <row r="712" spans="1:13" x14ac:dyDescent="0.3">
      <c r="A712" s="116" t="s">
        <v>252</v>
      </c>
      <c r="B712" s="129">
        <f>'Free Spins Symbol'!$V$18</f>
        <v>100</v>
      </c>
      <c r="C712" s="129">
        <f>'Free Spins Symbol'!$W$18</f>
        <v>56</v>
      </c>
      <c r="D712" s="117">
        <f>VLOOKUP(MID($A712,7,2),'Free Spins Symbol'!$T$2:$Z$29,5,0)</f>
        <v>1</v>
      </c>
      <c r="E712" s="129">
        <f>'Free Spins Symbol'!$X$18</f>
        <v>40</v>
      </c>
      <c r="F712" s="117">
        <f>VLOOKUP(MID($A712,13,2),'Free Spins Symbol'!$T$2:$Z$29,7,0)</f>
        <v>11</v>
      </c>
      <c r="G712" s="100">
        <f>(B712*C712*D712*E712)*F712-G703</f>
        <v>2464000</v>
      </c>
      <c r="H712" s="118">
        <f t="shared" si="137"/>
        <v>139.63636363636363</v>
      </c>
      <c r="I712" s="100">
        <v>100</v>
      </c>
      <c r="J712" s="119">
        <f t="shared" si="139"/>
        <v>0.71614583333333326</v>
      </c>
      <c r="K712" s="120">
        <f t="shared" si="140"/>
        <v>7.161458333333333E-3</v>
      </c>
      <c r="M712" s="147">
        <f>(3665262+4120617)/$M$701</f>
        <v>7.7858789999999997E-2</v>
      </c>
    </row>
    <row r="713" spans="1:13" x14ac:dyDescent="0.3">
      <c r="A713" s="116" t="s">
        <v>253</v>
      </c>
      <c r="B713" s="129">
        <f>'Free Spins Symbol'!$V$18</f>
        <v>100</v>
      </c>
      <c r="C713" s="129">
        <f>'Free Spins Symbol'!$W$18</f>
        <v>56</v>
      </c>
      <c r="D713" s="117">
        <f>VLOOKUP(MID($A713,7,2),'Free Spins Symbol'!$T$2:$Z$29,5,0)</f>
        <v>10</v>
      </c>
      <c r="E713" s="129">
        <f>'Free Spins Symbol'!$X$18</f>
        <v>40</v>
      </c>
      <c r="F713" s="117">
        <f>VLOOKUP(MID($A713,13,2),'Free Spins Symbol'!$T$2:$Z$29,7,0)</f>
        <v>11</v>
      </c>
      <c r="G713" s="100">
        <f>B713*C713*D713*E713*F713-G703</f>
        <v>24640000</v>
      </c>
      <c r="H713" s="118">
        <f t="shared" si="137"/>
        <v>13.963636363636363</v>
      </c>
      <c r="I713" s="100">
        <v>100</v>
      </c>
      <c r="J713" s="119">
        <f t="shared" si="139"/>
        <v>7.161458333333333</v>
      </c>
      <c r="K713" s="120">
        <f t="shared" si="140"/>
        <v>7.1614583333333329E-2</v>
      </c>
      <c r="M713" s="147">
        <f>(4124439+229237)/$M$701</f>
        <v>4.3536760000000001E-2</v>
      </c>
    </row>
    <row r="714" spans="1:13" x14ac:dyDescent="0.3">
      <c r="A714" s="116" t="s">
        <v>255</v>
      </c>
      <c r="B714" s="129">
        <f>'Free Spins Symbol'!$V$18</f>
        <v>100</v>
      </c>
      <c r="C714" s="129">
        <f>'Free Spins Symbol'!$W$18</f>
        <v>56</v>
      </c>
      <c r="D714" s="117">
        <f>VLOOKUP(MID($A714,7,2),'Free Spins Symbol'!$T$2:$Z$29,5,0)</f>
        <v>2</v>
      </c>
      <c r="E714" s="129">
        <f>'Free Spins Symbol'!$X$18</f>
        <v>40</v>
      </c>
      <c r="F714" s="117">
        <f>VLOOKUP(MID($A714,13,2),'Free Spins Symbol'!$T$2:$Z$29,7,0)</f>
        <v>48</v>
      </c>
      <c r="G714" s="100">
        <f>(B714*C714*D714*E714-B708*C708*D708*E708)*(F714-F704)</f>
        <v>21056000</v>
      </c>
      <c r="H714" s="118">
        <f t="shared" si="137"/>
        <v>16.340425531914892</v>
      </c>
      <c r="I714" s="100">
        <v>50</v>
      </c>
      <c r="J714" s="119">
        <f t="shared" si="139"/>
        <v>3.059895833333333</v>
      </c>
      <c r="K714" s="120">
        <f t="shared" si="140"/>
        <v>6.1197916666666664E-2</v>
      </c>
      <c r="M714" s="147">
        <f>(1960428)/$M$701</f>
        <v>1.9604280000000002E-2</v>
      </c>
    </row>
    <row r="715" spans="1:13" x14ac:dyDescent="0.3">
      <c r="A715" s="116" t="s">
        <v>256</v>
      </c>
      <c r="B715" s="129">
        <f>'Free Spins Symbol'!$V$18</f>
        <v>100</v>
      </c>
      <c r="C715" s="129">
        <f>'Free Spins Symbol'!$W$18</f>
        <v>56</v>
      </c>
      <c r="D715" s="117">
        <f>VLOOKUP(MID($A715,7,2),'Free Spins Symbol'!$T$2:$Z$29,5,0)</f>
        <v>3</v>
      </c>
      <c r="E715" s="129">
        <f>'Free Spins Symbol'!$X$18</f>
        <v>40</v>
      </c>
      <c r="F715" s="117">
        <f>VLOOKUP(MID($A715,13,2),'Free Spins Symbol'!$T$2:$Z$29,7,0)</f>
        <v>48</v>
      </c>
      <c r="G715" s="100">
        <f>(B715*C715*D715*E715-B708*C708*D708*E708)*(F715-F705)</f>
        <v>31584000</v>
      </c>
      <c r="H715" s="118">
        <f t="shared" si="137"/>
        <v>10.893617021276595</v>
      </c>
      <c r="I715" s="100">
        <v>50</v>
      </c>
      <c r="J715" s="119">
        <f t="shared" si="139"/>
        <v>4.58984375</v>
      </c>
      <c r="K715" s="120">
        <f t="shared" si="140"/>
        <v>9.1796875E-2</v>
      </c>
      <c r="M715" s="147">
        <f>(3914893)/$M$701</f>
        <v>3.9148929999999998E-2</v>
      </c>
    </row>
    <row r="716" spans="1:13" x14ac:dyDescent="0.3">
      <c r="A716" s="116" t="s">
        <v>257</v>
      </c>
      <c r="B716" s="129">
        <f>'Free Spins Symbol'!$V$18</f>
        <v>100</v>
      </c>
      <c r="C716" s="129">
        <f>'Free Spins Symbol'!$W$18</f>
        <v>56</v>
      </c>
      <c r="D716" s="117">
        <f>VLOOKUP(MID($A716,7,2),'Free Spins Symbol'!$T$2:$Z$29,5,0)</f>
        <v>2</v>
      </c>
      <c r="E716" s="129">
        <f>'Free Spins Symbol'!$X$18</f>
        <v>40</v>
      </c>
      <c r="F716" s="117">
        <f>VLOOKUP(MID($A716,13,2),'Free Spins Symbol'!$T$2:$Z$29,7,0)</f>
        <v>48</v>
      </c>
      <c r="G716" s="100">
        <f>(B716*C716*D716*E716-B708*C708*D708*E708)*(F716-F706)</f>
        <v>19264000</v>
      </c>
      <c r="H716" s="118">
        <f t="shared" si="137"/>
        <v>17.86046511627907</v>
      </c>
      <c r="I716" s="100">
        <v>30</v>
      </c>
      <c r="J716" s="119">
        <f t="shared" si="139"/>
        <v>1.6796875</v>
      </c>
      <c r="K716" s="120">
        <f t="shared" si="140"/>
        <v>5.5989583333333336E-2</v>
      </c>
      <c r="M716" s="147">
        <f>(5370901)/$M$701</f>
        <v>5.3709010000000001E-2</v>
      </c>
    </row>
    <row r="717" spans="1:13" x14ac:dyDescent="0.3">
      <c r="A717" s="116" t="s">
        <v>258</v>
      </c>
      <c r="B717" s="129">
        <f>'Free Spins Symbol'!$V$18</f>
        <v>100</v>
      </c>
      <c r="C717" s="129">
        <f>'Free Spins Symbol'!$W$18</f>
        <v>56</v>
      </c>
      <c r="D717" s="117">
        <f>VLOOKUP(MID($A717,7,2),'Free Spins Symbol'!$T$2:$Z$29,5,0)</f>
        <v>2</v>
      </c>
      <c r="E717" s="129">
        <f>'Free Spins Symbol'!$X$18</f>
        <v>40</v>
      </c>
      <c r="F717" s="117">
        <f>VLOOKUP(MID($A717,13,2),'Free Spins Symbol'!$T$2:$Z$29,7,0)</f>
        <v>48</v>
      </c>
      <c r="G717" s="100">
        <f>(B717*C717*D717*E717-B708*C708*D708*E708)*(F717-F707)</f>
        <v>19264000</v>
      </c>
      <c r="H717" s="118">
        <f t="shared" si="137"/>
        <v>17.86046511627907</v>
      </c>
      <c r="I717" s="100">
        <v>30</v>
      </c>
      <c r="J717" s="119">
        <f t="shared" si="139"/>
        <v>1.6796875</v>
      </c>
      <c r="K717" s="120">
        <f t="shared" si="140"/>
        <v>5.5989583333333336E-2</v>
      </c>
      <c r="M717" s="147">
        <f>(5374049)/$M$701</f>
        <v>5.3740490000000002E-2</v>
      </c>
    </row>
    <row r="718" spans="1:13" x14ac:dyDescent="0.3">
      <c r="A718" s="116" t="s">
        <v>264</v>
      </c>
      <c r="B718" s="129">
        <f>'Free Spins Symbol'!$V$18</f>
        <v>100</v>
      </c>
      <c r="C718" s="129">
        <f>'Free Spins Symbol'!$W$18</f>
        <v>56</v>
      </c>
      <c r="D718" s="117">
        <f>VLOOKUP(MID($A718,7,2),'Free Spins Symbol'!$T$2:$Z$29,5,0)</f>
        <v>0</v>
      </c>
      <c r="E718" s="129">
        <f>'Free Spins Symbol'!$X$18</f>
        <v>40</v>
      </c>
      <c r="F718" s="117">
        <f>VLOOKUP(MID($A718,13,2),'Free Spins Symbol'!$T$2:$Z$29,7,0)</f>
        <v>48</v>
      </c>
      <c r="G718" s="100">
        <f>(B718*C718*D718)*(E718*F718-(E717+E716+E715+E714-3*E708)*F708-(E713-E708)*F713-(E712-E708)*F712-(E711-E708)*F711-(E710-E708)*F710-(E709-E708)*F709)</f>
        <v>0</v>
      </c>
      <c r="H718" s="118" t="e">
        <f t="shared" si="137"/>
        <v>#DIV/0!</v>
      </c>
      <c r="I718" s="100">
        <v>20</v>
      </c>
      <c r="J718" s="119">
        <f>K718*I718</f>
        <v>0</v>
      </c>
      <c r="K718" s="120">
        <f>G718/B$2</f>
        <v>0</v>
      </c>
      <c r="M718" s="147"/>
    </row>
    <row r="719" spans="1:13" x14ac:dyDescent="0.3">
      <c r="A719" s="116" t="s">
        <v>259</v>
      </c>
      <c r="B719" s="129">
        <f>'Free Spins Symbol'!$V$18</f>
        <v>100</v>
      </c>
      <c r="C719" s="129">
        <f>'Free Spins Symbol'!$W$18</f>
        <v>56</v>
      </c>
      <c r="D719" s="117">
        <f>VLOOKUP(MID($A719,7,2),'Free Spins Symbol'!$T$2:$Z$29,5,0)</f>
        <v>1</v>
      </c>
      <c r="E719" s="129">
        <f>'Free Spins Symbol'!$X$18</f>
        <v>40</v>
      </c>
      <c r="F719" s="117">
        <f>VLOOKUP(MID($A719,13,2),'Free Spins Symbol'!$T$2:$Z$29,7,0)</f>
        <v>48</v>
      </c>
      <c r="G719" s="100">
        <f>(B719*C719*D719*E719-B708*C708*D708*E708)*(F719-F709)</f>
        <v>10304000</v>
      </c>
      <c r="H719" s="118">
        <f t="shared" si="137"/>
        <v>33.391304347826086</v>
      </c>
      <c r="I719" s="100">
        <v>20</v>
      </c>
      <c r="J719" s="119">
        <f t="shared" ref="J719:J738" si="141">K719*I719</f>
        <v>0.59895833333333337</v>
      </c>
      <c r="K719" s="120">
        <f t="shared" ref="K719:K738" si="142">G719/B$2</f>
        <v>2.9947916666666668E-2</v>
      </c>
      <c r="M719" s="147">
        <f>(19169808)/$M$701</f>
        <v>0.19169807999999999</v>
      </c>
    </row>
    <row r="720" spans="1:13" x14ac:dyDescent="0.3">
      <c r="A720" s="116" t="s">
        <v>260</v>
      </c>
      <c r="B720" s="129">
        <f>'Free Spins Symbol'!$V$18</f>
        <v>100</v>
      </c>
      <c r="C720" s="129">
        <f>'Free Spins Symbol'!$W$18</f>
        <v>56</v>
      </c>
      <c r="D720" s="117">
        <f>VLOOKUP(MID($A720,7,2),'Free Spins Symbol'!$T$2:$Z$29,5,0)</f>
        <v>9</v>
      </c>
      <c r="E720" s="129">
        <f>'Free Spins Symbol'!$X$18</f>
        <v>40</v>
      </c>
      <c r="F720" s="117">
        <f>VLOOKUP(MID($A720,13,2),'Free Spins Symbol'!$T$2:$Z$29,7,0)</f>
        <v>48</v>
      </c>
      <c r="G720" s="100">
        <f>(B720*C720*D720*E720-B708*C708*D708*E708)*(F720-F710)</f>
        <v>74592000</v>
      </c>
      <c r="H720" s="118">
        <f t="shared" si="137"/>
        <v>4.6126126126126126</v>
      </c>
      <c r="I720" s="100">
        <v>20</v>
      </c>
      <c r="J720" s="119">
        <f t="shared" si="141"/>
        <v>4.3359375</v>
      </c>
      <c r="K720" s="120">
        <f t="shared" si="142"/>
        <v>0.216796875</v>
      </c>
      <c r="M720" s="147">
        <f>(13110627)/$M$701</f>
        <v>0.13110627</v>
      </c>
    </row>
    <row r="721" spans="1:13" x14ac:dyDescent="0.3">
      <c r="A721" s="116" t="s">
        <v>261</v>
      </c>
      <c r="B721" s="129">
        <f>'Free Spins Symbol'!$V$18</f>
        <v>100</v>
      </c>
      <c r="C721" s="129">
        <f>'Free Spins Symbol'!$W$18</f>
        <v>56</v>
      </c>
      <c r="D721" s="117">
        <f>VLOOKUP(MID($A721,7,2),'Free Spins Symbol'!$T$2:$Z$29,5,0)</f>
        <v>9</v>
      </c>
      <c r="E721" s="129">
        <f>'Free Spins Symbol'!$X$18</f>
        <v>40</v>
      </c>
      <c r="F721" s="117">
        <f>VLOOKUP(MID($A721,13,2),'Free Spins Symbol'!$T$2:$Z$29,7,0)</f>
        <v>48</v>
      </c>
      <c r="G721" s="100">
        <f>(B721*C721*D721*E721-B708*C708*D708*E708)*(F721-F711)</f>
        <v>94752000</v>
      </c>
      <c r="H721" s="118">
        <f t="shared" si="137"/>
        <v>3.6312056737588652</v>
      </c>
      <c r="I721" s="100">
        <v>20</v>
      </c>
      <c r="J721" s="119">
        <f t="shared" si="141"/>
        <v>5.5078125</v>
      </c>
      <c r="K721" s="120">
        <f t="shared" si="142"/>
        <v>0.275390625</v>
      </c>
      <c r="M721" s="147">
        <f>(9792262)/$M$701</f>
        <v>9.7922620000000002E-2</v>
      </c>
    </row>
    <row r="722" spans="1:13" x14ac:dyDescent="0.3">
      <c r="A722" s="116" t="s">
        <v>262</v>
      </c>
      <c r="B722" s="129">
        <f>'Free Spins Symbol'!$V$18</f>
        <v>100</v>
      </c>
      <c r="C722" s="129">
        <f>'Free Spins Symbol'!$W$18</f>
        <v>56</v>
      </c>
      <c r="D722" s="117">
        <f>VLOOKUP(MID($A722,7,2),'Free Spins Symbol'!$T$2:$Z$29,5,0)</f>
        <v>1</v>
      </c>
      <c r="E722" s="129">
        <f>'Free Spins Symbol'!$X$18</f>
        <v>40</v>
      </c>
      <c r="F722" s="117">
        <f>VLOOKUP(MID($A722,13,2),'Free Spins Symbol'!$T$2:$Z$29,7,0)</f>
        <v>48</v>
      </c>
      <c r="G722" s="100">
        <f>(B722*C722*D722*E722-B708*C708*D708*E708)*(F722-F712)</f>
        <v>8288000</v>
      </c>
      <c r="H722" s="118">
        <f t="shared" si="137"/>
        <v>41.513513513513516</v>
      </c>
      <c r="I722" s="100">
        <v>20</v>
      </c>
      <c r="J722" s="119">
        <f t="shared" si="141"/>
        <v>0.48177083333333337</v>
      </c>
      <c r="K722" s="120">
        <f t="shared" si="142"/>
        <v>2.4088541666666668E-2</v>
      </c>
      <c r="M722" s="147">
        <f>(12330734)/$M$701</f>
        <v>0.12330734</v>
      </c>
    </row>
    <row r="723" spans="1:13" x14ac:dyDescent="0.3">
      <c r="A723" s="116" t="s">
        <v>263</v>
      </c>
      <c r="B723" s="129">
        <f>'Free Spins Symbol'!$V$18</f>
        <v>100</v>
      </c>
      <c r="C723" s="129">
        <f>'Free Spins Symbol'!$W$18</f>
        <v>56</v>
      </c>
      <c r="D723" s="117">
        <f>VLOOKUP(MID($A723,7,2),'Free Spins Symbol'!$T$2:$Z$29,5,0)</f>
        <v>10</v>
      </c>
      <c r="E723" s="129">
        <f>'Free Spins Symbol'!$X$18</f>
        <v>40</v>
      </c>
      <c r="F723" s="117">
        <f>VLOOKUP(MID($A723,13,2),'Free Spins Symbol'!$T$2:$Z$29,7,0)</f>
        <v>48</v>
      </c>
      <c r="G723" s="100">
        <f>(B723*C723*D723*E723-B708*C708*D708*E708)*(F723-F713)</f>
        <v>82880000</v>
      </c>
      <c r="H723" s="118">
        <f t="shared" si="137"/>
        <v>4.1513513513513516</v>
      </c>
      <c r="I723" s="100">
        <v>20</v>
      </c>
      <c r="J723" s="119">
        <f t="shared" si="141"/>
        <v>4.817708333333333</v>
      </c>
      <c r="K723" s="120">
        <f t="shared" si="142"/>
        <v>0.24088541666666666</v>
      </c>
      <c r="M723" s="147">
        <f>(770457)/$M$701</f>
        <v>7.70457E-3</v>
      </c>
    </row>
    <row r="724" spans="1:13" x14ac:dyDescent="0.3">
      <c r="A724" s="116" t="s">
        <v>265</v>
      </c>
      <c r="B724" s="129">
        <f>'Free Spins Symbol'!$V$18</f>
        <v>100</v>
      </c>
      <c r="C724" s="129">
        <f>'Free Spins Symbol'!$W$18</f>
        <v>56</v>
      </c>
      <c r="D724" s="117">
        <f>VLOOKUP(MID($A724,7,2),'Free Spins Symbol'!$T$2:$Z$29,5,0)</f>
        <v>2</v>
      </c>
      <c r="E724" s="129">
        <f>'Free Spins Symbol'!$X$18</f>
        <v>40</v>
      </c>
      <c r="F724" s="117">
        <f>VLOOKUP(MID($A724,13,2),'Free Spins Symbol'!$T$2:$Z$29,7,0)</f>
        <v>48</v>
      </c>
      <c r="G724" s="100">
        <f>(B724*C724*D724-B718*C718*D718)*(E724-E714)*F724</f>
        <v>0</v>
      </c>
      <c r="H724" s="118" t="e">
        <f t="shared" si="137"/>
        <v>#DIV/0!</v>
      </c>
      <c r="I724" s="100">
        <v>20</v>
      </c>
      <c r="J724" s="119">
        <f t="shared" si="141"/>
        <v>0</v>
      </c>
      <c r="K724" s="120">
        <f t="shared" si="142"/>
        <v>0</v>
      </c>
    </row>
    <row r="725" spans="1:13" x14ac:dyDescent="0.3">
      <c r="A725" s="116" t="s">
        <v>266</v>
      </c>
      <c r="B725" s="129">
        <f>'Free Spins Symbol'!$V$18</f>
        <v>100</v>
      </c>
      <c r="C725" s="129">
        <f>'Free Spins Symbol'!$W$18</f>
        <v>56</v>
      </c>
      <c r="D725" s="117">
        <f>VLOOKUP(MID($A725,7,2),'Free Spins Symbol'!$T$2:$Z$29,5,0)</f>
        <v>3</v>
      </c>
      <c r="E725" s="129">
        <f>'Free Spins Symbol'!$X$18</f>
        <v>40</v>
      </c>
      <c r="F725" s="117">
        <f>VLOOKUP(MID($A725,13,2),'Free Spins Symbol'!$T$2:$Z$29,7,0)</f>
        <v>48</v>
      </c>
      <c r="G725" s="100">
        <f>(B725*C725*D725-B718*C718*D718)*(E725-E715)*F725</f>
        <v>0</v>
      </c>
      <c r="H725" s="118" t="e">
        <f t="shared" si="137"/>
        <v>#DIV/0!</v>
      </c>
      <c r="I725" s="100">
        <v>20</v>
      </c>
      <c r="J725" s="119">
        <f t="shared" si="141"/>
        <v>0</v>
      </c>
      <c r="K725" s="120">
        <f t="shared" si="142"/>
        <v>0</v>
      </c>
    </row>
    <row r="726" spans="1:13" x14ac:dyDescent="0.3">
      <c r="A726" s="116" t="s">
        <v>267</v>
      </c>
      <c r="B726" s="129">
        <f>'Free Spins Symbol'!$V$18</f>
        <v>100</v>
      </c>
      <c r="C726" s="129">
        <f>'Free Spins Symbol'!$W$18</f>
        <v>56</v>
      </c>
      <c r="D726" s="117">
        <f>VLOOKUP(MID($A726,7,2),'Free Spins Symbol'!$T$2:$Z$29,5,0)</f>
        <v>2</v>
      </c>
      <c r="E726" s="129">
        <f>'Free Spins Symbol'!$X$18</f>
        <v>40</v>
      </c>
      <c r="F726" s="117">
        <f>VLOOKUP(MID($A726,13,2),'Free Spins Symbol'!$T$2:$Z$29,7,0)</f>
        <v>48</v>
      </c>
      <c r="G726" s="100">
        <f>(B726*C726*D726-B718*C718*D718)*(E726-E716)*F726</f>
        <v>0</v>
      </c>
      <c r="H726" s="118" t="e">
        <f t="shared" si="137"/>
        <v>#DIV/0!</v>
      </c>
      <c r="I726" s="100">
        <v>10</v>
      </c>
      <c r="J726" s="119">
        <f t="shared" si="141"/>
        <v>0</v>
      </c>
      <c r="K726" s="120">
        <f t="shared" si="142"/>
        <v>0</v>
      </c>
    </row>
    <row r="727" spans="1:13" x14ac:dyDescent="0.3">
      <c r="A727" s="116" t="s">
        <v>268</v>
      </c>
      <c r="B727" s="129">
        <f>'Free Spins Symbol'!$V$18</f>
        <v>100</v>
      </c>
      <c r="C727" s="129">
        <f>'Free Spins Symbol'!$W$18</f>
        <v>56</v>
      </c>
      <c r="D727" s="117">
        <f>VLOOKUP(MID($A727,7,2),'Free Spins Symbol'!$T$2:$Z$29,5,0)</f>
        <v>2</v>
      </c>
      <c r="E727" s="129">
        <f>'Free Spins Symbol'!$X$18</f>
        <v>40</v>
      </c>
      <c r="F727" s="117">
        <f>VLOOKUP(MID($A727,13,2),'Free Spins Symbol'!$T$2:$Z$29,7,0)</f>
        <v>48</v>
      </c>
      <c r="G727" s="100">
        <f>(B727*C727*D727-B718*C718*D718)*(E727-E717)*F727</f>
        <v>0</v>
      </c>
      <c r="H727" s="118" t="e">
        <f t="shared" si="137"/>
        <v>#DIV/0!</v>
      </c>
      <c r="I727" s="100">
        <v>10</v>
      </c>
      <c r="J727" s="119">
        <f t="shared" si="141"/>
        <v>0</v>
      </c>
      <c r="K727" s="120">
        <f t="shared" si="142"/>
        <v>0</v>
      </c>
    </row>
    <row r="728" spans="1:13" x14ac:dyDescent="0.3">
      <c r="A728" s="116" t="s">
        <v>269</v>
      </c>
      <c r="B728" s="129">
        <f>'Free Spins Symbol'!$V$18</f>
        <v>100</v>
      </c>
      <c r="C728" s="129">
        <f>'Free Spins Symbol'!$W$18</f>
        <v>56</v>
      </c>
      <c r="D728" s="117">
        <f>VLOOKUP(MID($A728,7,2),'Free Spins Symbol'!$T$2:$Z$29,5,0)</f>
        <v>1</v>
      </c>
      <c r="E728" s="129">
        <f>'Free Spins Symbol'!$X$18</f>
        <v>40</v>
      </c>
      <c r="F728" s="117">
        <f>VLOOKUP(MID($A728,13,2),'Free Spins Symbol'!$T$2:$Z$29,7,0)</f>
        <v>48</v>
      </c>
      <c r="G728" s="100">
        <f>(B728*C728*D728-B718*C718*D718)*(E728-E719)*F728</f>
        <v>0</v>
      </c>
      <c r="H728" s="118" t="e">
        <f t="shared" si="137"/>
        <v>#DIV/0!</v>
      </c>
      <c r="I728" s="100">
        <v>5</v>
      </c>
      <c r="J728" s="119">
        <f t="shared" si="141"/>
        <v>0</v>
      </c>
      <c r="K728" s="120">
        <f t="shared" si="142"/>
        <v>0</v>
      </c>
    </row>
    <row r="729" spans="1:13" x14ac:dyDescent="0.3">
      <c r="A729" s="116" t="s">
        <v>270</v>
      </c>
      <c r="B729" s="129">
        <f>'Free Spins Symbol'!$V$18</f>
        <v>100</v>
      </c>
      <c r="C729" s="129">
        <f>'Free Spins Symbol'!$W$18</f>
        <v>56</v>
      </c>
      <c r="D729" s="117">
        <f>VLOOKUP(MID($A729,7,2),'Free Spins Symbol'!$T$2:$Z$29,5,0)</f>
        <v>9</v>
      </c>
      <c r="E729" s="129">
        <f>'Free Spins Symbol'!$X$18</f>
        <v>40</v>
      </c>
      <c r="F729" s="117">
        <f>VLOOKUP(MID($A729,13,2),'Free Spins Symbol'!$T$2:$Z$29,7,0)</f>
        <v>48</v>
      </c>
      <c r="G729" s="100">
        <f>(B729*C729*D729-B718*C718*D718)*(E729-E720)*F729</f>
        <v>0</v>
      </c>
      <c r="H729" s="118" t="e">
        <f t="shared" si="137"/>
        <v>#DIV/0!</v>
      </c>
      <c r="I729" s="100">
        <v>5</v>
      </c>
      <c r="J729" s="119">
        <f t="shared" si="141"/>
        <v>0</v>
      </c>
      <c r="K729" s="120">
        <f t="shared" si="142"/>
        <v>0</v>
      </c>
    </row>
    <row r="730" spans="1:13" x14ac:dyDescent="0.3">
      <c r="A730" s="116" t="s">
        <v>271</v>
      </c>
      <c r="B730" s="129">
        <f>'Free Spins Symbol'!$V$18</f>
        <v>100</v>
      </c>
      <c r="C730" s="129">
        <f>'Free Spins Symbol'!$W$18</f>
        <v>56</v>
      </c>
      <c r="D730" s="117">
        <f>VLOOKUP(MID($A730,7,2),'Free Spins Symbol'!$T$2:$Z$29,5,0)</f>
        <v>9</v>
      </c>
      <c r="E730" s="129">
        <f>'Free Spins Symbol'!$X$18</f>
        <v>40</v>
      </c>
      <c r="F730" s="117">
        <f>VLOOKUP(MID($A730,13,2),'Free Spins Symbol'!$T$2:$Z$29,7,0)</f>
        <v>48</v>
      </c>
      <c r="G730" s="100">
        <f>(B730*C730*D730-B718*C718*D718)*(E730-E721)*F730</f>
        <v>0</v>
      </c>
      <c r="H730" s="118" t="e">
        <f t="shared" si="137"/>
        <v>#DIV/0!</v>
      </c>
      <c r="I730" s="100">
        <v>5</v>
      </c>
      <c r="J730" s="119">
        <f t="shared" si="141"/>
        <v>0</v>
      </c>
      <c r="K730" s="120">
        <f t="shared" si="142"/>
        <v>0</v>
      </c>
    </row>
    <row r="731" spans="1:13" x14ac:dyDescent="0.3">
      <c r="A731" s="116" t="s">
        <v>272</v>
      </c>
      <c r="B731" s="129">
        <f>'Free Spins Symbol'!$V$18</f>
        <v>100</v>
      </c>
      <c r="C731" s="129">
        <f>'Free Spins Symbol'!$W$18</f>
        <v>56</v>
      </c>
      <c r="D731" s="117">
        <f>VLOOKUP(MID($A731,7,2),'Free Spins Symbol'!$T$2:$Z$29,5,0)</f>
        <v>1</v>
      </c>
      <c r="E731" s="129">
        <f>'Free Spins Symbol'!$X$18</f>
        <v>40</v>
      </c>
      <c r="F731" s="117">
        <f>VLOOKUP(MID($A731,13,2),'Free Spins Symbol'!$T$2:$Z$29,7,0)</f>
        <v>48</v>
      </c>
      <c r="G731" s="100">
        <f>(B731*C731*D731-B718*C718*D718)*(E731-E722)*F731</f>
        <v>0</v>
      </c>
      <c r="H731" s="118" t="e">
        <f t="shared" si="137"/>
        <v>#DIV/0!</v>
      </c>
      <c r="I731" s="100">
        <v>5</v>
      </c>
      <c r="J731" s="119">
        <f t="shared" si="141"/>
        <v>0</v>
      </c>
      <c r="K731" s="120">
        <f t="shared" si="142"/>
        <v>0</v>
      </c>
    </row>
    <row r="732" spans="1:13" x14ac:dyDescent="0.3">
      <c r="A732" s="116" t="s">
        <v>273</v>
      </c>
      <c r="B732" s="129">
        <f>'Free Spins Symbol'!$V$18</f>
        <v>100</v>
      </c>
      <c r="C732" s="129">
        <f>'Free Spins Symbol'!$W$18</f>
        <v>56</v>
      </c>
      <c r="D732" s="117">
        <f>VLOOKUP(MID($A732,7,2),'Free Spins Symbol'!$T$2:$Z$29,5,0)</f>
        <v>10</v>
      </c>
      <c r="E732" s="129">
        <f>'Free Spins Symbol'!$X$18</f>
        <v>40</v>
      </c>
      <c r="F732" s="117">
        <f>VLOOKUP(MID($A732,13,2),'Free Spins Symbol'!$T$2:$Z$29,7,0)</f>
        <v>48</v>
      </c>
      <c r="G732" s="100">
        <f>(B732*C732*D732-B718*C718*D718)*(E732-E723)*F732</f>
        <v>0</v>
      </c>
      <c r="H732" s="118" t="e">
        <f t="shared" si="137"/>
        <v>#DIV/0!</v>
      </c>
      <c r="I732" s="100">
        <v>5</v>
      </c>
      <c r="J732" s="119">
        <f t="shared" si="141"/>
        <v>0</v>
      </c>
      <c r="K732" s="120">
        <f t="shared" si="142"/>
        <v>0</v>
      </c>
    </row>
    <row r="733" spans="1:13" x14ac:dyDescent="0.3">
      <c r="A733" s="116" t="s">
        <v>274</v>
      </c>
      <c r="B733" s="129">
        <f>'Free Spins Symbol'!$V$18</f>
        <v>100</v>
      </c>
      <c r="C733" s="129">
        <f>'Free Spins Symbol'!$W$18</f>
        <v>56</v>
      </c>
      <c r="D733" s="117">
        <f>VLOOKUP(MID($A733,7,2),'Free Spins Symbol'!$T$2:$Z$29,5,0)</f>
        <v>40</v>
      </c>
      <c r="E733" s="129">
        <f>'Free Spins Symbol'!$X$18</f>
        <v>40</v>
      </c>
      <c r="F733" s="117">
        <f>VLOOKUP(MID($A733,13,2),'Free Spins Symbol'!$T$2:$Z$29,7,0)</f>
        <v>48</v>
      </c>
      <c r="G733" s="100">
        <v>0</v>
      </c>
      <c r="H733" s="118" t="e">
        <f t="shared" si="137"/>
        <v>#DIV/0!</v>
      </c>
      <c r="I733" s="100">
        <v>5</v>
      </c>
      <c r="J733" s="119">
        <f t="shared" si="141"/>
        <v>0</v>
      </c>
      <c r="K733" s="120">
        <f t="shared" si="142"/>
        <v>0</v>
      </c>
    </row>
    <row r="734" spans="1:13" x14ac:dyDescent="0.3">
      <c r="A734" s="116" t="s">
        <v>275</v>
      </c>
      <c r="B734" s="129">
        <f>'Free Spins Symbol'!$V$18</f>
        <v>100</v>
      </c>
      <c r="C734" s="129">
        <f>'Free Spins Symbol'!$W$18</f>
        <v>56</v>
      </c>
      <c r="D734" s="117">
        <f>VLOOKUP(MID($A734,7,2),'Free Spins Symbol'!$T$2:$Z$29,5,0)</f>
        <v>40</v>
      </c>
      <c r="E734" s="129">
        <f>'Free Spins Symbol'!$X$18</f>
        <v>40</v>
      </c>
      <c r="F734" s="117">
        <f>VLOOKUP(MID($A734,13,2),'Free Spins Symbol'!$T$2:$Z$29,7,0)</f>
        <v>48</v>
      </c>
      <c r="G734" s="100">
        <v>0</v>
      </c>
      <c r="H734" s="118" t="e">
        <f t="shared" si="137"/>
        <v>#DIV/0!</v>
      </c>
      <c r="I734" s="100">
        <v>5</v>
      </c>
      <c r="J734" s="119">
        <f t="shared" si="141"/>
        <v>0</v>
      </c>
      <c r="K734" s="120">
        <f t="shared" si="142"/>
        <v>0</v>
      </c>
    </row>
    <row r="735" spans="1:13" x14ac:dyDescent="0.3">
      <c r="A735" s="116" t="s">
        <v>276</v>
      </c>
      <c r="B735" s="129">
        <f>'Free Spins Symbol'!$V$18</f>
        <v>100</v>
      </c>
      <c r="C735" s="129">
        <f>'Free Spins Symbol'!$W$18</f>
        <v>56</v>
      </c>
      <c r="D735" s="117">
        <f>VLOOKUP(MID($A735,7,2),'Free Spins Symbol'!$T$2:$Z$29,5,0)</f>
        <v>40</v>
      </c>
      <c r="E735" s="129">
        <f>'Free Spins Symbol'!$X$18</f>
        <v>40</v>
      </c>
      <c r="F735" s="117">
        <f>VLOOKUP(MID($A735,13,2),'Free Spins Symbol'!$T$2:$Z$29,7,0)</f>
        <v>48</v>
      </c>
      <c r="G735" s="100">
        <v>0</v>
      </c>
      <c r="H735" s="118" t="e">
        <f t="shared" si="137"/>
        <v>#DIV/0!</v>
      </c>
      <c r="I735" s="100">
        <v>5</v>
      </c>
      <c r="J735" s="119">
        <f t="shared" si="141"/>
        <v>0</v>
      </c>
      <c r="K735" s="120">
        <f t="shared" si="142"/>
        <v>0</v>
      </c>
    </row>
    <row r="736" spans="1:13" x14ac:dyDescent="0.3">
      <c r="A736" s="116" t="s">
        <v>277</v>
      </c>
      <c r="B736" s="129">
        <f>'Free Spins Symbol'!$V$18</f>
        <v>100</v>
      </c>
      <c r="C736" s="129">
        <f>'Free Spins Symbol'!$W$18</f>
        <v>56</v>
      </c>
      <c r="D736" s="117">
        <f>VLOOKUP(MID($A736,7,2),'Free Spins Symbol'!$T$2:$Z$29,5,0)</f>
        <v>40</v>
      </c>
      <c r="E736" s="129">
        <f>'Free Spins Symbol'!$X$18</f>
        <v>40</v>
      </c>
      <c r="F736" s="117">
        <f>VLOOKUP(MID($A736,13,2),'Free Spins Symbol'!$T$2:$Z$29,7,0)</f>
        <v>48</v>
      </c>
      <c r="G736" s="100">
        <v>0</v>
      </c>
      <c r="H736" s="118" t="e">
        <f t="shared" si="137"/>
        <v>#DIV/0!</v>
      </c>
      <c r="I736" s="100">
        <v>5</v>
      </c>
      <c r="J736" s="119">
        <f t="shared" si="141"/>
        <v>0</v>
      </c>
      <c r="K736" s="120">
        <f t="shared" si="142"/>
        <v>0</v>
      </c>
    </row>
    <row r="737" spans="1:11" x14ac:dyDescent="0.3">
      <c r="A737" s="116" t="s">
        <v>278</v>
      </c>
      <c r="B737" s="129">
        <f>'Free Spins Symbol'!$V$18</f>
        <v>100</v>
      </c>
      <c r="C737" s="129">
        <f>'Free Spins Symbol'!$W$18</f>
        <v>56</v>
      </c>
      <c r="D737" s="117">
        <f>VLOOKUP(MID($A737,7,2),'Free Spins Symbol'!$T$2:$Z$29,5,0)</f>
        <v>40</v>
      </c>
      <c r="E737" s="129">
        <f>'Free Spins Symbol'!$X$18</f>
        <v>40</v>
      </c>
      <c r="F737" s="117">
        <f>VLOOKUP(MID($A737,13,2),'Free Spins Symbol'!$T$2:$Z$29,7,0)</f>
        <v>48</v>
      </c>
      <c r="G737" s="100">
        <v>0</v>
      </c>
      <c r="H737" s="118" t="e">
        <f t="shared" si="137"/>
        <v>#DIV/0!</v>
      </c>
      <c r="I737" s="100">
        <v>5</v>
      </c>
      <c r="J737" s="119">
        <f t="shared" si="141"/>
        <v>0</v>
      </c>
      <c r="K737" s="120">
        <f t="shared" si="142"/>
        <v>0</v>
      </c>
    </row>
    <row r="738" spans="1:11" x14ac:dyDescent="0.3">
      <c r="A738" s="122" t="s">
        <v>279</v>
      </c>
      <c r="B738" s="117">
        <f>VLOOKUP(MID($A738,1,2),'Free Spins Symbol'!$T$2:$Z$29,3,0)</f>
        <v>100</v>
      </c>
      <c r="C738" s="117">
        <f>VLOOKUP(MID($A738,4,2),'Free Spins Symbol'!$T$2:$Z$29,4,0)</f>
        <v>8</v>
      </c>
      <c r="D738" s="117">
        <f>VLOOKUP(MID($A738,7,2),'Free Spins Symbol'!$T$2:$Z$29,5,0)</f>
        <v>4</v>
      </c>
      <c r="E738" s="117">
        <f>VLOOKUP(MID($A738,10,2),'Free Spins Symbol'!$T$2:$Z$29,6,0)</f>
        <v>16</v>
      </c>
      <c r="F738" s="117">
        <f>VLOOKUP(MID($A738,13,2),'Free Spins Symbol'!$T$2:$Z$29,7,0)</f>
        <v>48</v>
      </c>
      <c r="G738" s="100">
        <f>B738*C738*D738*E738*F738</f>
        <v>2457600</v>
      </c>
      <c r="H738" s="118">
        <f t="shared" si="137"/>
        <v>140</v>
      </c>
      <c r="I738" s="123">
        <v>2</v>
      </c>
      <c r="J738" s="124">
        <f t="shared" si="141"/>
        <v>1.4285714285714285E-2</v>
      </c>
      <c r="K738" s="120">
        <f t="shared" si="142"/>
        <v>7.1428571428571426E-3</v>
      </c>
    </row>
    <row r="740" spans="1:11" ht="16.8" thickBot="1" x14ac:dyDescent="0.35"/>
    <row r="741" spans="1:11" ht="16.8" thickBot="1" x14ac:dyDescent="0.35">
      <c r="A741" s="125" t="s">
        <v>310</v>
      </c>
    </row>
    <row r="742" spans="1:11" ht="16.8" thickBot="1" x14ac:dyDescent="0.35">
      <c r="A742" s="95" t="s">
        <v>280</v>
      </c>
      <c r="B742" s="142">
        <f>B2</f>
        <v>344064000</v>
      </c>
      <c r="C742" s="142"/>
      <c r="D742" s="142"/>
      <c r="E742" s="142"/>
      <c r="F742" s="142"/>
      <c r="G742" s="7"/>
      <c r="H742" s="106"/>
      <c r="I742" s="107" t="s">
        <v>281</v>
      </c>
      <c r="J742" s="108">
        <f>SUM(J744:J778)</f>
        <v>31.339285714285715</v>
      </c>
      <c r="K742" s="126">
        <f>SUM(K744:K779)</f>
        <v>0.97142857142857131</v>
      </c>
    </row>
    <row r="743" spans="1:11" ht="33" thickBot="1" x14ac:dyDescent="0.35">
      <c r="A743" s="109" t="s">
        <v>233</v>
      </c>
      <c r="B743" s="110" t="s">
        <v>234</v>
      </c>
      <c r="C743" s="110" t="s">
        <v>235</v>
      </c>
      <c r="D743" s="110" t="s">
        <v>236</v>
      </c>
      <c r="E743" s="110" t="s">
        <v>237</v>
      </c>
      <c r="F743" s="110" t="s">
        <v>238</v>
      </c>
      <c r="G743" s="111" t="s">
        <v>239</v>
      </c>
      <c r="H743" s="112" t="s">
        <v>240</v>
      </c>
      <c r="I743" s="113" t="s">
        <v>241</v>
      </c>
      <c r="J743" s="114" t="s">
        <v>242</v>
      </c>
      <c r="K743" s="115" t="s">
        <v>243</v>
      </c>
    </row>
    <row r="744" spans="1:11" x14ac:dyDescent="0.3">
      <c r="A744" s="116" t="s">
        <v>244</v>
      </c>
      <c r="B744" s="129">
        <f>'Free Spins Symbol'!$V$18</f>
        <v>100</v>
      </c>
      <c r="C744" s="117">
        <f>VLOOKUP(MID($A744,4,2),'Free Spins Symbol'!$T$2:$Z$29,4,0)</f>
        <v>0</v>
      </c>
      <c r="D744" s="129">
        <f>'Free Spins Symbol'!$X$18</f>
        <v>40</v>
      </c>
      <c r="E744" s="129">
        <f>'Free Spins Symbol'!$Y$18</f>
        <v>32</v>
      </c>
      <c r="F744" s="117">
        <f>VLOOKUP(MID($A744,13,2),'Free Spins Symbol'!$T$2:$Z$29,7,0)</f>
        <v>0</v>
      </c>
      <c r="G744" s="100">
        <f>B744*C744*D744*E744*F744</f>
        <v>0</v>
      </c>
      <c r="H744" s="118" t="e">
        <f>B$2/G744</f>
        <v>#DIV/0!</v>
      </c>
      <c r="I744" s="100">
        <v>500</v>
      </c>
      <c r="J744" s="119">
        <f t="shared" ref="J744:J748" si="143">K744*I744</f>
        <v>0</v>
      </c>
      <c r="K744" s="120">
        <f>G744/B$2</f>
        <v>0</v>
      </c>
    </row>
    <row r="745" spans="1:11" x14ac:dyDescent="0.3">
      <c r="A745" s="116" t="s">
        <v>245</v>
      </c>
      <c r="B745" s="129">
        <f>'Free Spins Symbol'!$V$18</f>
        <v>100</v>
      </c>
      <c r="C745" s="117">
        <f>VLOOKUP(MID($A745,4,2),'Free Spins Symbol'!$T$2:$Z$29,4,0)</f>
        <v>2</v>
      </c>
      <c r="D745" s="129">
        <f>'Free Spins Symbol'!$X$18</f>
        <v>40</v>
      </c>
      <c r="E745" s="129">
        <f>'Free Spins Symbol'!$Y$18</f>
        <v>32</v>
      </c>
      <c r="F745" s="117">
        <f>VLOOKUP(MID($A745,13,2),'Free Spins Symbol'!$T$2:$Z$29,7,0)</f>
        <v>1</v>
      </c>
      <c r="G745" s="100">
        <f>B745*C745*D745*E745*F745-G744</f>
        <v>256000</v>
      </c>
      <c r="H745" s="118">
        <f t="shared" ref="H745:H779" si="144">B$2/G745</f>
        <v>1344</v>
      </c>
      <c r="I745" s="100">
        <v>250</v>
      </c>
      <c r="J745" s="119">
        <f t="shared" si="143"/>
        <v>0.18601190476190474</v>
      </c>
      <c r="K745" s="120">
        <f t="shared" ref="K745:K748" si="145">G745/B$2</f>
        <v>7.4404761904761901E-4</v>
      </c>
    </row>
    <row r="746" spans="1:11" x14ac:dyDescent="0.3">
      <c r="A746" s="116" t="s">
        <v>246</v>
      </c>
      <c r="B746" s="129">
        <f>'Free Spins Symbol'!$V$18</f>
        <v>100</v>
      </c>
      <c r="C746" s="117">
        <f>VLOOKUP(MID($A746,4,2),'Free Spins Symbol'!$T$2:$Z$29,4,0)</f>
        <v>2</v>
      </c>
      <c r="D746" s="129">
        <f>'Free Spins Symbol'!$X$18</f>
        <v>40</v>
      </c>
      <c r="E746" s="129">
        <f>'Free Spins Symbol'!$Y$18</f>
        <v>32</v>
      </c>
      <c r="F746" s="117">
        <f>VLOOKUP(MID($A746,13,2),'Free Spins Symbol'!$T$2:$Z$29,7,0)</f>
        <v>1</v>
      </c>
      <c r="G746" s="100">
        <f>B746*C746*D746*E746*F746-G744</f>
        <v>256000</v>
      </c>
      <c r="H746" s="118">
        <f t="shared" si="144"/>
        <v>1344</v>
      </c>
      <c r="I746" s="100">
        <v>250</v>
      </c>
      <c r="J746" s="119">
        <f t="shared" si="143"/>
        <v>0.18601190476190474</v>
      </c>
      <c r="K746" s="120">
        <f t="shared" si="145"/>
        <v>7.4404761904761901E-4</v>
      </c>
    </row>
    <row r="747" spans="1:11" x14ac:dyDescent="0.3">
      <c r="A747" s="116" t="s">
        <v>247</v>
      </c>
      <c r="B747" s="129">
        <f>'Free Spins Symbol'!$V$18</f>
        <v>100</v>
      </c>
      <c r="C747" s="117">
        <f>VLOOKUP(MID($A747,4,2),'Free Spins Symbol'!$T$2:$Z$29,4,0)</f>
        <v>4</v>
      </c>
      <c r="D747" s="129">
        <f>'Free Spins Symbol'!$X$18</f>
        <v>40</v>
      </c>
      <c r="E747" s="129">
        <f>'Free Spins Symbol'!$Y$18</f>
        <v>32</v>
      </c>
      <c r="F747" s="117">
        <f>VLOOKUP(MID($A747,13,2),'Free Spins Symbol'!$T$2:$Z$29,7,0)</f>
        <v>5</v>
      </c>
      <c r="G747" s="100">
        <f>B747*C747*D747*E747*F747-G744</f>
        <v>2560000</v>
      </c>
      <c r="H747" s="118">
        <f t="shared" si="144"/>
        <v>134.4</v>
      </c>
      <c r="I747" s="100">
        <v>150</v>
      </c>
      <c r="J747" s="119">
        <f t="shared" si="143"/>
        <v>1.1160714285714286</v>
      </c>
      <c r="K747" s="120">
        <f t="shared" si="145"/>
        <v>7.4404761904761901E-3</v>
      </c>
    </row>
    <row r="748" spans="1:11" x14ac:dyDescent="0.3">
      <c r="A748" s="116" t="s">
        <v>248</v>
      </c>
      <c r="B748" s="129">
        <f>'Free Spins Symbol'!$V$18</f>
        <v>100</v>
      </c>
      <c r="C748" s="117">
        <f>VLOOKUP(MID($A748,4,2),'Free Spins Symbol'!$T$2:$Z$29,4,0)</f>
        <v>4</v>
      </c>
      <c r="D748" s="129">
        <f>'Free Spins Symbol'!$X$18</f>
        <v>40</v>
      </c>
      <c r="E748" s="129">
        <f>'Free Spins Symbol'!$Y$18</f>
        <v>32</v>
      </c>
      <c r="F748" s="117">
        <f>VLOOKUP(MID($A748,13,2),'Free Spins Symbol'!$T$2:$Z$29,7,0)</f>
        <v>5</v>
      </c>
      <c r="G748" s="100">
        <f>B748*C748*D748*E748*F748-G744</f>
        <v>2560000</v>
      </c>
      <c r="H748" s="118">
        <f t="shared" si="144"/>
        <v>134.4</v>
      </c>
      <c r="I748" s="100">
        <v>150</v>
      </c>
      <c r="J748" s="119">
        <f t="shared" si="143"/>
        <v>1.1160714285714286</v>
      </c>
      <c r="K748" s="120">
        <f t="shared" si="145"/>
        <v>7.4404761904761901E-3</v>
      </c>
    </row>
    <row r="749" spans="1:11" x14ac:dyDescent="0.3">
      <c r="A749" s="116" t="s">
        <v>254</v>
      </c>
      <c r="B749" s="129">
        <f>'Free Spins Symbol'!$V$18</f>
        <v>100</v>
      </c>
      <c r="C749" s="117">
        <f>VLOOKUP(MID($A749,4,2),'Free Spins Symbol'!$T$2:$Z$29,4,0)</f>
        <v>0</v>
      </c>
      <c r="D749" s="129">
        <f>'Free Spins Symbol'!$X$18</f>
        <v>40</v>
      </c>
      <c r="E749" s="129">
        <f>'Free Spins Symbol'!$Y$18</f>
        <v>32</v>
      </c>
      <c r="F749" s="117">
        <f>VLOOKUP(MID($A749,13,2),'Free Spins Symbol'!$T$2:$Z$29,7,0)</f>
        <v>48</v>
      </c>
      <c r="G749" s="100">
        <f>B749*C749*D749*E749*(F749-F748-F747-F746-F745+3*F744)</f>
        <v>0</v>
      </c>
      <c r="H749" s="118" t="e">
        <f t="shared" si="144"/>
        <v>#DIV/0!</v>
      </c>
      <c r="I749" s="100">
        <v>100</v>
      </c>
      <c r="J749" s="119">
        <f>K749*I749</f>
        <v>0</v>
      </c>
      <c r="K749" s="120">
        <f>G749/B$2</f>
        <v>0</v>
      </c>
    </row>
    <row r="750" spans="1:11" x14ac:dyDescent="0.3">
      <c r="A750" s="116" t="s">
        <v>249</v>
      </c>
      <c r="B750" s="129">
        <f>'Free Spins Symbol'!$V$18</f>
        <v>100</v>
      </c>
      <c r="C750" s="117">
        <f>VLOOKUP(MID($A750,4,2),'Free Spins Symbol'!$T$2:$Z$29,4,0)</f>
        <v>13</v>
      </c>
      <c r="D750" s="129">
        <f>'Free Spins Symbol'!$X$18</f>
        <v>40</v>
      </c>
      <c r="E750" s="129">
        <f>'Free Spins Symbol'!$Y$18</f>
        <v>32</v>
      </c>
      <c r="F750" s="117">
        <f>VLOOKUP(MID($A750,13,2),'Free Spins Symbol'!$T$2:$Z$29,7,0)</f>
        <v>2</v>
      </c>
      <c r="G750" s="100">
        <f>B750*C750*D750*E750*F750-G744</f>
        <v>3328000</v>
      </c>
      <c r="H750" s="118">
        <f t="shared" si="144"/>
        <v>103.38461538461539</v>
      </c>
      <c r="I750" s="100">
        <v>100</v>
      </c>
      <c r="J750" s="119">
        <f t="shared" ref="J750:J758" si="146">K750*I750</f>
        <v>0.96726190476190477</v>
      </c>
      <c r="K750" s="120">
        <f t="shared" ref="K750:K758" si="147">G750/B$2</f>
        <v>9.6726190476190479E-3</v>
      </c>
    </row>
    <row r="751" spans="1:11" x14ac:dyDescent="0.3">
      <c r="A751" s="116" t="s">
        <v>250</v>
      </c>
      <c r="B751" s="129">
        <f>'Free Spins Symbol'!$V$18</f>
        <v>100</v>
      </c>
      <c r="C751" s="117">
        <f>VLOOKUP(MID($A751,4,2),'Free Spins Symbol'!$T$2:$Z$29,4,0)</f>
        <v>1</v>
      </c>
      <c r="D751" s="129">
        <f>'Free Spins Symbol'!$X$18</f>
        <v>40</v>
      </c>
      <c r="E751" s="129">
        <f>'Free Spins Symbol'!$Y$18</f>
        <v>32</v>
      </c>
      <c r="F751" s="117">
        <f>VLOOKUP(MID($A751,13,2),'Free Spins Symbol'!$T$2:$Z$29,7,0)</f>
        <v>11</v>
      </c>
      <c r="G751" s="100">
        <f>B751*C751*D751*E751*F751-G744</f>
        <v>1408000</v>
      </c>
      <c r="H751" s="118">
        <f t="shared" si="144"/>
        <v>244.36363636363637</v>
      </c>
      <c r="I751" s="100">
        <v>100</v>
      </c>
      <c r="J751" s="119">
        <f t="shared" si="146"/>
        <v>0.40922619047619052</v>
      </c>
      <c r="K751" s="120">
        <f t="shared" si="147"/>
        <v>4.092261904761905E-3</v>
      </c>
    </row>
    <row r="752" spans="1:11" x14ac:dyDescent="0.3">
      <c r="A752" s="116" t="s">
        <v>251</v>
      </c>
      <c r="B752" s="129">
        <f>'Free Spins Symbol'!$V$18</f>
        <v>100</v>
      </c>
      <c r="C752" s="117">
        <f>VLOOKUP(MID($A752,4,2),'Free Spins Symbol'!$T$2:$Z$29,4,0)</f>
        <v>13</v>
      </c>
      <c r="D752" s="129">
        <f>'Free Spins Symbol'!$X$18</f>
        <v>40</v>
      </c>
      <c r="E752" s="129">
        <f>'Free Spins Symbol'!$Y$18</f>
        <v>32</v>
      </c>
      <c r="F752" s="117">
        <f>VLOOKUP(MID($A752,13,2),'Free Spins Symbol'!$T$2:$Z$29,7,0)</f>
        <v>1</v>
      </c>
      <c r="G752" s="100">
        <f>B752*C752*D752*E752*F752-G744</f>
        <v>1664000</v>
      </c>
      <c r="H752" s="118">
        <f t="shared" si="144"/>
        <v>206.76923076923077</v>
      </c>
      <c r="I752" s="100">
        <v>100</v>
      </c>
      <c r="J752" s="119">
        <f t="shared" si="146"/>
        <v>0.48363095238095238</v>
      </c>
      <c r="K752" s="120">
        <f t="shared" si="147"/>
        <v>4.836309523809524E-3</v>
      </c>
    </row>
    <row r="753" spans="1:11" x14ac:dyDescent="0.3">
      <c r="A753" s="116" t="s">
        <v>252</v>
      </c>
      <c r="B753" s="129">
        <f>'Free Spins Symbol'!$V$18</f>
        <v>100</v>
      </c>
      <c r="C753" s="117">
        <f>VLOOKUP(MID($A753,4,2),'Free Spins Symbol'!$T$2:$Z$29,4,0)</f>
        <v>13</v>
      </c>
      <c r="D753" s="129">
        <f>'Free Spins Symbol'!$X$18</f>
        <v>40</v>
      </c>
      <c r="E753" s="129">
        <f>'Free Spins Symbol'!$Y$18</f>
        <v>32</v>
      </c>
      <c r="F753" s="117">
        <f>VLOOKUP(MID($A753,13,2),'Free Spins Symbol'!$T$2:$Z$29,7,0)</f>
        <v>11</v>
      </c>
      <c r="G753" s="100">
        <f>(B753*C753*D753*E753)*F753-G744</f>
        <v>18304000</v>
      </c>
      <c r="H753" s="118">
        <f t="shared" si="144"/>
        <v>18.797202797202797</v>
      </c>
      <c r="I753" s="100">
        <v>100</v>
      </c>
      <c r="J753" s="119">
        <f t="shared" si="146"/>
        <v>5.3199404761904763</v>
      </c>
      <c r="K753" s="120">
        <f t="shared" si="147"/>
        <v>5.319940476190476E-2</v>
      </c>
    </row>
    <row r="754" spans="1:11" x14ac:dyDescent="0.3">
      <c r="A754" s="116" t="s">
        <v>253</v>
      </c>
      <c r="B754" s="129">
        <f>'Free Spins Symbol'!$V$18</f>
        <v>100</v>
      </c>
      <c r="C754" s="117">
        <f>VLOOKUP(MID($A754,4,2),'Free Spins Symbol'!$T$2:$Z$29,4,0)</f>
        <v>2</v>
      </c>
      <c r="D754" s="129">
        <f>'Free Spins Symbol'!$X$18</f>
        <v>40</v>
      </c>
      <c r="E754" s="129">
        <f>'Free Spins Symbol'!$Y$18</f>
        <v>32</v>
      </c>
      <c r="F754" s="117">
        <f>VLOOKUP(MID($A754,13,2),'Free Spins Symbol'!$T$2:$Z$29,7,0)</f>
        <v>11</v>
      </c>
      <c r="G754" s="100">
        <f>B754*C754*D754*E754*F754-G744</f>
        <v>2816000</v>
      </c>
      <c r="H754" s="118">
        <f t="shared" si="144"/>
        <v>122.18181818181819</v>
      </c>
      <c r="I754" s="100">
        <v>100</v>
      </c>
      <c r="J754" s="119">
        <f t="shared" si="146"/>
        <v>0.81845238095238104</v>
      </c>
      <c r="K754" s="120">
        <f t="shared" si="147"/>
        <v>8.1845238095238099E-3</v>
      </c>
    </row>
    <row r="755" spans="1:11" x14ac:dyDescent="0.3">
      <c r="A755" s="116" t="s">
        <v>255</v>
      </c>
      <c r="B755" s="129">
        <f>'Free Spins Symbol'!$V$18</f>
        <v>100</v>
      </c>
      <c r="C755" s="117">
        <f>VLOOKUP(MID($A755,4,2),'Free Spins Symbol'!$T$2:$Z$29,4,0)</f>
        <v>2</v>
      </c>
      <c r="D755" s="129">
        <f>'Free Spins Symbol'!$X$18</f>
        <v>40</v>
      </c>
      <c r="E755" s="129">
        <f>'Free Spins Symbol'!$Y$18</f>
        <v>32</v>
      </c>
      <c r="F755" s="117">
        <f>VLOOKUP(MID($A755,13,2),'Free Spins Symbol'!$T$2:$Z$29,7,0)</f>
        <v>48</v>
      </c>
      <c r="G755" s="100">
        <f>(B755*C755*D755*E755-B749*C749*D749*E749)*(F755-F745)</f>
        <v>12032000</v>
      </c>
      <c r="H755" s="118">
        <f t="shared" si="144"/>
        <v>28.595744680851062</v>
      </c>
      <c r="I755" s="100">
        <v>50</v>
      </c>
      <c r="J755" s="119">
        <f t="shared" si="146"/>
        <v>1.7485119047619049</v>
      </c>
      <c r="K755" s="120">
        <f t="shared" si="147"/>
        <v>3.4970238095238096E-2</v>
      </c>
    </row>
    <row r="756" spans="1:11" x14ac:dyDescent="0.3">
      <c r="A756" s="116" t="s">
        <v>256</v>
      </c>
      <c r="B756" s="129">
        <f>'Free Spins Symbol'!$V$18</f>
        <v>100</v>
      </c>
      <c r="C756" s="117">
        <f>VLOOKUP(MID($A756,4,2),'Free Spins Symbol'!$T$2:$Z$29,4,0)</f>
        <v>2</v>
      </c>
      <c r="D756" s="129">
        <f>'Free Spins Symbol'!$X$18</f>
        <v>40</v>
      </c>
      <c r="E756" s="129">
        <f>'Free Spins Symbol'!$Y$18</f>
        <v>32</v>
      </c>
      <c r="F756" s="117">
        <f>VLOOKUP(MID($A756,13,2),'Free Spins Symbol'!$T$2:$Z$29,7,0)</f>
        <v>48</v>
      </c>
      <c r="G756" s="100">
        <f>(B756*C756*D756*E756-B749*C749*D749*E749)*(F756-F746)</f>
        <v>12032000</v>
      </c>
      <c r="H756" s="118">
        <f t="shared" si="144"/>
        <v>28.595744680851062</v>
      </c>
      <c r="I756" s="100">
        <v>50</v>
      </c>
      <c r="J756" s="119">
        <f t="shared" si="146"/>
        <v>1.7485119047619049</v>
      </c>
      <c r="K756" s="120">
        <f t="shared" si="147"/>
        <v>3.4970238095238096E-2</v>
      </c>
    </row>
    <row r="757" spans="1:11" x14ac:dyDescent="0.3">
      <c r="A757" s="116" t="s">
        <v>257</v>
      </c>
      <c r="B757" s="129">
        <f>'Free Spins Symbol'!$V$18</f>
        <v>100</v>
      </c>
      <c r="C757" s="117">
        <f>VLOOKUP(MID($A757,4,2),'Free Spins Symbol'!$T$2:$Z$29,4,0)</f>
        <v>4</v>
      </c>
      <c r="D757" s="129">
        <f>'Free Spins Symbol'!$X$18</f>
        <v>40</v>
      </c>
      <c r="E757" s="129">
        <f>'Free Spins Symbol'!$Y$18</f>
        <v>32</v>
      </c>
      <c r="F757" s="117">
        <f>VLOOKUP(MID($A757,13,2),'Free Spins Symbol'!$T$2:$Z$29,7,0)</f>
        <v>48</v>
      </c>
      <c r="G757" s="100">
        <f>(B757*C757*D757*E757-B749*C749*D749*E749)*(F757-F747)</f>
        <v>22016000</v>
      </c>
      <c r="H757" s="118">
        <f t="shared" si="144"/>
        <v>15.627906976744185</v>
      </c>
      <c r="I757" s="100">
        <v>30</v>
      </c>
      <c r="J757" s="119">
        <f t="shared" si="146"/>
        <v>1.919642857142857</v>
      </c>
      <c r="K757" s="120">
        <f t="shared" si="147"/>
        <v>6.3988095238095233E-2</v>
      </c>
    </row>
    <row r="758" spans="1:11" x14ac:dyDescent="0.3">
      <c r="A758" s="116" t="s">
        <v>258</v>
      </c>
      <c r="B758" s="129">
        <f>'Free Spins Symbol'!$V$18</f>
        <v>100</v>
      </c>
      <c r="C758" s="117">
        <f>VLOOKUP(MID($A758,4,2),'Free Spins Symbol'!$T$2:$Z$29,4,0)</f>
        <v>4</v>
      </c>
      <c r="D758" s="129">
        <f>'Free Spins Symbol'!$X$18</f>
        <v>40</v>
      </c>
      <c r="E758" s="129">
        <f>'Free Spins Symbol'!$Y$18</f>
        <v>32</v>
      </c>
      <c r="F758" s="117">
        <f>VLOOKUP(MID($A758,13,2),'Free Spins Symbol'!$T$2:$Z$29,7,0)</f>
        <v>48</v>
      </c>
      <c r="G758" s="100">
        <f>(B758*C758*D758*E758-B749*C749*D749*E749)*(F758-F748)</f>
        <v>22016000</v>
      </c>
      <c r="H758" s="118">
        <f t="shared" si="144"/>
        <v>15.627906976744185</v>
      </c>
      <c r="I758" s="100">
        <v>30</v>
      </c>
      <c r="J758" s="119">
        <f t="shared" si="146"/>
        <v>1.919642857142857</v>
      </c>
      <c r="K758" s="120">
        <f t="shared" si="147"/>
        <v>6.3988095238095233E-2</v>
      </c>
    </row>
    <row r="759" spans="1:11" x14ac:dyDescent="0.3">
      <c r="A759" s="116" t="s">
        <v>264</v>
      </c>
      <c r="B759" s="129">
        <f>'Free Spins Symbol'!$V$18</f>
        <v>100</v>
      </c>
      <c r="C759" s="117">
        <f>VLOOKUP(MID($A759,4,2),'Free Spins Symbol'!$T$2:$Z$29,4,0)</f>
        <v>0</v>
      </c>
      <c r="D759" s="129">
        <f>'Free Spins Symbol'!$X$18</f>
        <v>40</v>
      </c>
      <c r="E759" s="129">
        <f>'Free Spins Symbol'!$Y$18</f>
        <v>32</v>
      </c>
      <c r="F759" s="117">
        <f>VLOOKUP(MID($A759,13,2),'Free Spins Symbol'!$T$2:$Z$29,7,0)</f>
        <v>48</v>
      </c>
      <c r="G759" s="100">
        <v>0</v>
      </c>
      <c r="H759" s="118" t="e">
        <f t="shared" si="144"/>
        <v>#DIV/0!</v>
      </c>
      <c r="I759" s="100">
        <v>20</v>
      </c>
      <c r="J759" s="119">
        <f>K759*I759</f>
        <v>0</v>
      </c>
      <c r="K759" s="120">
        <f>G759/B$2</f>
        <v>0</v>
      </c>
    </row>
    <row r="760" spans="1:11" x14ac:dyDescent="0.3">
      <c r="A760" s="116" t="s">
        <v>259</v>
      </c>
      <c r="B760" s="129">
        <f>'Free Spins Symbol'!$V$18</f>
        <v>100</v>
      </c>
      <c r="C760" s="117">
        <f>VLOOKUP(MID($A760,4,2),'Free Spins Symbol'!$T$2:$Z$29,4,0)</f>
        <v>13</v>
      </c>
      <c r="D760" s="129">
        <f>'Free Spins Symbol'!$X$18</f>
        <v>40</v>
      </c>
      <c r="E760" s="129">
        <f>'Free Spins Symbol'!$Y$18</f>
        <v>32</v>
      </c>
      <c r="F760" s="117">
        <f>VLOOKUP(MID($A760,13,2),'Free Spins Symbol'!$T$2:$Z$29,7,0)</f>
        <v>48</v>
      </c>
      <c r="G760" s="100">
        <f>(B760*C760*D760*E760-B749*C749*D749*E749)*(F760-F750)</f>
        <v>76544000</v>
      </c>
      <c r="H760" s="118">
        <f t="shared" si="144"/>
        <v>4.4949832775919729</v>
      </c>
      <c r="I760" s="100">
        <v>20</v>
      </c>
      <c r="J760" s="119">
        <f t="shared" ref="J760:J779" si="148">K760*I760</f>
        <v>4.4494047619047619</v>
      </c>
      <c r="K760" s="120">
        <f t="shared" ref="K760:K779" si="149">G760/B$2</f>
        <v>0.22247023809523808</v>
      </c>
    </row>
    <row r="761" spans="1:11" x14ac:dyDescent="0.3">
      <c r="A761" s="116" t="s">
        <v>260</v>
      </c>
      <c r="B761" s="129">
        <f>'Free Spins Symbol'!$V$18</f>
        <v>100</v>
      </c>
      <c r="C761" s="117">
        <f>VLOOKUP(MID($A761,4,2),'Free Spins Symbol'!$T$2:$Z$29,4,0)</f>
        <v>1</v>
      </c>
      <c r="D761" s="129">
        <f>'Free Spins Symbol'!$X$18</f>
        <v>40</v>
      </c>
      <c r="E761" s="129">
        <f>'Free Spins Symbol'!$Y$18</f>
        <v>32</v>
      </c>
      <c r="F761" s="117">
        <f>VLOOKUP(MID($A761,13,2),'Free Spins Symbol'!$T$2:$Z$29,7,0)</f>
        <v>48</v>
      </c>
      <c r="G761" s="100">
        <f>(B761*C761*D761*E761-B749*C749*D749*E749)*(F761-F751)</f>
        <v>4736000</v>
      </c>
      <c r="H761" s="118">
        <f t="shared" si="144"/>
        <v>72.648648648648646</v>
      </c>
      <c r="I761" s="100">
        <v>20</v>
      </c>
      <c r="J761" s="119">
        <f t="shared" si="148"/>
        <v>0.27529761904761907</v>
      </c>
      <c r="K761" s="120">
        <f t="shared" si="149"/>
        <v>1.3764880952380952E-2</v>
      </c>
    </row>
    <row r="762" spans="1:11" x14ac:dyDescent="0.3">
      <c r="A762" s="116" t="s">
        <v>261</v>
      </c>
      <c r="B762" s="129">
        <f>'Free Spins Symbol'!$V$18</f>
        <v>100</v>
      </c>
      <c r="C762" s="117">
        <f>VLOOKUP(MID($A762,4,2),'Free Spins Symbol'!$T$2:$Z$29,4,0)</f>
        <v>13</v>
      </c>
      <c r="D762" s="129">
        <f>'Free Spins Symbol'!$X$18</f>
        <v>40</v>
      </c>
      <c r="E762" s="129">
        <f>'Free Spins Symbol'!$Y$18</f>
        <v>32</v>
      </c>
      <c r="F762" s="117">
        <f>VLOOKUP(MID($A762,13,2),'Free Spins Symbol'!$T$2:$Z$29,7,0)</f>
        <v>48</v>
      </c>
      <c r="G762" s="100">
        <f>(B762*C762*D762*E762-B749*C749*D749*E749)*(F762-F752)</f>
        <v>78208000</v>
      </c>
      <c r="H762" s="118">
        <f t="shared" si="144"/>
        <v>4.3993453355155481</v>
      </c>
      <c r="I762" s="100">
        <v>20</v>
      </c>
      <c r="J762" s="119">
        <f t="shared" si="148"/>
        <v>4.5461309523809526</v>
      </c>
      <c r="K762" s="120">
        <f t="shared" si="149"/>
        <v>0.22730654761904762</v>
      </c>
    </row>
    <row r="763" spans="1:11" x14ac:dyDescent="0.3">
      <c r="A763" s="116" t="s">
        <v>262</v>
      </c>
      <c r="B763" s="129">
        <f>'Free Spins Symbol'!$V$18</f>
        <v>100</v>
      </c>
      <c r="C763" s="117">
        <f>VLOOKUP(MID($A763,4,2),'Free Spins Symbol'!$T$2:$Z$29,4,0)</f>
        <v>13</v>
      </c>
      <c r="D763" s="129">
        <f>'Free Spins Symbol'!$X$18</f>
        <v>40</v>
      </c>
      <c r="E763" s="129">
        <f>'Free Spins Symbol'!$Y$18</f>
        <v>32</v>
      </c>
      <c r="F763" s="117">
        <f>VLOOKUP(MID($A763,13,2),'Free Spins Symbol'!$T$2:$Z$29,7,0)</f>
        <v>48</v>
      </c>
      <c r="G763" s="100">
        <f>(B763*C763*D763*E763-B749*C749*D749*E749)*(F763-F753)</f>
        <v>61568000</v>
      </c>
      <c r="H763" s="118">
        <f t="shared" si="144"/>
        <v>5.5883575883575887</v>
      </c>
      <c r="I763" s="100">
        <v>20</v>
      </c>
      <c r="J763" s="119">
        <f t="shared" si="148"/>
        <v>3.5788690476190474</v>
      </c>
      <c r="K763" s="120">
        <f t="shared" si="149"/>
        <v>0.17894345238095238</v>
      </c>
    </row>
    <row r="764" spans="1:11" x14ac:dyDescent="0.3">
      <c r="A764" s="116" t="s">
        <v>263</v>
      </c>
      <c r="B764" s="129">
        <f>'Free Spins Symbol'!$V$18</f>
        <v>100</v>
      </c>
      <c r="C764" s="117">
        <f>VLOOKUP(MID($A764,4,2),'Free Spins Symbol'!$T$2:$Z$29,4,0)</f>
        <v>2</v>
      </c>
      <c r="D764" s="129">
        <f>'Free Spins Symbol'!$X$18</f>
        <v>40</v>
      </c>
      <c r="E764" s="129">
        <f>'Free Spins Symbol'!$Y$18</f>
        <v>32</v>
      </c>
      <c r="F764" s="117">
        <f>VLOOKUP(MID($A764,13,2),'Free Spins Symbol'!$T$2:$Z$29,7,0)</f>
        <v>48</v>
      </c>
      <c r="G764" s="100">
        <f>(B764*C764*D764*E764-B749*C749*D749*E749)*(F764-F754)</f>
        <v>9472000</v>
      </c>
      <c r="H764" s="118">
        <f t="shared" si="144"/>
        <v>36.324324324324323</v>
      </c>
      <c r="I764" s="100">
        <v>20</v>
      </c>
      <c r="J764" s="119">
        <f t="shared" si="148"/>
        <v>0.55059523809523814</v>
      </c>
      <c r="K764" s="120">
        <f t="shared" si="149"/>
        <v>2.7529761904761904E-2</v>
      </c>
    </row>
    <row r="765" spans="1:11" x14ac:dyDescent="0.3">
      <c r="A765" s="116" t="s">
        <v>265</v>
      </c>
      <c r="B765" s="129">
        <f>'Free Spins Symbol'!$V$18</f>
        <v>100</v>
      </c>
      <c r="C765" s="117">
        <f>VLOOKUP(MID($A765,4,2),'Free Spins Symbol'!$T$2:$Z$29,4,0)</f>
        <v>2</v>
      </c>
      <c r="D765" s="129">
        <f>'Free Spins Symbol'!$X$18</f>
        <v>40</v>
      </c>
      <c r="E765" s="129">
        <f>'Free Spins Symbol'!$Y$18</f>
        <v>32</v>
      </c>
      <c r="F765" s="117">
        <f>VLOOKUP(MID($A765,13,2),'Free Spins Symbol'!$T$2:$Z$29,7,0)</f>
        <v>48</v>
      </c>
      <c r="G765" s="100">
        <f>(B765*C765*D765-B759*C759*D759)*(E765-E755)*F765</f>
        <v>0</v>
      </c>
      <c r="H765" s="118" t="e">
        <f t="shared" si="144"/>
        <v>#DIV/0!</v>
      </c>
      <c r="I765" s="100">
        <v>20</v>
      </c>
      <c r="J765" s="119">
        <f t="shared" si="148"/>
        <v>0</v>
      </c>
      <c r="K765" s="120">
        <f t="shared" si="149"/>
        <v>0</v>
      </c>
    </row>
    <row r="766" spans="1:11" x14ac:dyDescent="0.3">
      <c r="A766" s="116" t="s">
        <v>266</v>
      </c>
      <c r="B766" s="129">
        <f>'Free Spins Symbol'!$V$18</f>
        <v>100</v>
      </c>
      <c r="C766" s="117">
        <f>VLOOKUP(MID($A766,4,2),'Free Spins Symbol'!$T$2:$Z$29,4,0)</f>
        <v>2</v>
      </c>
      <c r="D766" s="129">
        <f>'Free Spins Symbol'!$X$18</f>
        <v>40</v>
      </c>
      <c r="E766" s="129">
        <f>'Free Spins Symbol'!$Y$18</f>
        <v>32</v>
      </c>
      <c r="F766" s="117">
        <f>VLOOKUP(MID($A766,13,2),'Free Spins Symbol'!$T$2:$Z$29,7,0)</f>
        <v>48</v>
      </c>
      <c r="G766" s="100">
        <f>(B766*C766*D766-B759*C759*D759)*(E766-E756)*F766</f>
        <v>0</v>
      </c>
      <c r="H766" s="118" t="e">
        <f t="shared" si="144"/>
        <v>#DIV/0!</v>
      </c>
      <c r="I766" s="100">
        <v>20</v>
      </c>
      <c r="J766" s="119">
        <f t="shared" si="148"/>
        <v>0</v>
      </c>
      <c r="K766" s="120">
        <f t="shared" si="149"/>
        <v>0</v>
      </c>
    </row>
    <row r="767" spans="1:11" x14ac:dyDescent="0.3">
      <c r="A767" s="116" t="s">
        <v>267</v>
      </c>
      <c r="B767" s="129">
        <f>'Free Spins Symbol'!$V$18</f>
        <v>100</v>
      </c>
      <c r="C767" s="117">
        <f>VLOOKUP(MID($A767,4,2),'Free Spins Symbol'!$T$2:$Z$29,4,0)</f>
        <v>4</v>
      </c>
      <c r="D767" s="129">
        <f>'Free Spins Symbol'!$X$18</f>
        <v>40</v>
      </c>
      <c r="E767" s="129">
        <f>'Free Spins Symbol'!$Y$18</f>
        <v>32</v>
      </c>
      <c r="F767" s="117">
        <f>VLOOKUP(MID($A767,13,2),'Free Spins Symbol'!$T$2:$Z$29,7,0)</f>
        <v>48</v>
      </c>
      <c r="G767" s="100">
        <f>(B767*C767*D767-B759*C759*D759)*(E767-E757)*F767</f>
        <v>0</v>
      </c>
      <c r="H767" s="118" t="e">
        <f t="shared" si="144"/>
        <v>#DIV/0!</v>
      </c>
      <c r="I767" s="100">
        <v>10</v>
      </c>
      <c r="J767" s="119">
        <f t="shared" si="148"/>
        <v>0</v>
      </c>
      <c r="K767" s="120">
        <f t="shared" si="149"/>
        <v>0</v>
      </c>
    </row>
    <row r="768" spans="1:11" x14ac:dyDescent="0.3">
      <c r="A768" s="116" t="s">
        <v>268</v>
      </c>
      <c r="B768" s="129">
        <f>'Free Spins Symbol'!$V$18</f>
        <v>100</v>
      </c>
      <c r="C768" s="117">
        <f>VLOOKUP(MID($A768,4,2),'Free Spins Symbol'!$T$2:$Z$29,4,0)</f>
        <v>4</v>
      </c>
      <c r="D768" s="129">
        <f>'Free Spins Symbol'!$X$18</f>
        <v>40</v>
      </c>
      <c r="E768" s="129">
        <f>'Free Spins Symbol'!$Y$18</f>
        <v>32</v>
      </c>
      <c r="F768" s="117">
        <f>VLOOKUP(MID($A768,13,2),'Free Spins Symbol'!$T$2:$Z$29,7,0)</f>
        <v>48</v>
      </c>
      <c r="G768" s="100">
        <f>(B768*C768*D768-B759*C759*D759)*(E768-E758)*F768</f>
        <v>0</v>
      </c>
      <c r="H768" s="118" t="e">
        <f t="shared" si="144"/>
        <v>#DIV/0!</v>
      </c>
      <c r="I768" s="100">
        <v>10</v>
      </c>
      <c r="J768" s="119">
        <f t="shared" si="148"/>
        <v>0</v>
      </c>
      <c r="K768" s="120">
        <f t="shared" si="149"/>
        <v>0</v>
      </c>
    </row>
    <row r="769" spans="1:13" x14ac:dyDescent="0.3">
      <c r="A769" s="116" t="s">
        <v>269</v>
      </c>
      <c r="B769" s="129">
        <f>'Free Spins Symbol'!$V$18</f>
        <v>100</v>
      </c>
      <c r="C769" s="117">
        <f>VLOOKUP(MID($A769,4,2),'Free Spins Symbol'!$T$2:$Z$29,4,0)</f>
        <v>13</v>
      </c>
      <c r="D769" s="129">
        <f>'Free Spins Symbol'!$X$18</f>
        <v>40</v>
      </c>
      <c r="E769" s="129">
        <f>'Free Spins Symbol'!$Y$18</f>
        <v>32</v>
      </c>
      <c r="F769" s="117">
        <f>VLOOKUP(MID($A769,13,2),'Free Spins Symbol'!$T$2:$Z$29,7,0)</f>
        <v>48</v>
      </c>
      <c r="G769" s="100">
        <f>(B769*C769*D769-B759*C759*D759)*(E769-E760)*F769</f>
        <v>0</v>
      </c>
      <c r="H769" s="118" t="e">
        <f t="shared" si="144"/>
        <v>#DIV/0!</v>
      </c>
      <c r="I769" s="100">
        <v>5</v>
      </c>
      <c r="J769" s="119">
        <f t="shared" si="148"/>
        <v>0</v>
      </c>
      <c r="K769" s="120">
        <f t="shared" si="149"/>
        <v>0</v>
      </c>
    </row>
    <row r="770" spans="1:13" x14ac:dyDescent="0.3">
      <c r="A770" s="116" t="s">
        <v>270</v>
      </c>
      <c r="B770" s="129">
        <f>'Free Spins Symbol'!$V$18</f>
        <v>100</v>
      </c>
      <c r="C770" s="117">
        <f>VLOOKUP(MID($A770,4,2),'Free Spins Symbol'!$T$2:$Z$29,4,0)</f>
        <v>1</v>
      </c>
      <c r="D770" s="129">
        <f>'Free Spins Symbol'!$X$18</f>
        <v>40</v>
      </c>
      <c r="E770" s="129">
        <f>'Free Spins Symbol'!$Y$18</f>
        <v>32</v>
      </c>
      <c r="F770" s="117">
        <f>VLOOKUP(MID($A770,13,2),'Free Spins Symbol'!$T$2:$Z$29,7,0)</f>
        <v>48</v>
      </c>
      <c r="G770" s="100">
        <f>(B770*C770*D770-B759*C759*D759)*(E770-E761)*F770</f>
        <v>0</v>
      </c>
      <c r="H770" s="118" t="e">
        <f t="shared" si="144"/>
        <v>#DIV/0!</v>
      </c>
      <c r="I770" s="100">
        <v>5</v>
      </c>
      <c r="J770" s="119">
        <f t="shared" si="148"/>
        <v>0</v>
      </c>
      <c r="K770" s="120">
        <f t="shared" si="149"/>
        <v>0</v>
      </c>
    </row>
    <row r="771" spans="1:13" x14ac:dyDescent="0.3">
      <c r="A771" s="116" t="s">
        <v>271</v>
      </c>
      <c r="B771" s="129">
        <f>'Free Spins Symbol'!$V$18</f>
        <v>100</v>
      </c>
      <c r="C771" s="117">
        <f>VLOOKUP(MID($A771,4,2),'Free Spins Symbol'!$T$2:$Z$29,4,0)</f>
        <v>13</v>
      </c>
      <c r="D771" s="129">
        <f>'Free Spins Symbol'!$X$18</f>
        <v>40</v>
      </c>
      <c r="E771" s="129">
        <f>'Free Spins Symbol'!$Y$18</f>
        <v>32</v>
      </c>
      <c r="F771" s="117">
        <f>VLOOKUP(MID($A771,13,2),'Free Spins Symbol'!$T$2:$Z$29,7,0)</f>
        <v>48</v>
      </c>
      <c r="G771" s="100">
        <f>(B771*C771*D771-B759*C759*D759)*(E771-E762)*F771</f>
        <v>0</v>
      </c>
      <c r="H771" s="118" t="e">
        <f t="shared" si="144"/>
        <v>#DIV/0!</v>
      </c>
      <c r="I771" s="100">
        <v>5</v>
      </c>
      <c r="J771" s="119">
        <f t="shared" si="148"/>
        <v>0</v>
      </c>
      <c r="K771" s="120">
        <f t="shared" si="149"/>
        <v>0</v>
      </c>
    </row>
    <row r="772" spans="1:13" x14ac:dyDescent="0.3">
      <c r="A772" s="116" t="s">
        <v>272</v>
      </c>
      <c r="B772" s="129">
        <f>'Free Spins Symbol'!$V$18</f>
        <v>100</v>
      </c>
      <c r="C772" s="117">
        <f>VLOOKUP(MID($A772,4,2),'Free Spins Symbol'!$T$2:$Z$29,4,0)</f>
        <v>13</v>
      </c>
      <c r="D772" s="129">
        <f>'Free Spins Symbol'!$X$18</f>
        <v>40</v>
      </c>
      <c r="E772" s="129">
        <f>'Free Spins Symbol'!$Y$18</f>
        <v>32</v>
      </c>
      <c r="F772" s="117">
        <f>VLOOKUP(MID($A772,13,2),'Free Spins Symbol'!$T$2:$Z$29,7,0)</f>
        <v>48</v>
      </c>
      <c r="G772" s="100">
        <f>(B772*C772*D772-B759*C759*D759)*(E772-E763)*F772</f>
        <v>0</v>
      </c>
      <c r="H772" s="118" t="e">
        <f t="shared" si="144"/>
        <v>#DIV/0!</v>
      </c>
      <c r="I772" s="100">
        <v>5</v>
      </c>
      <c r="J772" s="119">
        <f t="shared" si="148"/>
        <v>0</v>
      </c>
      <c r="K772" s="120">
        <f t="shared" si="149"/>
        <v>0</v>
      </c>
    </row>
    <row r="773" spans="1:13" x14ac:dyDescent="0.3">
      <c r="A773" s="116" t="s">
        <v>273</v>
      </c>
      <c r="B773" s="129">
        <f>'Free Spins Symbol'!$V$18</f>
        <v>100</v>
      </c>
      <c r="C773" s="117">
        <f>VLOOKUP(MID($A773,4,2),'Free Spins Symbol'!$T$2:$Z$29,4,0)</f>
        <v>2</v>
      </c>
      <c r="D773" s="129">
        <f>'Free Spins Symbol'!$X$18</f>
        <v>40</v>
      </c>
      <c r="E773" s="129">
        <f>'Free Spins Symbol'!$Y$18</f>
        <v>32</v>
      </c>
      <c r="F773" s="117">
        <f>VLOOKUP(MID($A773,13,2),'Free Spins Symbol'!$T$2:$Z$29,7,0)</f>
        <v>48</v>
      </c>
      <c r="G773" s="100">
        <f>(B773*C773*D773-B759*C759*D759)*(E773-E764)*F773</f>
        <v>0</v>
      </c>
      <c r="H773" s="118" t="e">
        <f t="shared" si="144"/>
        <v>#DIV/0!</v>
      </c>
      <c r="I773" s="100">
        <v>5</v>
      </c>
      <c r="J773" s="119">
        <f t="shared" si="148"/>
        <v>0</v>
      </c>
      <c r="K773" s="120">
        <f t="shared" si="149"/>
        <v>0</v>
      </c>
    </row>
    <row r="774" spans="1:13" x14ac:dyDescent="0.3">
      <c r="A774" s="116" t="s">
        <v>274</v>
      </c>
      <c r="B774" s="129">
        <f>'Free Spins Symbol'!$V$18</f>
        <v>100</v>
      </c>
      <c r="C774" s="117">
        <f>VLOOKUP(MID($A774,4,2),'Free Spins Symbol'!$T$2:$Z$29,4,0)</f>
        <v>0</v>
      </c>
      <c r="D774" s="129">
        <f>'Free Spins Symbol'!$X$18</f>
        <v>40</v>
      </c>
      <c r="E774" s="129">
        <f>'Free Spins Symbol'!$Y$18</f>
        <v>32</v>
      </c>
      <c r="F774" s="117">
        <f>VLOOKUP(MID($A774,13,2),'Free Spins Symbol'!$T$2:$Z$29,7,0)</f>
        <v>48</v>
      </c>
      <c r="G774" s="100">
        <f>B774*C774*(D774-D759)*E774*F774</f>
        <v>0</v>
      </c>
      <c r="H774" s="118" t="e">
        <f t="shared" si="144"/>
        <v>#DIV/0!</v>
      </c>
      <c r="I774" s="100">
        <v>5</v>
      </c>
      <c r="J774" s="119">
        <f t="shared" si="148"/>
        <v>0</v>
      </c>
      <c r="K774" s="120">
        <f t="shared" si="149"/>
        <v>0</v>
      </c>
    </row>
    <row r="775" spans="1:13" x14ac:dyDescent="0.3">
      <c r="A775" s="116" t="s">
        <v>275</v>
      </c>
      <c r="B775" s="129">
        <f>'Free Spins Symbol'!$V$18</f>
        <v>100</v>
      </c>
      <c r="C775" s="117">
        <f>VLOOKUP(MID($A775,4,2),'Free Spins Symbol'!$T$2:$Z$29,4,0)</f>
        <v>2</v>
      </c>
      <c r="D775" s="129">
        <f>'Free Spins Symbol'!$X$18</f>
        <v>40</v>
      </c>
      <c r="E775" s="129">
        <f>'Free Spins Symbol'!$Y$18</f>
        <v>32</v>
      </c>
      <c r="F775" s="117">
        <f>VLOOKUP(MID($A775,13,2),'Free Spins Symbol'!$T$2:$Z$29,7,0)</f>
        <v>48</v>
      </c>
      <c r="G775" s="100">
        <f t="shared" ref="G775:G778" si="150">B775*C775*(D775-D765)*E775*F775</f>
        <v>0</v>
      </c>
      <c r="H775" s="118" t="e">
        <f t="shared" si="144"/>
        <v>#DIV/0!</v>
      </c>
      <c r="I775" s="100">
        <v>5</v>
      </c>
      <c r="J775" s="119">
        <f t="shared" si="148"/>
        <v>0</v>
      </c>
      <c r="K775" s="120">
        <f t="shared" si="149"/>
        <v>0</v>
      </c>
    </row>
    <row r="776" spans="1:13" x14ac:dyDescent="0.3">
      <c r="A776" s="116" t="s">
        <v>276</v>
      </c>
      <c r="B776" s="129">
        <f>'Free Spins Symbol'!$V$18</f>
        <v>100</v>
      </c>
      <c r="C776" s="117">
        <f>VLOOKUP(MID($A776,4,2),'Free Spins Symbol'!$T$2:$Z$29,4,0)</f>
        <v>2</v>
      </c>
      <c r="D776" s="129">
        <f>'Free Spins Symbol'!$X$18</f>
        <v>40</v>
      </c>
      <c r="E776" s="129">
        <f>'Free Spins Symbol'!$Y$18</f>
        <v>32</v>
      </c>
      <c r="F776" s="117">
        <f>VLOOKUP(MID($A776,13,2),'Free Spins Symbol'!$T$2:$Z$29,7,0)</f>
        <v>48</v>
      </c>
      <c r="G776" s="100">
        <f t="shared" si="150"/>
        <v>0</v>
      </c>
      <c r="H776" s="118" t="e">
        <f t="shared" si="144"/>
        <v>#DIV/0!</v>
      </c>
      <c r="I776" s="100">
        <v>5</v>
      </c>
      <c r="J776" s="119">
        <f t="shared" si="148"/>
        <v>0</v>
      </c>
      <c r="K776" s="120">
        <f t="shared" si="149"/>
        <v>0</v>
      </c>
    </row>
    <row r="777" spans="1:13" x14ac:dyDescent="0.3">
      <c r="A777" s="116" t="s">
        <v>277</v>
      </c>
      <c r="B777" s="129">
        <f>'Free Spins Symbol'!$V$18</f>
        <v>100</v>
      </c>
      <c r="C777" s="117">
        <f>VLOOKUP(MID($A777,4,2),'Free Spins Symbol'!$T$2:$Z$29,4,0)</f>
        <v>4</v>
      </c>
      <c r="D777" s="129">
        <f>'Free Spins Symbol'!$X$18</f>
        <v>40</v>
      </c>
      <c r="E777" s="129">
        <f>'Free Spins Symbol'!$Y$18</f>
        <v>32</v>
      </c>
      <c r="F777" s="117">
        <f>VLOOKUP(MID($A777,13,2),'Free Spins Symbol'!$T$2:$Z$29,7,0)</f>
        <v>48</v>
      </c>
      <c r="G777" s="100">
        <f t="shared" si="150"/>
        <v>0</v>
      </c>
      <c r="H777" s="118" t="e">
        <f t="shared" si="144"/>
        <v>#DIV/0!</v>
      </c>
      <c r="I777" s="100">
        <v>5</v>
      </c>
      <c r="J777" s="119">
        <f t="shared" si="148"/>
        <v>0</v>
      </c>
      <c r="K777" s="120">
        <f t="shared" si="149"/>
        <v>0</v>
      </c>
    </row>
    <row r="778" spans="1:13" x14ac:dyDescent="0.3">
      <c r="A778" s="116" t="s">
        <v>278</v>
      </c>
      <c r="B778" s="129">
        <f>'Free Spins Symbol'!$V$18</f>
        <v>100</v>
      </c>
      <c r="C778" s="117">
        <f>VLOOKUP(MID($A778,4,2),'Free Spins Symbol'!$T$2:$Z$29,4,0)</f>
        <v>4</v>
      </c>
      <c r="D778" s="129">
        <f>'Free Spins Symbol'!$X$18</f>
        <v>40</v>
      </c>
      <c r="E778" s="129">
        <f>'Free Spins Symbol'!$Y$18</f>
        <v>32</v>
      </c>
      <c r="F778" s="117">
        <f>VLOOKUP(MID($A778,13,2),'Free Spins Symbol'!$T$2:$Z$29,7,0)</f>
        <v>48</v>
      </c>
      <c r="G778" s="100">
        <f t="shared" si="150"/>
        <v>0</v>
      </c>
      <c r="H778" s="118" t="e">
        <f t="shared" si="144"/>
        <v>#DIV/0!</v>
      </c>
      <c r="I778" s="100">
        <v>5</v>
      </c>
      <c r="J778" s="119">
        <f t="shared" si="148"/>
        <v>0</v>
      </c>
      <c r="K778" s="120">
        <f t="shared" si="149"/>
        <v>0</v>
      </c>
    </row>
    <row r="779" spans="1:13" x14ac:dyDescent="0.3">
      <c r="A779" s="122" t="s">
        <v>279</v>
      </c>
      <c r="B779" s="117">
        <f>VLOOKUP(MID($A779,1,2),'Free Spins Symbol'!$T$2:$Z$29,3,0)</f>
        <v>100</v>
      </c>
      <c r="C779" s="117">
        <f>VLOOKUP(MID($A779,4,2),'Free Spins Symbol'!$T$2:$Z$29,4,0)</f>
        <v>8</v>
      </c>
      <c r="D779" s="117">
        <f>VLOOKUP(MID($A779,7,2),'Free Spins Symbol'!$T$2:$Z$29,5,0)</f>
        <v>4</v>
      </c>
      <c r="E779" s="117">
        <f>VLOOKUP(MID($A779,10,2),'Free Spins Symbol'!$T$2:$Z$29,6,0)</f>
        <v>16</v>
      </c>
      <c r="F779" s="117">
        <f>VLOOKUP(MID($A779,13,2),'Free Spins Symbol'!$T$2:$Z$29,7,0)</f>
        <v>48</v>
      </c>
      <c r="G779" s="100">
        <f>B779*C779*D779*E779*F779</f>
        <v>2457600</v>
      </c>
      <c r="H779" s="118">
        <f t="shared" si="144"/>
        <v>140</v>
      </c>
      <c r="I779" s="123">
        <v>2</v>
      </c>
      <c r="J779" s="124">
        <f t="shared" si="148"/>
        <v>1.4285714285714285E-2</v>
      </c>
      <c r="K779" s="120">
        <f t="shared" si="149"/>
        <v>7.1428571428571426E-3</v>
      </c>
    </row>
    <row r="781" spans="1:13" ht="16.8" thickBot="1" x14ac:dyDescent="0.35"/>
    <row r="782" spans="1:13" ht="16.8" thickBot="1" x14ac:dyDescent="0.35">
      <c r="A782" s="125" t="s">
        <v>311</v>
      </c>
    </row>
    <row r="783" spans="1:13" ht="16.8" thickBot="1" x14ac:dyDescent="0.35">
      <c r="A783" s="95" t="s">
        <v>280</v>
      </c>
      <c r="B783" s="142">
        <f>B2</f>
        <v>344064000</v>
      </c>
      <c r="C783" s="142"/>
      <c r="D783" s="142"/>
      <c r="E783" s="142"/>
      <c r="F783" s="142"/>
      <c r="G783" s="7"/>
      <c r="H783" s="106"/>
      <c r="I783" s="107" t="s">
        <v>281</v>
      </c>
      <c r="J783" s="108">
        <f>SUM(J785:J819)</f>
        <v>49.216666666666661</v>
      </c>
      <c r="K783" s="126">
        <f>SUM(K785:K820)</f>
        <v>1.0071428571428571</v>
      </c>
      <c r="M783">
        <v>100000000</v>
      </c>
    </row>
    <row r="784" spans="1:13" ht="33" thickBot="1" x14ac:dyDescent="0.35">
      <c r="A784" s="109" t="s">
        <v>233</v>
      </c>
      <c r="B784" s="110" t="s">
        <v>234</v>
      </c>
      <c r="C784" s="110" t="s">
        <v>235</v>
      </c>
      <c r="D784" s="110" t="s">
        <v>236</v>
      </c>
      <c r="E784" s="110" t="s">
        <v>237</v>
      </c>
      <c r="F784" s="110" t="s">
        <v>238</v>
      </c>
      <c r="G784" s="111" t="s">
        <v>239</v>
      </c>
      <c r="H784" s="112" t="s">
        <v>240</v>
      </c>
      <c r="I784" s="113" t="s">
        <v>241</v>
      </c>
      <c r="J784" s="114" t="s">
        <v>242</v>
      </c>
      <c r="K784" s="115" t="s">
        <v>243</v>
      </c>
      <c r="M784" s="143">
        <f>SUM(M785:M819)</f>
        <v>1</v>
      </c>
    </row>
    <row r="785" spans="1:13" x14ac:dyDescent="0.3">
      <c r="A785" s="116" t="s">
        <v>244</v>
      </c>
      <c r="B785" s="117">
        <f>VLOOKUP(MID($A785,1,2),'Free Spins Symbol'!$T$2:$Z$29,3,0)</f>
        <v>18</v>
      </c>
      <c r="C785" s="129">
        <f>'Free Spins Symbol'!$W$18</f>
        <v>56</v>
      </c>
      <c r="D785" s="129">
        <f>'Free Spins Symbol'!$X$18</f>
        <v>40</v>
      </c>
      <c r="E785" s="129">
        <f>'Free Spins Symbol'!$Y$18</f>
        <v>32</v>
      </c>
      <c r="F785" s="117">
        <f>VLOOKUP(MID($A785,13,2),'Free Spins Symbol'!$T$2:$Z$29,7,0)</f>
        <v>0</v>
      </c>
      <c r="G785" s="100">
        <f>B785*C785*D785*E785*F785</f>
        <v>0</v>
      </c>
      <c r="H785" s="118" t="e">
        <f>B$2/G785</f>
        <v>#DIV/0!</v>
      </c>
      <c r="I785" s="100">
        <v>500</v>
      </c>
      <c r="J785" s="119">
        <f t="shared" ref="J785:J789" si="151">K785*I785</f>
        <v>0</v>
      </c>
      <c r="K785" s="120">
        <f>G785/B$2</f>
        <v>0</v>
      </c>
      <c r="M785" s="146"/>
    </row>
    <row r="786" spans="1:13" x14ac:dyDescent="0.3">
      <c r="A786" s="116" t="s">
        <v>245</v>
      </c>
      <c r="B786" s="117">
        <f>VLOOKUP(MID($A786,1,2),'Free Spins Symbol'!$T$2:$Z$29,3,0)</f>
        <v>20</v>
      </c>
      <c r="C786" s="129">
        <f>'Free Spins Symbol'!$W$18</f>
        <v>56</v>
      </c>
      <c r="D786" s="129">
        <f>'Free Spins Symbol'!$X$18</f>
        <v>40</v>
      </c>
      <c r="E786" s="129">
        <f>'Free Spins Symbol'!$Y$18</f>
        <v>32</v>
      </c>
      <c r="F786" s="117">
        <f>VLOOKUP(MID($A786,13,2),'Free Spins Symbol'!$T$2:$Z$29,7,0)</f>
        <v>1</v>
      </c>
      <c r="G786" s="100">
        <f>B786*C786*D786*E786*F786-G785</f>
        <v>1433600</v>
      </c>
      <c r="H786" s="118">
        <f t="shared" ref="H786:H820" si="152">B$2/G786</f>
        <v>240</v>
      </c>
      <c r="I786" s="100">
        <v>250</v>
      </c>
      <c r="J786" s="119">
        <f t="shared" si="151"/>
        <v>1.0416666666666667</v>
      </c>
      <c r="K786" s="120">
        <f t="shared" ref="K786:K789" si="153">G786/B$2</f>
        <v>4.1666666666666666E-3</v>
      </c>
      <c r="M786" s="146">
        <f>(41602+374225)/$M$906</f>
        <v>4.1582700000000004E-3</v>
      </c>
    </row>
    <row r="787" spans="1:13" x14ac:dyDescent="0.3">
      <c r="A787" s="116" t="s">
        <v>246</v>
      </c>
      <c r="B787" s="117">
        <f>VLOOKUP(MID($A787,1,2),'Free Spins Symbol'!$T$2:$Z$29,3,0)</f>
        <v>22</v>
      </c>
      <c r="C787" s="129">
        <f>'Free Spins Symbol'!$W$18</f>
        <v>56</v>
      </c>
      <c r="D787" s="129">
        <f>'Free Spins Symbol'!$X$18</f>
        <v>40</v>
      </c>
      <c r="E787" s="129">
        <f>'Free Spins Symbol'!$Y$18</f>
        <v>32</v>
      </c>
      <c r="F787" s="117">
        <f>VLOOKUP(MID($A787,13,2),'Free Spins Symbol'!$T$2:$Z$29,7,0)</f>
        <v>1</v>
      </c>
      <c r="G787" s="100">
        <f>B787*C787*D787*E787*F787-G785</f>
        <v>1576960</v>
      </c>
      <c r="H787" s="118">
        <f t="shared" si="152"/>
        <v>218.18181818181819</v>
      </c>
      <c r="I787" s="100">
        <v>250</v>
      </c>
      <c r="J787" s="119">
        <f t="shared" si="151"/>
        <v>1.1458333333333333</v>
      </c>
      <c r="K787" s="120">
        <f t="shared" si="153"/>
        <v>4.5833333333333334E-3</v>
      </c>
      <c r="M787" s="146">
        <f>(83411+375248)/$M$906</f>
        <v>4.5865899999999998E-3</v>
      </c>
    </row>
    <row r="788" spans="1:13" x14ac:dyDescent="0.3">
      <c r="A788" s="116" t="s">
        <v>247</v>
      </c>
      <c r="B788" s="117">
        <f>VLOOKUP(MID($A788,1,2),'Free Spins Symbol'!$T$2:$Z$29,3,0)</f>
        <v>24</v>
      </c>
      <c r="C788" s="129">
        <f>'Free Spins Symbol'!$W$18</f>
        <v>56</v>
      </c>
      <c r="D788" s="129">
        <f>'Free Spins Symbol'!$X$18</f>
        <v>40</v>
      </c>
      <c r="E788" s="129">
        <f>'Free Spins Symbol'!$Y$18</f>
        <v>32</v>
      </c>
      <c r="F788" s="117">
        <f>VLOOKUP(MID($A788,13,2),'Free Spins Symbol'!$T$2:$Z$29,7,0)</f>
        <v>5</v>
      </c>
      <c r="G788" s="100">
        <f>B788*C788*D788*E788*F788-G785</f>
        <v>8601600</v>
      </c>
      <c r="H788" s="118">
        <f t="shared" si="152"/>
        <v>40</v>
      </c>
      <c r="I788" s="100">
        <v>150</v>
      </c>
      <c r="J788" s="119">
        <f t="shared" si="151"/>
        <v>3.75</v>
      </c>
      <c r="K788" s="120">
        <f t="shared" si="153"/>
        <v>2.5000000000000001E-2</v>
      </c>
      <c r="M788" s="146">
        <f>(1874470+625715)/$M$906</f>
        <v>2.5001849999999999E-2</v>
      </c>
    </row>
    <row r="789" spans="1:13" x14ac:dyDescent="0.3">
      <c r="A789" s="116" t="s">
        <v>248</v>
      </c>
      <c r="B789" s="117">
        <f>VLOOKUP(MID($A789,1,2),'Free Spins Symbol'!$T$2:$Z$29,3,0)</f>
        <v>24</v>
      </c>
      <c r="C789" s="129">
        <f>'Free Spins Symbol'!$W$18</f>
        <v>56</v>
      </c>
      <c r="D789" s="129">
        <f>'Free Spins Symbol'!$X$18</f>
        <v>40</v>
      </c>
      <c r="E789" s="129">
        <f>'Free Spins Symbol'!$Y$18</f>
        <v>32</v>
      </c>
      <c r="F789" s="117">
        <f>VLOOKUP(MID($A789,13,2),'Free Spins Symbol'!$T$2:$Z$29,7,0)</f>
        <v>5</v>
      </c>
      <c r="G789" s="100">
        <f>B789*C789*D789*E789*F789-G785</f>
        <v>8601600</v>
      </c>
      <c r="H789" s="118">
        <f t="shared" si="152"/>
        <v>40</v>
      </c>
      <c r="I789" s="100">
        <v>150</v>
      </c>
      <c r="J789" s="119">
        <f t="shared" si="151"/>
        <v>3.75</v>
      </c>
      <c r="K789" s="120">
        <f t="shared" si="153"/>
        <v>2.5000000000000001E-2</v>
      </c>
      <c r="M789" s="146">
        <f>(624551+1873180)/$M$906</f>
        <v>2.4977309999999999E-2</v>
      </c>
    </row>
    <row r="790" spans="1:13" x14ac:dyDescent="0.3">
      <c r="A790" s="116" t="s">
        <v>254</v>
      </c>
      <c r="B790" s="117">
        <f>VLOOKUP(MID($A790,1,2),'Free Spins Symbol'!$T$2:$Z$29,3,0)</f>
        <v>18</v>
      </c>
      <c r="C790" s="129">
        <f>'Free Spins Symbol'!$W$18</f>
        <v>56</v>
      </c>
      <c r="D790" s="129">
        <f>'Free Spins Symbol'!$X$18</f>
        <v>40</v>
      </c>
      <c r="E790" s="129">
        <f>'Free Spins Symbol'!$Y$18</f>
        <v>32</v>
      </c>
      <c r="F790" s="117">
        <f>VLOOKUP(MID($A790,13,2),'Free Spins Symbol'!$T$2:$Z$29,7,0)</f>
        <v>48</v>
      </c>
      <c r="G790" s="100">
        <v>0</v>
      </c>
      <c r="H790" s="118" t="e">
        <f t="shared" si="152"/>
        <v>#DIV/0!</v>
      </c>
      <c r="I790" s="100">
        <v>100</v>
      </c>
      <c r="J790" s="119">
        <f>K790*I790</f>
        <v>0</v>
      </c>
      <c r="K790" s="120">
        <f>G790/B$2</f>
        <v>0</v>
      </c>
      <c r="M790" s="146"/>
    </row>
    <row r="791" spans="1:13" x14ac:dyDescent="0.3">
      <c r="A791" s="116" t="s">
        <v>249</v>
      </c>
      <c r="B791" s="117">
        <f>VLOOKUP(MID($A791,1,2),'Free Spins Symbol'!$T$2:$Z$29,3,0)</f>
        <v>38</v>
      </c>
      <c r="C791" s="129">
        <f>'Free Spins Symbol'!$W$18</f>
        <v>56</v>
      </c>
      <c r="D791" s="129">
        <f>'Free Spins Symbol'!$X$18</f>
        <v>40</v>
      </c>
      <c r="E791" s="129">
        <f>'Free Spins Symbol'!$Y$18</f>
        <v>32</v>
      </c>
      <c r="F791" s="117">
        <f>VLOOKUP(MID($A791,13,2),'Free Spins Symbol'!$T$2:$Z$29,7,0)</f>
        <v>2</v>
      </c>
      <c r="G791" s="100">
        <f>B791*C791*D791*E791*F791-G785</f>
        <v>5447680</v>
      </c>
      <c r="H791" s="118">
        <f t="shared" si="152"/>
        <v>63.157894736842103</v>
      </c>
      <c r="I791" s="100">
        <v>100</v>
      </c>
      <c r="J791" s="119">
        <f t="shared" ref="J791:J799" si="154">K791*I791</f>
        <v>1.5833333333333335</v>
      </c>
      <c r="K791" s="120">
        <f t="shared" ref="K791:K799" si="155">G791/B$2</f>
        <v>1.5833333333333335E-2</v>
      </c>
      <c r="M791" s="146">
        <f>(750313+834217)/$M$906</f>
        <v>1.58453E-2</v>
      </c>
    </row>
    <row r="792" spans="1:13" x14ac:dyDescent="0.3">
      <c r="A792" s="116" t="s">
        <v>250</v>
      </c>
      <c r="B792" s="117">
        <f>VLOOKUP(MID($A792,1,2),'Free Spins Symbol'!$T$2:$Z$29,3,0)</f>
        <v>35</v>
      </c>
      <c r="C792" s="129">
        <f>'Free Spins Symbol'!$W$18</f>
        <v>56</v>
      </c>
      <c r="D792" s="129">
        <f>'Free Spins Symbol'!$X$18</f>
        <v>40</v>
      </c>
      <c r="E792" s="129">
        <f>'Free Spins Symbol'!$Y$18</f>
        <v>32</v>
      </c>
      <c r="F792" s="117">
        <f>VLOOKUP(MID($A792,13,2),'Free Spins Symbol'!$T$2:$Z$29,7,0)</f>
        <v>11</v>
      </c>
      <c r="G792" s="100">
        <f>B792*C792*D792*E792*F792-G785</f>
        <v>27596800</v>
      </c>
      <c r="H792" s="118">
        <f t="shared" si="152"/>
        <v>12.467532467532468</v>
      </c>
      <c r="I792" s="100">
        <v>100</v>
      </c>
      <c r="J792" s="119">
        <f t="shared" si="154"/>
        <v>8.0208333333333339</v>
      </c>
      <c r="K792" s="120">
        <f t="shared" si="155"/>
        <v>8.020833333333334E-2</v>
      </c>
      <c r="M792" s="146">
        <f>(4124596+3898360)/$M$906</f>
        <v>8.0229560000000005E-2</v>
      </c>
    </row>
    <row r="793" spans="1:13" x14ac:dyDescent="0.3">
      <c r="A793" s="116" t="s">
        <v>251</v>
      </c>
      <c r="B793" s="117">
        <f>VLOOKUP(MID($A793,1,2),'Free Spins Symbol'!$T$2:$Z$29,3,0)</f>
        <v>28</v>
      </c>
      <c r="C793" s="129">
        <f>'Free Spins Symbol'!$W$18</f>
        <v>56</v>
      </c>
      <c r="D793" s="129">
        <f>'Free Spins Symbol'!$X$18</f>
        <v>40</v>
      </c>
      <c r="E793" s="129">
        <f>'Free Spins Symbol'!$Y$18</f>
        <v>32</v>
      </c>
      <c r="F793" s="117">
        <f>VLOOKUP(MID($A793,13,2),'Free Spins Symbol'!$T$2:$Z$29,7,0)</f>
        <v>1</v>
      </c>
      <c r="G793" s="100">
        <f>B793*C793*D793*E793*F793-G785</f>
        <v>2007040</v>
      </c>
      <c r="H793" s="118">
        <f t="shared" si="152"/>
        <v>171.42857142857142</v>
      </c>
      <c r="I793" s="100">
        <v>100</v>
      </c>
      <c r="J793" s="119">
        <f t="shared" si="154"/>
        <v>0.58333333333333337</v>
      </c>
      <c r="K793" s="120">
        <f t="shared" si="155"/>
        <v>5.8333333333333336E-3</v>
      </c>
      <c r="M793" s="146">
        <f>(208471+375063)/$M$906</f>
        <v>5.8353399999999996E-3</v>
      </c>
    </row>
    <row r="794" spans="1:13" x14ac:dyDescent="0.3">
      <c r="A794" s="116" t="s">
        <v>252</v>
      </c>
      <c r="B794" s="117">
        <f>VLOOKUP(MID($A794,1,2),'Free Spins Symbol'!$T$2:$Z$29,3,0)</f>
        <v>34</v>
      </c>
      <c r="C794" s="129">
        <f>'Free Spins Symbol'!$W$18</f>
        <v>56</v>
      </c>
      <c r="D794" s="129">
        <f>'Free Spins Symbol'!$X$18</f>
        <v>40</v>
      </c>
      <c r="E794" s="129">
        <f>'Free Spins Symbol'!$Y$18</f>
        <v>32</v>
      </c>
      <c r="F794" s="117">
        <f>VLOOKUP(MID($A794,13,2),'Free Spins Symbol'!$T$2:$Z$29,7,0)</f>
        <v>11</v>
      </c>
      <c r="G794" s="100">
        <f>(B794*C794*D794*E794)*F794-G785</f>
        <v>26808320</v>
      </c>
      <c r="H794" s="118">
        <f t="shared" si="152"/>
        <v>12.834224598930481</v>
      </c>
      <c r="I794" s="100">
        <v>100</v>
      </c>
      <c r="J794" s="119">
        <f t="shared" si="154"/>
        <v>7.7916666666666661</v>
      </c>
      <c r="K794" s="120">
        <f t="shared" si="155"/>
        <v>7.7916666666666662E-2</v>
      </c>
      <c r="M794" s="146">
        <f>(3667226+4124938)/$M$906</f>
        <v>7.792164E-2</v>
      </c>
    </row>
    <row r="795" spans="1:13" x14ac:dyDescent="0.3">
      <c r="A795" s="116" t="s">
        <v>253</v>
      </c>
      <c r="B795" s="117">
        <f>VLOOKUP(MID($A795,1,2),'Free Spins Symbol'!$T$2:$Z$29,3,0)</f>
        <v>19</v>
      </c>
      <c r="C795" s="129">
        <f>'Free Spins Symbol'!$W$18</f>
        <v>56</v>
      </c>
      <c r="D795" s="129">
        <f>'Free Spins Symbol'!$X$18</f>
        <v>40</v>
      </c>
      <c r="E795" s="129">
        <f>'Free Spins Symbol'!$Y$18</f>
        <v>32</v>
      </c>
      <c r="F795" s="117">
        <f>VLOOKUP(MID($A795,13,2),'Free Spins Symbol'!$T$2:$Z$29,7,0)</f>
        <v>11</v>
      </c>
      <c r="G795" s="100">
        <f>B795*C795*D795*E795*F795-G785</f>
        <v>14981120</v>
      </c>
      <c r="H795" s="118">
        <f t="shared" si="152"/>
        <v>22.966507177033492</v>
      </c>
      <c r="I795" s="100">
        <v>100</v>
      </c>
      <c r="J795" s="119">
        <f t="shared" si="154"/>
        <v>4.354166666666667</v>
      </c>
      <c r="K795" s="120">
        <f t="shared" si="155"/>
        <v>4.3541666666666666E-2</v>
      </c>
      <c r="M795" s="146">
        <f>(4127185+228663)/$M$906</f>
        <v>4.3558479999999997E-2</v>
      </c>
    </row>
    <row r="796" spans="1:13" x14ac:dyDescent="0.3">
      <c r="A796" s="116" t="s">
        <v>255</v>
      </c>
      <c r="B796" s="117">
        <f>VLOOKUP(MID($A796,1,2),'Free Spins Symbol'!$T$2:$Z$29,3,0)</f>
        <v>20</v>
      </c>
      <c r="C796" s="129">
        <f>'Free Spins Symbol'!$W$18</f>
        <v>56</v>
      </c>
      <c r="D796" s="129">
        <f>'Free Spins Symbol'!$X$18</f>
        <v>40</v>
      </c>
      <c r="E796" s="129">
        <f>'Free Spins Symbol'!$Y$18</f>
        <v>32</v>
      </c>
      <c r="F796" s="117">
        <f>VLOOKUP(MID($A796,13,2),'Free Spins Symbol'!$T$2:$Z$29,7,0)</f>
        <v>48</v>
      </c>
      <c r="G796" s="100">
        <f>(B796*C796*D796*E796-B790*C790*D790*E790)*(F796-F786)</f>
        <v>6737920</v>
      </c>
      <c r="H796" s="118">
        <f t="shared" si="152"/>
        <v>51.063829787234042</v>
      </c>
      <c r="I796" s="100">
        <v>50</v>
      </c>
      <c r="J796" s="119">
        <f t="shared" si="154"/>
        <v>0.97916666666666674</v>
      </c>
      <c r="K796" s="120">
        <f t="shared" si="155"/>
        <v>1.9583333333333335E-2</v>
      </c>
      <c r="M796" s="146">
        <f>1959739/$M$906</f>
        <v>1.9597389999999999E-2</v>
      </c>
    </row>
    <row r="797" spans="1:13" x14ac:dyDescent="0.3">
      <c r="A797" s="116" t="s">
        <v>256</v>
      </c>
      <c r="B797" s="117">
        <f>VLOOKUP(MID($A797,1,2),'Free Spins Symbol'!$T$2:$Z$29,3,0)</f>
        <v>22</v>
      </c>
      <c r="C797" s="129">
        <f>'Free Spins Symbol'!$W$18</f>
        <v>56</v>
      </c>
      <c r="D797" s="129">
        <f>'Free Spins Symbol'!$X$18</f>
        <v>40</v>
      </c>
      <c r="E797" s="129">
        <f>'Free Spins Symbol'!$Y$18</f>
        <v>32</v>
      </c>
      <c r="F797" s="117">
        <f>VLOOKUP(MID($A797,13,2),'Free Spins Symbol'!$T$2:$Z$29,7,0)</f>
        <v>48</v>
      </c>
      <c r="G797" s="100">
        <f>(B797*C797*D797*E797-B790*C790*D790*E790)*(F797-F787)</f>
        <v>13475840</v>
      </c>
      <c r="H797" s="118">
        <f t="shared" si="152"/>
        <v>25.531914893617021</v>
      </c>
      <c r="I797" s="100">
        <v>50</v>
      </c>
      <c r="J797" s="119">
        <f t="shared" si="154"/>
        <v>1.9583333333333335</v>
      </c>
      <c r="K797" s="120">
        <f t="shared" si="155"/>
        <v>3.9166666666666669E-2</v>
      </c>
      <c r="M797" s="146">
        <f>3917896/$M$906</f>
        <v>3.9178959999999999E-2</v>
      </c>
    </row>
    <row r="798" spans="1:13" x14ac:dyDescent="0.3">
      <c r="A798" s="116" t="s">
        <v>257</v>
      </c>
      <c r="B798" s="117">
        <f>VLOOKUP(MID($A798,1,2),'Free Spins Symbol'!$T$2:$Z$29,3,0)</f>
        <v>24</v>
      </c>
      <c r="C798" s="129">
        <f>'Free Spins Symbol'!$W$18</f>
        <v>56</v>
      </c>
      <c r="D798" s="129">
        <f>'Free Spins Symbol'!$X$18</f>
        <v>40</v>
      </c>
      <c r="E798" s="129">
        <f>'Free Spins Symbol'!$Y$18</f>
        <v>32</v>
      </c>
      <c r="F798" s="117">
        <f>VLOOKUP(MID($A798,13,2),'Free Spins Symbol'!$T$2:$Z$29,7,0)</f>
        <v>48</v>
      </c>
      <c r="G798" s="100">
        <f>(B798*C798*D798*E798-B790*C790*D790*E790)*(F798-F788)</f>
        <v>18493440</v>
      </c>
      <c r="H798" s="118">
        <f t="shared" si="152"/>
        <v>18.604651162790699</v>
      </c>
      <c r="I798" s="100">
        <v>30</v>
      </c>
      <c r="J798" s="119">
        <f t="shared" si="154"/>
        <v>1.6125</v>
      </c>
      <c r="K798" s="120">
        <f t="shared" si="155"/>
        <v>5.3749999999999999E-2</v>
      </c>
      <c r="M798" s="146">
        <f>5375472/$M$906</f>
        <v>5.3754719999999999E-2</v>
      </c>
    </row>
    <row r="799" spans="1:13" x14ac:dyDescent="0.3">
      <c r="A799" s="116" t="s">
        <v>258</v>
      </c>
      <c r="B799" s="117">
        <f>VLOOKUP(MID($A799,1,2),'Free Spins Symbol'!$T$2:$Z$29,3,0)</f>
        <v>24</v>
      </c>
      <c r="C799" s="129">
        <f>'Free Spins Symbol'!$W$18</f>
        <v>56</v>
      </c>
      <c r="D799" s="129">
        <f>'Free Spins Symbol'!$X$18</f>
        <v>40</v>
      </c>
      <c r="E799" s="129">
        <f>'Free Spins Symbol'!$Y$18</f>
        <v>32</v>
      </c>
      <c r="F799" s="117">
        <f>VLOOKUP(MID($A799,13,2),'Free Spins Symbol'!$T$2:$Z$29,7,0)</f>
        <v>48</v>
      </c>
      <c r="G799" s="100">
        <f>(B799*C799*D799*E799-B790*C790*D790*E790)*(F799-F789)</f>
        <v>18493440</v>
      </c>
      <c r="H799" s="118">
        <f t="shared" si="152"/>
        <v>18.604651162790699</v>
      </c>
      <c r="I799" s="100">
        <v>30</v>
      </c>
      <c r="J799" s="119">
        <f t="shared" si="154"/>
        <v>1.6125</v>
      </c>
      <c r="K799" s="120">
        <f t="shared" si="155"/>
        <v>5.3749999999999999E-2</v>
      </c>
      <c r="M799" s="146">
        <f>5374837/$M$906</f>
        <v>5.3748369999999997E-2</v>
      </c>
    </row>
    <row r="800" spans="1:13" x14ac:dyDescent="0.3">
      <c r="A800" s="116" t="s">
        <v>264</v>
      </c>
      <c r="B800" s="117">
        <f>VLOOKUP(MID($A800,1,2),'Free Spins Symbol'!$T$2:$Z$29,3,0)</f>
        <v>18</v>
      </c>
      <c r="C800" s="129">
        <f>'Free Spins Symbol'!$W$18</f>
        <v>56</v>
      </c>
      <c r="D800" s="129">
        <f>'Free Spins Symbol'!$X$18</f>
        <v>40</v>
      </c>
      <c r="E800" s="129">
        <f>'Free Spins Symbol'!$Y$18</f>
        <v>32</v>
      </c>
      <c r="F800" s="117">
        <f>VLOOKUP(MID($A800,13,2),'Free Spins Symbol'!$T$2:$Z$29,7,0)</f>
        <v>48</v>
      </c>
      <c r="G800" s="100">
        <f>(B800*C800*D800)*(E800*F800-(E799+E798+E797+E796-3*E790)*F790-(E795-E790)*F795-(E794-E790)*F794-(E793-E790)*F793-(E792-E790)*F792-(E791-E790)*F791)</f>
        <v>0</v>
      </c>
      <c r="H800" s="118" t="e">
        <f t="shared" si="152"/>
        <v>#DIV/0!</v>
      </c>
      <c r="I800" s="100">
        <v>20</v>
      </c>
      <c r="J800" s="119">
        <f>K800*I800</f>
        <v>0</v>
      </c>
      <c r="K800" s="120">
        <f>G800/B$2</f>
        <v>0</v>
      </c>
      <c r="M800" s="146"/>
    </row>
    <row r="801" spans="1:13" x14ac:dyDescent="0.3">
      <c r="A801" s="116" t="s">
        <v>259</v>
      </c>
      <c r="B801" s="117">
        <f>VLOOKUP(MID($A801,1,2),'Free Spins Symbol'!$T$2:$Z$29,3,0)</f>
        <v>38</v>
      </c>
      <c r="C801" s="129">
        <f>'Free Spins Symbol'!$W$18</f>
        <v>56</v>
      </c>
      <c r="D801" s="129">
        <f>'Free Spins Symbol'!$X$18</f>
        <v>40</v>
      </c>
      <c r="E801" s="129">
        <f>'Free Spins Symbol'!$Y$18</f>
        <v>32</v>
      </c>
      <c r="F801" s="117">
        <f>VLOOKUP(MID($A801,13,2),'Free Spins Symbol'!$T$2:$Z$29,7,0)</f>
        <v>48</v>
      </c>
      <c r="G801" s="100">
        <f>(B801*C801*D801*E801-B790*C790*D790*E790)*(F801-F791)</f>
        <v>65945600</v>
      </c>
      <c r="H801" s="118">
        <f t="shared" si="152"/>
        <v>5.2173913043478262</v>
      </c>
      <c r="I801" s="100">
        <v>20</v>
      </c>
      <c r="J801" s="119">
        <f t="shared" ref="J801:J820" si="156">K801*I801</f>
        <v>3.8333333333333335</v>
      </c>
      <c r="K801" s="120">
        <f t="shared" ref="K801:K820" si="157">G801/B$2</f>
        <v>0.19166666666666668</v>
      </c>
      <c r="M801" s="146">
        <f>19162367/$M$906</f>
        <v>0.19162367</v>
      </c>
    </row>
    <row r="802" spans="1:13" x14ac:dyDescent="0.3">
      <c r="A802" s="116" t="s">
        <v>260</v>
      </c>
      <c r="B802" s="117">
        <f>VLOOKUP(MID($A802,1,2),'Free Spins Symbol'!$T$2:$Z$29,3,0)</f>
        <v>35</v>
      </c>
      <c r="C802" s="129">
        <f>'Free Spins Symbol'!$W$18</f>
        <v>56</v>
      </c>
      <c r="D802" s="129">
        <f>'Free Spins Symbol'!$X$18</f>
        <v>40</v>
      </c>
      <c r="E802" s="129">
        <f>'Free Spins Symbol'!$Y$18</f>
        <v>32</v>
      </c>
      <c r="F802" s="117">
        <f>VLOOKUP(MID($A802,13,2),'Free Spins Symbol'!$T$2:$Z$29,7,0)</f>
        <v>48</v>
      </c>
      <c r="G802" s="100">
        <f>(B802*C802*D802*E802-B790*C790*D790*E790)*(F802-F792)</f>
        <v>45086720</v>
      </c>
      <c r="H802" s="118">
        <f t="shared" si="152"/>
        <v>7.631160572337043</v>
      </c>
      <c r="I802" s="100">
        <v>20</v>
      </c>
      <c r="J802" s="119">
        <f t="shared" si="156"/>
        <v>2.6208333333333336</v>
      </c>
      <c r="K802" s="120">
        <f t="shared" si="157"/>
        <v>0.13104166666666667</v>
      </c>
      <c r="M802" s="146">
        <f>13106398/$M$906</f>
        <v>0.13106398</v>
      </c>
    </row>
    <row r="803" spans="1:13" x14ac:dyDescent="0.3">
      <c r="A803" s="116" t="s">
        <v>261</v>
      </c>
      <c r="B803" s="117">
        <f>VLOOKUP(MID($A803,1,2),'Free Spins Symbol'!$T$2:$Z$29,3,0)</f>
        <v>28</v>
      </c>
      <c r="C803" s="129">
        <f>'Free Spins Symbol'!$W$18</f>
        <v>56</v>
      </c>
      <c r="D803" s="129">
        <f>'Free Spins Symbol'!$X$18</f>
        <v>40</v>
      </c>
      <c r="E803" s="129">
        <f>'Free Spins Symbol'!$Y$18</f>
        <v>32</v>
      </c>
      <c r="F803" s="117">
        <f>VLOOKUP(MID($A803,13,2),'Free Spins Symbol'!$T$2:$Z$29,7,0)</f>
        <v>48</v>
      </c>
      <c r="G803" s="100">
        <f>(B803*C803*D803*E803-B790*C790*D790*E790)*(F803-F793)</f>
        <v>33689600</v>
      </c>
      <c r="H803" s="118">
        <f t="shared" si="152"/>
        <v>10.212765957446809</v>
      </c>
      <c r="I803" s="100">
        <v>20</v>
      </c>
      <c r="J803" s="119">
        <f t="shared" si="156"/>
        <v>1.9583333333333333</v>
      </c>
      <c r="K803" s="120">
        <f t="shared" si="157"/>
        <v>9.7916666666666666E-2</v>
      </c>
      <c r="M803" s="146">
        <f>9791128/$M$906</f>
        <v>9.7911280000000003E-2</v>
      </c>
    </row>
    <row r="804" spans="1:13" x14ac:dyDescent="0.3">
      <c r="A804" s="116" t="s">
        <v>262</v>
      </c>
      <c r="B804" s="117">
        <f>VLOOKUP(MID($A804,1,2),'Free Spins Symbol'!$T$2:$Z$29,3,0)</f>
        <v>34</v>
      </c>
      <c r="C804" s="129">
        <f>'Free Spins Symbol'!$W$18</f>
        <v>56</v>
      </c>
      <c r="D804" s="129">
        <f>'Free Spins Symbol'!$X$18</f>
        <v>40</v>
      </c>
      <c r="E804" s="129">
        <f>'Free Spins Symbol'!$Y$18</f>
        <v>32</v>
      </c>
      <c r="F804" s="117">
        <f>VLOOKUP(MID($A804,13,2),'Free Spins Symbol'!$T$2:$Z$29,7,0)</f>
        <v>48</v>
      </c>
      <c r="G804" s="100">
        <f>(B804*C804*D804*E804-B790*C790*D790*E790)*(F804-F794)</f>
        <v>42434560</v>
      </c>
      <c r="H804" s="118">
        <f t="shared" si="152"/>
        <v>8.1081081081081088</v>
      </c>
      <c r="I804" s="100">
        <v>20</v>
      </c>
      <c r="J804" s="119">
        <f t="shared" si="156"/>
        <v>2.4666666666666668</v>
      </c>
      <c r="K804" s="120">
        <f t="shared" si="157"/>
        <v>0.12333333333333334</v>
      </c>
      <c r="M804" s="146">
        <f>12329563/$M$906</f>
        <v>0.12329563</v>
      </c>
    </row>
    <row r="805" spans="1:13" x14ac:dyDescent="0.3">
      <c r="A805" s="116" t="s">
        <v>263</v>
      </c>
      <c r="B805" s="117">
        <f>VLOOKUP(MID($A805,1,2),'Free Spins Symbol'!$T$2:$Z$29,3,0)</f>
        <v>19</v>
      </c>
      <c r="C805" s="129">
        <f>'Free Spins Symbol'!$W$18</f>
        <v>56</v>
      </c>
      <c r="D805" s="129">
        <f>'Free Spins Symbol'!$X$18</f>
        <v>40</v>
      </c>
      <c r="E805" s="129">
        <f>'Free Spins Symbol'!$Y$18</f>
        <v>32</v>
      </c>
      <c r="F805" s="117">
        <f>VLOOKUP(MID($A805,13,2),'Free Spins Symbol'!$T$2:$Z$29,7,0)</f>
        <v>48</v>
      </c>
      <c r="G805" s="100">
        <f>(B805*C805*D805*E805-B790*C790*D790*E790)*(F805-F795)</f>
        <v>2652160</v>
      </c>
      <c r="H805" s="118">
        <f t="shared" si="152"/>
        <v>129.72972972972974</v>
      </c>
      <c r="I805" s="100">
        <v>20</v>
      </c>
      <c r="J805" s="119">
        <f t="shared" si="156"/>
        <v>0.15416666666666667</v>
      </c>
      <c r="K805" s="120">
        <f t="shared" si="157"/>
        <v>7.7083333333333335E-3</v>
      </c>
      <c r="M805" s="146">
        <f>771166/$M$906</f>
        <v>7.7116600000000004E-3</v>
      </c>
    </row>
    <row r="806" spans="1:13" x14ac:dyDescent="0.3">
      <c r="A806" s="116" t="s">
        <v>265</v>
      </c>
      <c r="B806" s="117">
        <f>VLOOKUP(MID($A806,1,2),'Free Spins Symbol'!$T$2:$Z$29,3,0)</f>
        <v>20</v>
      </c>
      <c r="C806" s="129">
        <f>'Free Spins Symbol'!$W$18</f>
        <v>56</v>
      </c>
      <c r="D806" s="129">
        <f>'Free Spins Symbol'!$X$18</f>
        <v>40</v>
      </c>
      <c r="E806" s="129">
        <f>'Free Spins Symbol'!$Y$18</f>
        <v>32</v>
      </c>
      <c r="F806" s="117">
        <f>VLOOKUP(MID($A806,13,2),'Free Spins Symbol'!$T$2:$Z$29,7,0)</f>
        <v>48</v>
      </c>
      <c r="G806" s="100">
        <f>(B806*C806*D806-B800*C800*D800)*(E806-E796)*F806</f>
        <v>0</v>
      </c>
      <c r="H806" s="118" t="e">
        <f t="shared" si="152"/>
        <v>#DIV/0!</v>
      </c>
      <c r="I806" s="100">
        <v>20</v>
      </c>
      <c r="J806" s="119">
        <f t="shared" si="156"/>
        <v>0</v>
      </c>
      <c r="K806" s="120">
        <f t="shared" si="157"/>
        <v>0</v>
      </c>
      <c r="M806" s="148"/>
    </row>
    <row r="807" spans="1:13" x14ac:dyDescent="0.3">
      <c r="A807" s="116" t="s">
        <v>266</v>
      </c>
      <c r="B807" s="117">
        <f>VLOOKUP(MID($A807,1,2),'Free Spins Symbol'!$T$2:$Z$29,3,0)</f>
        <v>22</v>
      </c>
      <c r="C807" s="129">
        <f>'Free Spins Symbol'!$W$18</f>
        <v>56</v>
      </c>
      <c r="D807" s="129">
        <f>'Free Spins Symbol'!$X$18</f>
        <v>40</v>
      </c>
      <c r="E807" s="129">
        <f>'Free Spins Symbol'!$Y$18</f>
        <v>32</v>
      </c>
      <c r="F807" s="117">
        <f>VLOOKUP(MID($A807,13,2),'Free Spins Symbol'!$T$2:$Z$29,7,0)</f>
        <v>48</v>
      </c>
      <c r="G807" s="100">
        <f>(B807*C807*D807-B800*C800*D800)*(E807-E797)*F807</f>
        <v>0</v>
      </c>
      <c r="H807" s="118" t="e">
        <f t="shared" si="152"/>
        <v>#DIV/0!</v>
      </c>
      <c r="I807" s="100">
        <v>20</v>
      </c>
      <c r="J807" s="119">
        <f t="shared" si="156"/>
        <v>0</v>
      </c>
      <c r="K807" s="120">
        <f t="shared" si="157"/>
        <v>0</v>
      </c>
      <c r="M807" s="148"/>
    </row>
    <row r="808" spans="1:13" x14ac:dyDescent="0.3">
      <c r="A808" s="116" t="s">
        <v>267</v>
      </c>
      <c r="B808" s="117">
        <f>VLOOKUP(MID($A808,1,2),'Free Spins Symbol'!$T$2:$Z$29,3,0)</f>
        <v>24</v>
      </c>
      <c r="C808" s="129">
        <f>'Free Spins Symbol'!$W$18</f>
        <v>56</v>
      </c>
      <c r="D808" s="129">
        <f>'Free Spins Symbol'!$X$18</f>
        <v>40</v>
      </c>
      <c r="E808" s="129">
        <f>'Free Spins Symbol'!$Y$18</f>
        <v>32</v>
      </c>
      <c r="F808" s="117">
        <f>VLOOKUP(MID($A808,13,2),'Free Spins Symbol'!$T$2:$Z$29,7,0)</f>
        <v>48</v>
      </c>
      <c r="G808" s="100">
        <f>(B808*C808*D808-B800*C800*D800)*(E808-E798)*F808</f>
        <v>0</v>
      </c>
      <c r="H808" s="118" t="e">
        <f t="shared" si="152"/>
        <v>#DIV/0!</v>
      </c>
      <c r="I808" s="100">
        <v>10</v>
      </c>
      <c r="J808" s="119">
        <f t="shared" si="156"/>
        <v>0</v>
      </c>
      <c r="K808" s="120">
        <f t="shared" si="157"/>
        <v>0</v>
      </c>
      <c r="M808" s="148"/>
    </row>
    <row r="809" spans="1:13" x14ac:dyDescent="0.3">
      <c r="A809" s="116" t="s">
        <v>268</v>
      </c>
      <c r="B809" s="117">
        <f>VLOOKUP(MID($A809,1,2),'Free Spins Symbol'!$T$2:$Z$29,3,0)</f>
        <v>24</v>
      </c>
      <c r="C809" s="129">
        <f>'Free Spins Symbol'!$W$18</f>
        <v>56</v>
      </c>
      <c r="D809" s="129">
        <f>'Free Spins Symbol'!$X$18</f>
        <v>40</v>
      </c>
      <c r="E809" s="129">
        <f>'Free Spins Symbol'!$Y$18</f>
        <v>32</v>
      </c>
      <c r="F809" s="117">
        <f>VLOOKUP(MID($A809,13,2),'Free Spins Symbol'!$T$2:$Z$29,7,0)</f>
        <v>48</v>
      </c>
      <c r="G809" s="100">
        <f>(B809*C809*D809-B800*C800*D800)*(E809-E799)*F809</f>
        <v>0</v>
      </c>
      <c r="H809" s="118" t="e">
        <f t="shared" si="152"/>
        <v>#DIV/0!</v>
      </c>
      <c r="I809" s="100">
        <v>10</v>
      </c>
      <c r="J809" s="119">
        <f t="shared" si="156"/>
        <v>0</v>
      </c>
      <c r="K809" s="120">
        <f t="shared" si="157"/>
        <v>0</v>
      </c>
      <c r="M809" s="148"/>
    </row>
    <row r="810" spans="1:13" x14ac:dyDescent="0.3">
      <c r="A810" s="116" t="s">
        <v>269</v>
      </c>
      <c r="B810" s="117">
        <f>VLOOKUP(MID($A810,1,2),'Free Spins Symbol'!$T$2:$Z$29,3,0)</f>
        <v>38</v>
      </c>
      <c r="C810" s="129">
        <f>'Free Spins Symbol'!$W$18</f>
        <v>56</v>
      </c>
      <c r="D810" s="129">
        <f>'Free Spins Symbol'!$X$18</f>
        <v>40</v>
      </c>
      <c r="E810" s="129">
        <f>'Free Spins Symbol'!$Y$18</f>
        <v>32</v>
      </c>
      <c r="F810" s="117">
        <f>VLOOKUP(MID($A810,13,2),'Free Spins Symbol'!$T$2:$Z$29,7,0)</f>
        <v>48</v>
      </c>
      <c r="G810" s="100">
        <f>(B810*C810*D810-B800*C800*D800)*(E810-E801)*F810</f>
        <v>0</v>
      </c>
      <c r="H810" s="118" t="e">
        <f t="shared" si="152"/>
        <v>#DIV/0!</v>
      </c>
      <c r="I810" s="100">
        <v>5</v>
      </c>
      <c r="J810" s="119">
        <f t="shared" si="156"/>
        <v>0</v>
      </c>
      <c r="K810" s="120">
        <f t="shared" si="157"/>
        <v>0</v>
      </c>
      <c r="M810" s="148"/>
    </row>
    <row r="811" spans="1:13" x14ac:dyDescent="0.3">
      <c r="A811" s="116" t="s">
        <v>270</v>
      </c>
      <c r="B811" s="117">
        <f>VLOOKUP(MID($A811,1,2),'Free Spins Symbol'!$T$2:$Z$29,3,0)</f>
        <v>35</v>
      </c>
      <c r="C811" s="129">
        <f>'Free Spins Symbol'!$W$18</f>
        <v>56</v>
      </c>
      <c r="D811" s="129">
        <f>'Free Spins Symbol'!$X$18</f>
        <v>40</v>
      </c>
      <c r="E811" s="129">
        <f>'Free Spins Symbol'!$Y$18</f>
        <v>32</v>
      </c>
      <c r="F811" s="117">
        <f>VLOOKUP(MID($A811,13,2),'Free Spins Symbol'!$T$2:$Z$29,7,0)</f>
        <v>48</v>
      </c>
      <c r="G811" s="100">
        <f>(B811*C811*D811-B800*C800*D800)*(E811-E802)*F811</f>
        <v>0</v>
      </c>
      <c r="H811" s="118" t="e">
        <f t="shared" si="152"/>
        <v>#DIV/0!</v>
      </c>
      <c r="I811" s="100">
        <v>5</v>
      </c>
      <c r="J811" s="119">
        <f t="shared" si="156"/>
        <v>0</v>
      </c>
      <c r="K811" s="120">
        <f t="shared" si="157"/>
        <v>0</v>
      </c>
      <c r="M811" s="148"/>
    </row>
    <row r="812" spans="1:13" x14ac:dyDescent="0.3">
      <c r="A812" s="116" t="s">
        <v>271</v>
      </c>
      <c r="B812" s="117">
        <f>VLOOKUP(MID($A812,1,2),'Free Spins Symbol'!$T$2:$Z$29,3,0)</f>
        <v>28</v>
      </c>
      <c r="C812" s="129">
        <f>'Free Spins Symbol'!$W$18</f>
        <v>56</v>
      </c>
      <c r="D812" s="129">
        <f>'Free Spins Symbol'!$X$18</f>
        <v>40</v>
      </c>
      <c r="E812" s="129">
        <f>'Free Spins Symbol'!$Y$18</f>
        <v>32</v>
      </c>
      <c r="F812" s="117">
        <f>VLOOKUP(MID($A812,13,2),'Free Spins Symbol'!$T$2:$Z$29,7,0)</f>
        <v>48</v>
      </c>
      <c r="G812" s="100">
        <f>(B812*C812*D812-B800*C800*D800)*(E812-E803)*F812</f>
        <v>0</v>
      </c>
      <c r="H812" s="118" t="e">
        <f t="shared" si="152"/>
        <v>#DIV/0!</v>
      </c>
      <c r="I812" s="100">
        <v>5</v>
      </c>
      <c r="J812" s="119">
        <f t="shared" si="156"/>
        <v>0</v>
      </c>
      <c r="K812" s="120">
        <f t="shared" si="157"/>
        <v>0</v>
      </c>
      <c r="M812" s="148"/>
    </row>
    <row r="813" spans="1:13" x14ac:dyDescent="0.3">
      <c r="A813" s="116" t="s">
        <v>272</v>
      </c>
      <c r="B813" s="117">
        <f>VLOOKUP(MID($A813,1,2),'Free Spins Symbol'!$T$2:$Z$29,3,0)</f>
        <v>34</v>
      </c>
      <c r="C813" s="129">
        <f>'Free Spins Symbol'!$W$18</f>
        <v>56</v>
      </c>
      <c r="D813" s="129">
        <f>'Free Spins Symbol'!$X$18</f>
        <v>40</v>
      </c>
      <c r="E813" s="129">
        <f>'Free Spins Symbol'!$Y$18</f>
        <v>32</v>
      </c>
      <c r="F813" s="117">
        <f>VLOOKUP(MID($A813,13,2),'Free Spins Symbol'!$T$2:$Z$29,7,0)</f>
        <v>48</v>
      </c>
      <c r="G813" s="100">
        <f>(B813*C813*D813-B800*C800*D800)*(E813-E804)*F813</f>
        <v>0</v>
      </c>
      <c r="H813" s="118" t="e">
        <f t="shared" si="152"/>
        <v>#DIV/0!</v>
      </c>
      <c r="I813" s="100">
        <v>5</v>
      </c>
      <c r="J813" s="119">
        <f t="shared" si="156"/>
        <v>0</v>
      </c>
      <c r="K813" s="120">
        <f t="shared" si="157"/>
        <v>0</v>
      </c>
      <c r="M813" s="148"/>
    </row>
    <row r="814" spans="1:13" x14ac:dyDescent="0.3">
      <c r="A814" s="116" t="s">
        <v>273</v>
      </c>
      <c r="B814" s="117">
        <f>VLOOKUP(MID($A814,1,2),'Free Spins Symbol'!$T$2:$Z$29,3,0)</f>
        <v>19</v>
      </c>
      <c r="C814" s="129">
        <f>'Free Spins Symbol'!$W$18</f>
        <v>56</v>
      </c>
      <c r="D814" s="129">
        <f>'Free Spins Symbol'!$X$18</f>
        <v>40</v>
      </c>
      <c r="E814" s="129">
        <f>'Free Spins Symbol'!$Y$18</f>
        <v>32</v>
      </c>
      <c r="F814" s="117">
        <f>VLOOKUP(MID($A814,13,2),'Free Spins Symbol'!$T$2:$Z$29,7,0)</f>
        <v>48</v>
      </c>
      <c r="G814" s="100">
        <f>(B814*C814*D814-B800*C800*D800)*(E814-E805)*F814</f>
        <v>0</v>
      </c>
      <c r="H814" s="118" t="e">
        <f t="shared" si="152"/>
        <v>#DIV/0!</v>
      </c>
      <c r="I814" s="100">
        <v>5</v>
      </c>
      <c r="J814" s="119">
        <f t="shared" si="156"/>
        <v>0</v>
      </c>
      <c r="K814" s="120">
        <f t="shared" si="157"/>
        <v>0</v>
      </c>
      <c r="M814" s="148"/>
    </row>
    <row r="815" spans="1:13" x14ac:dyDescent="0.3">
      <c r="A815" s="116" t="s">
        <v>274</v>
      </c>
      <c r="B815" s="117">
        <f>VLOOKUP(MID($A815,1,2),'Free Spins Symbol'!$T$2:$Z$29,3,0)</f>
        <v>18</v>
      </c>
      <c r="C815" s="129">
        <f>'Free Spins Symbol'!$W$18</f>
        <v>56</v>
      </c>
      <c r="D815" s="129">
        <f>'Free Spins Symbol'!$X$18</f>
        <v>40</v>
      </c>
      <c r="E815" s="129">
        <f>'Free Spins Symbol'!$Y$18</f>
        <v>32</v>
      </c>
      <c r="F815" s="117">
        <f>VLOOKUP(MID($A815,13,2),'Free Spins Symbol'!$T$2:$Z$29,7,0)</f>
        <v>48</v>
      </c>
      <c r="G815" s="100">
        <f>B815*C815*(D815-D800)*E815*F815</f>
        <v>0</v>
      </c>
      <c r="H815" s="118" t="e">
        <f t="shared" si="152"/>
        <v>#DIV/0!</v>
      </c>
      <c r="I815" s="100">
        <v>5</v>
      </c>
      <c r="J815" s="119">
        <f t="shared" si="156"/>
        <v>0</v>
      </c>
      <c r="K815" s="120">
        <f t="shared" si="157"/>
        <v>0</v>
      </c>
    </row>
    <row r="816" spans="1:13" x14ac:dyDescent="0.3">
      <c r="A816" s="116" t="s">
        <v>275</v>
      </c>
      <c r="B816" s="117">
        <f>VLOOKUP(MID($A816,1,2),'Free Spins Symbol'!$T$2:$Z$29,3,0)</f>
        <v>20</v>
      </c>
      <c r="C816" s="129">
        <f>'Free Spins Symbol'!$W$18</f>
        <v>56</v>
      </c>
      <c r="D816" s="129">
        <f>'Free Spins Symbol'!$X$18</f>
        <v>40</v>
      </c>
      <c r="E816" s="129">
        <f>'Free Spins Symbol'!$Y$18</f>
        <v>32</v>
      </c>
      <c r="F816" s="117">
        <f>VLOOKUP(MID($A816,13,2),'Free Spins Symbol'!$T$2:$Z$29,7,0)</f>
        <v>48</v>
      </c>
      <c r="G816" s="100">
        <f t="shared" ref="G816:G819" si="158">B816*C816*(D816-D806)*E816*F816</f>
        <v>0</v>
      </c>
      <c r="H816" s="118" t="e">
        <f t="shared" si="152"/>
        <v>#DIV/0!</v>
      </c>
      <c r="I816" s="100">
        <v>5</v>
      </c>
      <c r="J816" s="119">
        <f t="shared" si="156"/>
        <v>0</v>
      </c>
      <c r="K816" s="120">
        <f t="shared" si="157"/>
        <v>0</v>
      </c>
    </row>
    <row r="817" spans="1:11" x14ac:dyDescent="0.3">
      <c r="A817" s="116" t="s">
        <v>276</v>
      </c>
      <c r="B817" s="117">
        <f>VLOOKUP(MID($A817,1,2),'Free Spins Symbol'!$T$2:$Z$29,3,0)</f>
        <v>22</v>
      </c>
      <c r="C817" s="129">
        <f>'Free Spins Symbol'!$W$18</f>
        <v>56</v>
      </c>
      <c r="D817" s="129">
        <f>'Free Spins Symbol'!$X$18</f>
        <v>40</v>
      </c>
      <c r="E817" s="129">
        <f>'Free Spins Symbol'!$Y$18</f>
        <v>32</v>
      </c>
      <c r="F817" s="117">
        <f>VLOOKUP(MID($A817,13,2),'Free Spins Symbol'!$T$2:$Z$29,7,0)</f>
        <v>48</v>
      </c>
      <c r="G817" s="100">
        <f t="shared" si="158"/>
        <v>0</v>
      </c>
      <c r="H817" s="118" t="e">
        <f t="shared" si="152"/>
        <v>#DIV/0!</v>
      </c>
      <c r="I817" s="100">
        <v>5</v>
      </c>
      <c r="J817" s="119">
        <f t="shared" si="156"/>
        <v>0</v>
      </c>
      <c r="K817" s="120">
        <f t="shared" si="157"/>
        <v>0</v>
      </c>
    </row>
    <row r="818" spans="1:11" x14ac:dyDescent="0.3">
      <c r="A818" s="116" t="s">
        <v>277</v>
      </c>
      <c r="B818" s="117">
        <f>VLOOKUP(MID($A818,1,2),'Free Spins Symbol'!$T$2:$Z$29,3,0)</f>
        <v>24</v>
      </c>
      <c r="C818" s="129">
        <f>'Free Spins Symbol'!$W$18</f>
        <v>56</v>
      </c>
      <c r="D818" s="129">
        <f>'Free Spins Symbol'!$X$18</f>
        <v>40</v>
      </c>
      <c r="E818" s="129">
        <f>'Free Spins Symbol'!$Y$18</f>
        <v>32</v>
      </c>
      <c r="F818" s="117">
        <f>VLOOKUP(MID($A818,13,2),'Free Spins Symbol'!$T$2:$Z$29,7,0)</f>
        <v>48</v>
      </c>
      <c r="G818" s="100">
        <f t="shared" si="158"/>
        <v>0</v>
      </c>
      <c r="H818" s="118" t="e">
        <f t="shared" si="152"/>
        <v>#DIV/0!</v>
      </c>
      <c r="I818" s="100">
        <v>5</v>
      </c>
      <c r="J818" s="119">
        <f t="shared" si="156"/>
        <v>0</v>
      </c>
      <c r="K818" s="120">
        <f t="shared" si="157"/>
        <v>0</v>
      </c>
    </row>
    <row r="819" spans="1:11" x14ac:dyDescent="0.3">
      <c r="A819" s="116" t="s">
        <v>278</v>
      </c>
      <c r="B819" s="117">
        <f>VLOOKUP(MID($A819,1,2),'Free Spins Symbol'!$T$2:$Z$29,3,0)</f>
        <v>24</v>
      </c>
      <c r="C819" s="129">
        <f>'Free Spins Symbol'!$W$18</f>
        <v>56</v>
      </c>
      <c r="D819" s="129">
        <f>'Free Spins Symbol'!$X$18</f>
        <v>40</v>
      </c>
      <c r="E819" s="129">
        <f>'Free Spins Symbol'!$Y$18</f>
        <v>32</v>
      </c>
      <c r="F819" s="117">
        <f>VLOOKUP(MID($A819,13,2),'Free Spins Symbol'!$T$2:$Z$29,7,0)</f>
        <v>48</v>
      </c>
      <c r="G819" s="100">
        <f t="shared" si="158"/>
        <v>0</v>
      </c>
      <c r="H819" s="118" t="e">
        <f t="shared" si="152"/>
        <v>#DIV/0!</v>
      </c>
      <c r="I819" s="100">
        <v>5</v>
      </c>
      <c r="J819" s="119">
        <f t="shared" si="156"/>
        <v>0</v>
      </c>
      <c r="K819" s="120">
        <f t="shared" si="157"/>
        <v>0</v>
      </c>
    </row>
    <row r="820" spans="1:11" x14ac:dyDescent="0.3">
      <c r="A820" s="122" t="s">
        <v>279</v>
      </c>
      <c r="B820" s="117">
        <f>VLOOKUP(MID($A820,1,2),'Free Spins Symbol'!$T$2:$Z$29,3,0)</f>
        <v>100</v>
      </c>
      <c r="C820" s="117">
        <f>VLOOKUP(MID($A820,4,2),'Free Spins Symbol'!$T$2:$Z$29,4,0)</f>
        <v>8</v>
      </c>
      <c r="D820" s="117">
        <f>VLOOKUP(MID($A820,7,2),'Free Spins Symbol'!$T$2:$Z$29,5,0)</f>
        <v>4</v>
      </c>
      <c r="E820" s="117">
        <f>VLOOKUP(MID($A820,10,2),'Free Spins Symbol'!$T$2:$Z$29,6,0)</f>
        <v>16</v>
      </c>
      <c r="F820" s="117">
        <f>VLOOKUP(MID($A820,13,2),'Free Spins Symbol'!$T$2:$Z$29,7,0)</f>
        <v>48</v>
      </c>
      <c r="G820" s="100">
        <f>B820*C820*D820*E820*F820</f>
        <v>2457600</v>
      </c>
      <c r="H820" s="118">
        <f t="shared" si="152"/>
        <v>140</v>
      </c>
      <c r="I820" s="123">
        <v>2</v>
      </c>
      <c r="J820" s="124">
        <f t="shared" si="156"/>
        <v>1.4285714285714285E-2</v>
      </c>
      <c r="K820" s="120">
        <f t="shared" si="157"/>
        <v>7.1428571428571426E-3</v>
      </c>
    </row>
    <row r="822" spans="1:11" ht="16.8" thickBot="1" x14ac:dyDescent="0.35"/>
    <row r="823" spans="1:11" ht="16.8" thickBot="1" x14ac:dyDescent="0.35">
      <c r="A823" s="125" t="s">
        <v>312</v>
      </c>
    </row>
    <row r="824" spans="1:11" ht="16.8" thickBot="1" x14ac:dyDescent="0.35">
      <c r="A824" s="95" t="s">
        <v>280</v>
      </c>
      <c r="B824" s="142">
        <f>B2</f>
        <v>344064000</v>
      </c>
      <c r="C824" s="142"/>
      <c r="D824" s="142"/>
      <c r="E824" s="142"/>
      <c r="F824" s="142"/>
      <c r="G824" s="7"/>
      <c r="H824" s="106"/>
      <c r="I824" s="107" t="s">
        <v>281</v>
      </c>
      <c r="J824" s="108">
        <f>SUM(J826:J860)</f>
        <v>16.35546875</v>
      </c>
      <c r="K824" s="126">
        <f>SUM(K826:K861)</f>
        <v>1.0071428571428571</v>
      </c>
    </row>
    <row r="825" spans="1:11" ht="33" thickBot="1" x14ac:dyDescent="0.35">
      <c r="A825" s="109" t="s">
        <v>233</v>
      </c>
      <c r="B825" s="110" t="s">
        <v>234</v>
      </c>
      <c r="C825" s="110" t="s">
        <v>235</v>
      </c>
      <c r="D825" s="110" t="s">
        <v>236</v>
      </c>
      <c r="E825" s="110" t="s">
        <v>237</v>
      </c>
      <c r="F825" s="110" t="s">
        <v>238</v>
      </c>
      <c r="G825" s="111" t="s">
        <v>239</v>
      </c>
      <c r="H825" s="112" t="s">
        <v>240</v>
      </c>
      <c r="I825" s="113" t="s">
        <v>241</v>
      </c>
      <c r="J825" s="114" t="s">
        <v>242</v>
      </c>
      <c r="K825" s="115" t="s">
        <v>243</v>
      </c>
    </row>
    <row r="826" spans="1:11" x14ac:dyDescent="0.3">
      <c r="A826" s="116" t="s">
        <v>244</v>
      </c>
      <c r="B826" s="129">
        <f>'Free Spins Symbol'!$V$18</f>
        <v>100</v>
      </c>
      <c r="C826" s="129">
        <f>'Free Spins Symbol'!$W$18</f>
        <v>56</v>
      </c>
      <c r="D826" s="117">
        <f>VLOOKUP(MID($A826,7,2),'Free Spins Symbol'!$T$2:$Z$29,5,0)</f>
        <v>0</v>
      </c>
      <c r="E826" s="117">
        <f>VLOOKUP(MID($A826,10,2),'Free Spins Symbol'!$T$2:$Z$29,6,0)</f>
        <v>0</v>
      </c>
      <c r="F826" s="129">
        <f>'Free Spins Symbol'!$Z$18</f>
        <v>48</v>
      </c>
      <c r="G826" s="100">
        <f>B826*C826*D826*E826*F826</f>
        <v>0</v>
      </c>
      <c r="H826" s="118" t="e">
        <f>B$2/G826</f>
        <v>#DIV/0!</v>
      </c>
      <c r="I826" s="100">
        <v>500</v>
      </c>
      <c r="J826" s="119">
        <f t="shared" ref="J826:J830" si="159">K826*I826</f>
        <v>0</v>
      </c>
      <c r="K826" s="120">
        <f>G826/B$2</f>
        <v>0</v>
      </c>
    </row>
    <row r="827" spans="1:11" x14ac:dyDescent="0.3">
      <c r="A827" s="116" t="s">
        <v>245</v>
      </c>
      <c r="B827" s="129">
        <f>'Free Spins Symbol'!$V$18</f>
        <v>100</v>
      </c>
      <c r="C827" s="129">
        <f>'Free Spins Symbol'!$W$18</f>
        <v>56</v>
      </c>
      <c r="D827" s="117">
        <f>VLOOKUP(MID($A827,7,2),'Free Spins Symbol'!$T$2:$Z$29,5,0)</f>
        <v>2</v>
      </c>
      <c r="E827" s="117">
        <f>VLOOKUP(MID($A827,10,2),'Free Spins Symbol'!$T$2:$Z$29,6,0)</f>
        <v>1</v>
      </c>
      <c r="F827" s="129">
        <f>'Free Spins Symbol'!$Z$18</f>
        <v>48</v>
      </c>
      <c r="G827" s="100">
        <f>B827*C827*D827*E827*F827-G826</f>
        <v>537600</v>
      </c>
      <c r="H827" s="118">
        <f t="shared" ref="H827:H861" si="160">B$2/G827</f>
        <v>640</v>
      </c>
      <c r="I827" s="100">
        <v>250</v>
      </c>
      <c r="J827" s="119">
        <f t="shared" si="159"/>
        <v>0.390625</v>
      </c>
      <c r="K827" s="120">
        <f t="shared" ref="K827:K830" si="161">G827/B$2</f>
        <v>1.5625000000000001E-3</v>
      </c>
    </row>
    <row r="828" spans="1:11" x14ac:dyDescent="0.3">
      <c r="A828" s="116" t="s">
        <v>246</v>
      </c>
      <c r="B828" s="129">
        <f>'Free Spins Symbol'!$V$18</f>
        <v>100</v>
      </c>
      <c r="C828" s="129">
        <f>'Free Spins Symbol'!$W$18</f>
        <v>56</v>
      </c>
      <c r="D828" s="117">
        <f>VLOOKUP(MID($A828,7,2),'Free Spins Symbol'!$T$2:$Z$29,5,0)</f>
        <v>3</v>
      </c>
      <c r="E828" s="117">
        <f>VLOOKUP(MID($A828,10,2),'Free Spins Symbol'!$T$2:$Z$29,6,0)</f>
        <v>1</v>
      </c>
      <c r="F828" s="129">
        <f>'Free Spins Symbol'!$Z$18</f>
        <v>48</v>
      </c>
      <c r="G828" s="100">
        <f>B828*C828*D828*E828*F828-G826</f>
        <v>806400</v>
      </c>
      <c r="H828" s="118">
        <f t="shared" si="160"/>
        <v>426.66666666666669</v>
      </c>
      <c r="I828" s="100">
        <v>250</v>
      </c>
      <c r="J828" s="119">
        <f t="shared" si="159"/>
        <v>0.5859375</v>
      </c>
      <c r="K828" s="120">
        <f t="shared" si="161"/>
        <v>2.3437499999999999E-3</v>
      </c>
    </row>
    <row r="829" spans="1:11" x14ac:dyDescent="0.3">
      <c r="A829" s="116" t="s">
        <v>247</v>
      </c>
      <c r="B829" s="129">
        <f>'Free Spins Symbol'!$V$18</f>
        <v>100</v>
      </c>
      <c r="C829" s="129">
        <f>'Free Spins Symbol'!$W$18</f>
        <v>56</v>
      </c>
      <c r="D829" s="117">
        <f>VLOOKUP(MID($A829,7,2),'Free Spins Symbol'!$T$2:$Z$29,5,0)</f>
        <v>2</v>
      </c>
      <c r="E829" s="117">
        <f>VLOOKUP(MID($A829,10,2),'Free Spins Symbol'!$T$2:$Z$29,6,0)</f>
        <v>1</v>
      </c>
      <c r="F829" s="129">
        <f>'Free Spins Symbol'!$Z$18</f>
        <v>48</v>
      </c>
      <c r="G829" s="100">
        <f>B829*C829*D829*E829*F829-G826</f>
        <v>537600</v>
      </c>
      <c r="H829" s="118">
        <f t="shared" si="160"/>
        <v>640</v>
      </c>
      <c r="I829" s="100">
        <v>150</v>
      </c>
      <c r="J829" s="119">
        <f t="shared" si="159"/>
        <v>0.234375</v>
      </c>
      <c r="K829" s="120">
        <f t="shared" si="161"/>
        <v>1.5625000000000001E-3</v>
      </c>
    </row>
    <row r="830" spans="1:11" x14ac:dyDescent="0.3">
      <c r="A830" s="116" t="s">
        <v>248</v>
      </c>
      <c r="B830" s="129">
        <f>'Free Spins Symbol'!$V$18</f>
        <v>100</v>
      </c>
      <c r="C830" s="129">
        <f>'Free Spins Symbol'!$W$18</f>
        <v>56</v>
      </c>
      <c r="D830" s="117">
        <f>VLOOKUP(MID($A830,7,2),'Free Spins Symbol'!$T$2:$Z$29,5,0)</f>
        <v>2</v>
      </c>
      <c r="E830" s="117">
        <f>VLOOKUP(MID($A830,10,2),'Free Spins Symbol'!$T$2:$Z$29,6,0)</f>
        <v>1</v>
      </c>
      <c r="F830" s="129">
        <f>'Free Spins Symbol'!$Z$18</f>
        <v>48</v>
      </c>
      <c r="G830" s="100">
        <f>B830*C830*D830*E830*F830-G826</f>
        <v>537600</v>
      </c>
      <c r="H830" s="118">
        <f t="shared" si="160"/>
        <v>640</v>
      </c>
      <c r="I830" s="100">
        <v>150</v>
      </c>
      <c r="J830" s="119">
        <f t="shared" si="159"/>
        <v>0.234375</v>
      </c>
      <c r="K830" s="120">
        <f t="shared" si="161"/>
        <v>1.5625000000000001E-3</v>
      </c>
    </row>
    <row r="831" spans="1:11" x14ac:dyDescent="0.3">
      <c r="A831" s="116" t="s">
        <v>254</v>
      </c>
      <c r="B831" s="129">
        <f>'Free Spins Symbol'!$V$18</f>
        <v>100</v>
      </c>
      <c r="C831" s="129">
        <f>'Free Spins Symbol'!$W$18</f>
        <v>56</v>
      </c>
      <c r="D831" s="117">
        <f>VLOOKUP(MID($A831,7,2),'Free Spins Symbol'!$T$2:$Z$29,5,0)</f>
        <v>0</v>
      </c>
      <c r="E831" s="117">
        <f>VLOOKUP(MID($A831,10,2),'Free Spins Symbol'!$T$2:$Z$29,6,0)</f>
        <v>0</v>
      </c>
      <c r="F831" s="129">
        <f>'Free Spins Symbol'!$Z$18</f>
        <v>48</v>
      </c>
      <c r="G831" s="100">
        <f>B831*C831*D831*E831*(F831-F830-F829-F828-F827+3*F826)</f>
        <v>0</v>
      </c>
      <c r="H831" s="118" t="e">
        <f t="shared" si="160"/>
        <v>#DIV/0!</v>
      </c>
      <c r="I831" s="100">
        <v>100</v>
      </c>
      <c r="J831" s="119">
        <f>K831*I831</f>
        <v>0</v>
      </c>
      <c r="K831" s="120">
        <f>G831/B$2</f>
        <v>0</v>
      </c>
    </row>
    <row r="832" spans="1:11" x14ac:dyDescent="0.3">
      <c r="A832" s="116" t="s">
        <v>249</v>
      </c>
      <c r="B832" s="129">
        <f>'Free Spins Symbol'!$V$18</f>
        <v>100</v>
      </c>
      <c r="C832" s="129">
        <f>'Free Spins Symbol'!$W$18</f>
        <v>56</v>
      </c>
      <c r="D832" s="117">
        <f>VLOOKUP(MID($A832,7,2),'Free Spins Symbol'!$T$2:$Z$29,5,0)</f>
        <v>1</v>
      </c>
      <c r="E832" s="117">
        <f>VLOOKUP(MID($A832,10,2),'Free Spins Symbol'!$T$2:$Z$29,6,0)</f>
        <v>7</v>
      </c>
      <c r="F832" s="129">
        <f>'Free Spins Symbol'!$Z$18</f>
        <v>48</v>
      </c>
      <c r="G832" s="100">
        <f>B832*C832*D832*E832*F832-G826</f>
        <v>1881600</v>
      </c>
      <c r="H832" s="118">
        <f t="shared" si="160"/>
        <v>182.85714285714286</v>
      </c>
      <c r="I832" s="100">
        <v>100</v>
      </c>
      <c r="J832" s="119">
        <f t="shared" ref="J832:J840" si="162">K832*I832</f>
        <v>0.546875</v>
      </c>
      <c r="K832" s="120">
        <f t="shared" ref="K832:K840" si="163">G832/B$2</f>
        <v>5.4687499999999997E-3</v>
      </c>
    </row>
    <row r="833" spans="1:11" x14ac:dyDescent="0.3">
      <c r="A833" s="116" t="s">
        <v>250</v>
      </c>
      <c r="B833" s="129">
        <f>'Free Spins Symbol'!$V$18</f>
        <v>100</v>
      </c>
      <c r="C833" s="129">
        <f>'Free Spins Symbol'!$W$18</f>
        <v>56</v>
      </c>
      <c r="D833" s="117">
        <f>VLOOKUP(MID($A833,7,2),'Free Spins Symbol'!$T$2:$Z$29,5,0)</f>
        <v>9</v>
      </c>
      <c r="E833" s="117">
        <f>VLOOKUP(MID($A833,10,2),'Free Spins Symbol'!$T$2:$Z$29,6,0)</f>
        <v>1</v>
      </c>
      <c r="F833" s="129">
        <f>'Free Spins Symbol'!$Z$18</f>
        <v>48</v>
      </c>
      <c r="G833" s="100">
        <f>B833*C833*D833*E833*F833-G826</f>
        <v>2419200</v>
      </c>
      <c r="H833" s="118">
        <f t="shared" si="160"/>
        <v>142.22222222222223</v>
      </c>
      <c r="I833" s="100">
        <v>100</v>
      </c>
      <c r="J833" s="119">
        <f t="shared" si="162"/>
        <v>0.703125</v>
      </c>
      <c r="K833" s="120">
        <f t="shared" si="163"/>
        <v>7.0312500000000002E-3</v>
      </c>
    </row>
    <row r="834" spans="1:11" x14ac:dyDescent="0.3">
      <c r="A834" s="116" t="s">
        <v>251</v>
      </c>
      <c r="B834" s="129">
        <f>'Free Spins Symbol'!$V$18</f>
        <v>100</v>
      </c>
      <c r="C834" s="129">
        <f>'Free Spins Symbol'!$W$18</f>
        <v>56</v>
      </c>
      <c r="D834" s="117">
        <f>VLOOKUP(MID($A834,7,2),'Free Spins Symbol'!$T$2:$Z$29,5,0)</f>
        <v>9</v>
      </c>
      <c r="E834" s="117">
        <f>VLOOKUP(MID($A834,10,2),'Free Spins Symbol'!$T$2:$Z$29,6,0)</f>
        <v>1</v>
      </c>
      <c r="F834" s="129">
        <f>'Free Spins Symbol'!$Z$18</f>
        <v>48</v>
      </c>
      <c r="G834" s="100">
        <f>B834*C834*D834*E834*F834-G826</f>
        <v>2419200</v>
      </c>
      <c r="H834" s="118">
        <f t="shared" si="160"/>
        <v>142.22222222222223</v>
      </c>
      <c r="I834" s="100">
        <v>100</v>
      </c>
      <c r="J834" s="119">
        <f t="shared" si="162"/>
        <v>0.703125</v>
      </c>
      <c r="K834" s="120">
        <f t="shared" si="163"/>
        <v>7.0312500000000002E-3</v>
      </c>
    </row>
    <row r="835" spans="1:11" x14ac:dyDescent="0.3">
      <c r="A835" s="116" t="s">
        <v>252</v>
      </c>
      <c r="B835" s="129">
        <f>'Free Spins Symbol'!$V$18</f>
        <v>100</v>
      </c>
      <c r="C835" s="129">
        <f>'Free Spins Symbol'!$W$18</f>
        <v>56</v>
      </c>
      <c r="D835" s="117">
        <f>VLOOKUP(MID($A835,7,2),'Free Spins Symbol'!$T$2:$Z$29,5,0)</f>
        <v>1</v>
      </c>
      <c r="E835" s="117">
        <f>VLOOKUP(MID($A835,10,2),'Free Spins Symbol'!$T$2:$Z$29,6,0)</f>
        <v>8</v>
      </c>
      <c r="F835" s="129">
        <f>'Free Spins Symbol'!$Z$18</f>
        <v>48</v>
      </c>
      <c r="G835" s="100">
        <f>(B835*C835*D835*E835-B831*C831*D831*E831)*F835</f>
        <v>2150400</v>
      </c>
      <c r="H835" s="118">
        <f t="shared" si="160"/>
        <v>160</v>
      </c>
      <c r="I835" s="100">
        <v>100</v>
      </c>
      <c r="J835" s="119">
        <f t="shared" si="162"/>
        <v>0.625</v>
      </c>
      <c r="K835" s="120">
        <f t="shared" si="163"/>
        <v>6.2500000000000003E-3</v>
      </c>
    </row>
    <row r="836" spans="1:11" x14ac:dyDescent="0.3">
      <c r="A836" s="116" t="s">
        <v>253</v>
      </c>
      <c r="B836" s="129">
        <f>'Free Spins Symbol'!$V$18</f>
        <v>100</v>
      </c>
      <c r="C836" s="129">
        <f>'Free Spins Symbol'!$W$18</f>
        <v>56</v>
      </c>
      <c r="D836" s="117">
        <f>VLOOKUP(MID($A836,7,2),'Free Spins Symbol'!$T$2:$Z$29,5,0)</f>
        <v>10</v>
      </c>
      <c r="E836" s="117">
        <f>VLOOKUP(MID($A836,10,2),'Free Spins Symbol'!$T$2:$Z$29,6,0)</f>
        <v>7</v>
      </c>
      <c r="F836" s="129">
        <f>'Free Spins Symbol'!$Z$18</f>
        <v>48</v>
      </c>
      <c r="G836" s="100">
        <f>B836*C836*D836*E836*F836-G826</f>
        <v>18816000</v>
      </c>
      <c r="H836" s="118">
        <f t="shared" si="160"/>
        <v>18.285714285714285</v>
      </c>
      <c r="I836" s="100">
        <v>100</v>
      </c>
      <c r="J836" s="119">
        <f t="shared" si="162"/>
        <v>5.46875</v>
      </c>
      <c r="K836" s="120">
        <f t="shared" si="163"/>
        <v>5.46875E-2</v>
      </c>
    </row>
    <row r="837" spans="1:11" x14ac:dyDescent="0.3">
      <c r="A837" s="116" t="s">
        <v>255</v>
      </c>
      <c r="B837" s="129">
        <f>'Free Spins Symbol'!$V$18</f>
        <v>100</v>
      </c>
      <c r="C837" s="129">
        <f>'Free Spins Symbol'!$W$18</f>
        <v>56</v>
      </c>
      <c r="D837" s="117">
        <f>VLOOKUP(MID($A837,7,2),'Free Spins Symbol'!$T$2:$Z$29,5,0)</f>
        <v>2</v>
      </c>
      <c r="E837" s="117">
        <f>VLOOKUP(MID($A837,10,2),'Free Spins Symbol'!$T$2:$Z$29,6,0)</f>
        <v>1</v>
      </c>
      <c r="F837" s="129">
        <f>'Free Spins Symbol'!$Z$18</f>
        <v>48</v>
      </c>
      <c r="G837" s="100">
        <f>(B837*C837*D837*E837-B831*C831*D831*E831)*(F837-F827)</f>
        <v>0</v>
      </c>
      <c r="H837" s="118" t="e">
        <f t="shared" si="160"/>
        <v>#DIV/0!</v>
      </c>
      <c r="I837" s="100">
        <v>50</v>
      </c>
      <c r="J837" s="119">
        <f t="shared" si="162"/>
        <v>0</v>
      </c>
      <c r="K837" s="120">
        <f t="shared" si="163"/>
        <v>0</v>
      </c>
    </row>
    <row r="838" spans="1:11" x14ac:dyDescent="0.3">
      <c r="A838" s="116" t="s">
        <v>256</v>
      </c>
      <c r="B838" s="129">
        <f>'Free Spins Symbol'!$V$18</f>
        <v>100</v>
      </c>
      <c r="C838" s="129">
        <f>'Free Spins Symbol'!$W$18</f>
        <v>56</v>
      </c>
      <c r="D838" s="117">
        <f>VLOOKUP(MID($A838,7,2),'Free Spins Symbol'!$T$2:$Z$29,5,0)</f>
        <v>3</v>
      </c>
      <c r="E838" s="117">
        <f>VLOOKUP(MID($A838,10,2),'Free Spins Symbol'!$T$2:$Z$29,6,0)</f>
        <v>1</v>
      </c>
      <c r="F838" s="129">
        <f>'Free Spins Symbol'!$Z$18</f>
        <v>48</v>
      </c>
      <c r="G838" s="100">
        <f>(B838*C838*D838*E838-B831*C831*D831*E831)*(F838-F828)</f>
        <v>0</v>
      </c>
      <c r="H838" s="118" t="e">
        <f t="shared" si="160"/>
        <v>#DIV/0!</v>
      </c>
      <c r="I838" s="100">
        <v>50</v>
      </c>
      <c r="J838" s="119">
        <f t="shared" si="162"/>
        <v>0</v>
      </c>
      <c r="K838" s="120">
        <f t="shared" si="163"/>
        <v>0</v>
      </c>
    </row>
    <row r="839" spans="1:11" x14ac:dyDescent="0.3">
      <c r="A839" s="116" t="s">
        <v>257</v>
      </c>
      <c r="B839" s="129">
        <f>'Free Spins Symbol'!$V$18</f>
        <v>100</v>
      </c>
      <c r="C839" s="129">
        <f>'Free Spins Symbol'!$W$18</f>
        <v>56</v>
      </c>
      <c r="D839" s="117">
        <f>VLOOKUP(MID($A839,7,2),'Free Spins Symbol'!$T$2:$Z$29,5,0)</f>
        <v>2</v>
      </c>
      <c r="E839" s="117">
        <f>VLOOKUP(MID($A839,10,2),'Free Spins Symbol'!$T$2:$Z$29,6,0)</f>
        <v>1</v>
      </c>
      <c r="F839" s="129">
        <f>'Free Spins Symbol'!$Z$18</f>
        <v>48</v>
      </c>
      <c r="G839" s="100">
        <f>(B839*C839*D839*E839-B831*C831*D831*E831)*(F839-F829)</f>
        <v>0</v>
      </c>
      <c r="H839" s="118" t="e">
        <f t="shared" si="160"/>
        <v>#DIV/0!</v>
      </c>
      <c r="I839" s="100">
        <v>30</v>
      </c>
      <c r="J839" s="119">
        <f t="shared" si="162"/>
        <v>0</v>
      </c>
      <c r="K839" s="120">
        <f t="shared" si="163"/>
        <v>0</v>
      </c>
    </row>
    <row r="840" spans="1:11" x14ac:dyDescent="0.3">
      <c r="A840" s="116" t="s">
        <v>258</v>
      </c>
      <c r="B840" s="129">
        <f>'Free Spins Symbol'!$V$18</f>
        <v>100</v>
      </c>
      <c r="C840" s="129">
        <f>'Free Spins Symbol'!$W$18</f>
        <v>56</v>
      </c>
      <c r="D840" s="117">
        <f>VLOOKUP(MID($A840,7,2),'Free Spins Symbol'!$T$2:$Z$29,5,0)</f>
        <v>2</v>
      </c>
      <c r="E840" s="117">
        <f>VLOOKUP(MID($A840,10,2),'Free Spins Symbol'!$T$2:$Z$29,6,0)</f>
        <v>1</v>
      </c>
      <c r="F840" s="129">
        <f>'Free Spins Symbol'!$Z$18</f>
        <v>48</v>
      </c>
      <c r="G840" s="100">
        <f>(B840*C840*D840*E840-B831*C831*D831*E831)*(F840-F830)</f>
        <v>0</v>
      </c>
      <c r="H840" s="118" t="e">
        <f t="shared" si="160"/>
        <v>#DIV/0!</v>
      </c>
      <c r="I840" s="100">
        <v>30</v>
      </c>
      <c r="J840" s="119">
        <f t="shared" si="162"/>
        <v>0</v>
      </c>
      <c r="K840" s="120">
        <f t="shared" si="163"/>
        <v>0</v>
      </c>
    </row>
    <row r="841" spans="1:11" x14ac:dyDescent="0.3">
      <c r="A841" s="116" t="s">
        <v>264</v>
      </c>
      <c r="B841" s="129">
        <f>'Free Spins Symbol'!$V$18</f>
        <v>100</v>
      </c>
      <c r="C841" s="129">
        <f>'Free Spins Symbol'!$W$18</f>
        <v>56</v>
      </c>
      <c r="D841" s="117">
        <f>VLOOKUP(MID($A841,7,2),'Free Spins Symbol'!$T$2:$Z$29,5,0)</f>
        <v>0</v>
      </c>
      <c r="E841" s="117">
        <f>VLOOKUP(MID($A841,10,2),'Free Spins Symbol'!$T$2:$Z$29,6,0)</f>
        <v>32</v>
      </c>
      <c r="F841" s="129">
        <f>'Free Spins Symbol'!$Z$18</f>
        <v>48</v>
      </c>
      <c r="G841" s="100">
        <f>(B841*C841*D841)*(E841*F841-(E840+E839+E838+E837-3*E831)*F831-(E836-E831)*F836-(E835-E831)*F835-(E834-E831)*F834-(E833-E831)*F833-(E832-E831)*F832)</f>
        <v>0</v>
      </c>
      <c r="H841" s="118" t="e">
        <f t="shared" si="160"/>
        <v>#DIV/0!</v>
      </c>
      <c r="I841" s="100">
        <v>20</v>
      </c>
      <c r="J841" s="119">
        <f>K841*I841</f>
        <v>0</v>
      </c>
      <c r="K841" s="120">
        <f>G841/B$2</f>
        <v>0</v>
      </c>
    </row>
    <row r="842" spans="1:11" x14ac:dyDescent="0.3">
      <c r="A842" s="116" t="s">
        <v>259</v>
      </c>
      <c r="B842" s="129">
        <f>'Free Spins Symbol'!$V$18</f>
        <v>100</v>
      </c>
      <c r="C842" s="129">
        <f>'Free Spins Symbol'!$W$18</f>
        <v>56</v>
      </c>
      <c r="D842" s="117">
        <f>VLOOKUP(MID($A842,7,2),'Free Spins Symbol'!$T$2:$Z$29,5,0)</f>
        <v>1</v>
      </c>
      <c r="E842" s="117">
        <f>VLOOKUP(MID($A842,10,2),'Free Spins Symbol'!$T$2:$Z$29,6,0)</f>
        <v>7</v>
      </c>
      <c r="F842" s="129">
        <f>'Free Spins Symbol'!$Z$18</f>
        <v>48</v>
      </c>
      <c r="G842" s="100">
        <f>B842*C842*D842*E842*(F842-F832)</f>
        <v>0</v>
      </c>
      <c r="H842" s="118" t="e">
        <f t="shared" si="160"/>
        <v>#DIV/0!</v>
      </c>
      <c r="I842" s="100">
        <v>20</v>
      </c>
      <c r="J842" s="119">
        <f t="shared" ref="J842:J861" si="164">K842*I842</f>
        <v>0</v>
      </c>
      <c r="K842" s="120">
        <f t="shared" ref="K842:K861" si="165">G842/B$2</f>
        <v>0</v>
      </c>
    </row>
    <row r="843" spans="1:11" x14ac:dyDescent="0.3">
      <c r="A843" s="116" t="s">
        <v>260</v>
      </c>
      <c r="B843" s="129">
        <f>'Free Spins Symbol'!$V$18</f>
        <v>100</v>
      </c>
      <c r="C843" s="129">
        <f>'Free Spins Symbol'!$W$18</f>
        <v>56</v>
      </c>
      <c r="D843" s="117">
        <f>VLOOKUP(MID($A843,7,2),'Free Spins Symbol'!$T$2:$Z$29,5,0)</f>
        <v>9</v>
      </c>
      <c r="E843" s="117">
        <f>VLOOKUP(MID($A843,10,2),'Free Spins Symbol'!$T$2:$Z$29,6,0)</f>
        <v>1</v>
      </c>
      <c r="F843" s="129">
        <f>'Free Spins Symbol'!$Z$18</f>
        <v>48</v>
      </c>
      <c r="G843" s="100">
        <f t="shared" ref="G843:G846" si="166">B843*C843*D843*E843*(F843-F833)</f>
        <v>0</v>
      </c>
      <c r="H843" s="118" t="e">
        <f t="shared" si="160"/>
        <v>#DIV/0!</v>
      </c>
      <c r="I843" s="100">
        <v>20</v>
      </c>
      <c r="J843" s="119">
        <f t="shared" si="164"/>
        <v>0</v>
      </c>
      <c r="K843" s="120">
        <f t="shared" si="165"/>
        <v>0</v>
      </c>
    </row>
    <row r="844" spans="1:11" x14ac:dyDescent="0.3">
      <c r="A844" s="116" t="s">
        <v>261</v>
      </c>
      <c r="B844" s="129">
        <f>'Free Spins Symbol'!$V$18</f>
        <v>100</v>
      </c>
      <c r="C844" s="129">
        <f>'Free Spins Symbol'!$W$18</f>
        <v>56</v>
      </c>
      <c r="D844" s="117">
        <f>VLOOKUP(MID($A844,7,2),'Free Spins Symbol'!$T$2:$Z$29,5,0)</f>
        <v>9</v>
      </c>
      <c r="E844" s="117">
        <f>VLOOKUP(MID($A844,10,2),'Free Spins Symbol'!$T$2:$Z$29,6,0)</f>
        <v>1</v>
      </c>
      <c r="F844" s="129">
        <f>'Free Spins Symbol'!$Z$18</f>
        <v>48</v>
      </c>
      <c r="G844" s="100">
        <f t="shared" si="166"/>
        <v>0</v>
      </c>
      <c r="H844" s="118" t="e">
        <f t="shared" si="160"/>
        <v>#DIV/0!</v>
      </c>
      <c r="I844" s="100">
        <v>20</v>
      </c>
      <c r="J844" s="119">
        <f t="shared" si="164"/>
        <v>0</v>
      </c>
      <c r="K844" s="120">
        <f t="shared" si="165"/>
        <v>0</v>
      </c>
    </row>
    <row r="845" spans="1:11" x14ac:dyDescent="0.3">
      <c r="A845" s="116" t="s">
        <v>262</v>
      </c>
      <c r="B845" s="129">
        <f>'Free Spins Symbol'!$V$18</f>
        <v>100</v>
      </c>
      <c r="C845" s="129">
        <f>'Free Spins Symbol'!$W$18</f>
        <v>56</v>
      </c>
      <c r="D845" s="117">
        <f>VLOOKUP(MID($A845,7,2),'Free Spins Symbol'!$T$2:$Z$29,5,0)</f>
        <v>1</v>
      </c>
      <c r="E845" s="117">
        <f>VLOOKUP(MID($A845,10,2),'Free Spins Symbol'!$T$2:$Z$29,6,0)</f>
        <v>8</v>
      </c>
      <c r="F845" s="129">
        <f>'Free Spins Symbol'!$Z$18</f>
        <v>48</v>
      </c>
      <c r="G845" s="100">
        <f t="shared" si="166"/>
        <v>0</v>
      </c>
      <c r="H845" s="118" t="e">
        <f t="shared" si="160"/>
        <v>#DIV/0!</v>
      </c>
      <c r="I845" s="100">
        <v>20</v>
      </c>
      <c r="J845" s="119">
        <f t="shared" si="164"/>
        <v>0</v>
      </c>
      <c r="K845" s="120">
        <f t="shared" si="165"/>
        <v>0</v>
      </c>
    </row>
    <row r="846" spans="1:11" x14ac:dyDescent="0.3">
      <c r="A846" s="116" t="s">
        <v>263</v>
      </c>
      <c r="B846" s="129">
        <f>'Free Spins Symbol'!$V$18</f>
        <v>100</v>
      </c>
      <c r="C846" s="129">
        <f>'Free Spins Symbol'!$W$18</f>
        <v>56</v>
      </c>
      <c r="D846" s="117">
        <f>VLOOKUP(MID($A846,7,2),'Free Spins Symbol'!$T$2:$Z$29,5,0)</f>
        <v>10</v>
      </c>
      <c r="E846" s="117">
        <f>VLOOKUP(MID($A846,10,2),'Free Spins Symbol'!$T$2:$Z$29,6,0)</f>
        <v>7</v>
      </c>
      <c r="F846" s="129">
        <f>'Free Spins Symbol'!$Z$18</f>
        <v>48</v>
      </c>
      <c r="G846" s="100">
        <f t="shared" si="166"/>
        <v>0</v>
      </c>
      <c r="H846" s="118" t="e">
        <f t="shared" si="160"/>
        <v>#DIV/0!</v>
      </c>
      <c r="I846" s="100">
        <v>20</v>
      </c>
      <c r="J846" s="119">
        <f t="shared" si="164"/>
        <v>0</v>
      </c>
      <c r="K846" s="120">
        <f t="shared" si="165"/>
        <v>0</v>
      </c>
    </row>
    <row r="847" spans="1:11" x14ac:dyDescent="0.3">
      <c r="A847" s="116" t="s">
        <v>265</v>
      </c>
      <c r="B847" s="129">
        <f>'Free Spins Symbol'!$V$18</f>
        <v>100</v>
      </c>
      <c r="C847" s="129">
        <f>'Free Spins Symbol'!$W$18</f>
        <v>56</v>
      </c>
      <c r="D847" s="117">
        <f>VLOOKUP(MID($A847,7,2),'Free Spins Symbol'!$T$2:$Z$29,5,0)</f>
        <v>2</v>
      </c>
      <c r="E847" s="117">
        <f>VLOOKUP(MID($A847,10,2),'Free Spins Symbol'!$T$2:$Z$29,6,0)</f>
        <v>32</v>
      </c>
      <c r="F847" s="129">
        <f>'Free Spins Symbol'!$Z$18</f>
        <v>48</v>
      </c>
      <c r="G847" s="100">
        <f>(B847*C847*D847-B841*C841*D841)*(E847-E837)*F847</f>
        <v>16665600</v>
      </c>
      <c r="H847" s="118">
        <f t="shared" si="160"/>
        <v>20.64516129032258</v>
      </c>
      <c r="I847" s="100">
        <v>20</v>
      </c>
      <c r="J847" s="119">
        <f t="shared" si="164"/>
        <v>0.96875</v>
      </c>
      <c r="K847" s="120">
        <f t="shared" si="165"/>
        <v>4.8437500000000001E-2</v>
      </c>
    </row>
    <row r="848" spans="1:11" x14ac:dyDescent="0.3">
      <c r="A848" s="116" t="s">
        <v>266</v>
      </c>
      <c r="B848" s="129">
        <f>'Free Spins Symbol'!$V$18</f>
        <v>100</v>
      </c>
      <c r="C848" s="129">
        <f>'Free Spins Symbol'!$W$18</f>
        <v>56</v>
      </c>
      <c r="D848" s="117">
        <f>VLOOKUP(MID($A848,7,2),'Free Spins Symbol'!$T$2:$Z$29,5,0)</f>
        <v>3</v>
      </c>
      <c r="E848" s="117">
        <f>VLOOKUP(MID($A848,10,2),'Free Spins Symbol'!$T$2:$Z$29,6,0)</f>
        <v>32</v>
      </c>
      <c r="F848" s="129">
        <f>'Free Spins Symbol'!$Z$18</f>
        <v>48</v>
      </c>
      <c r="G848" s="100">
        <f>(B848*C848*D848-B841*C841*D841)*(E848-E838)*F848</f>
        <v>24998400</v>
      </c>
      <c r="H848" s="118">
        <f t="shared" si="160"/>
        <v>13.763440860215054</v>
      </c>
      <c r="I848" s="100">
        <v>20</v>
      </c>
      <c r="J848" s="119">
        <f t="shared" si="164"/>
        <v>1.453125</v>
      </c>
      <c r="K848" s="120">
        <f t="shared" si="165"/>
        <v>7.2656250000000006E-2</v>
      </c>
    </row>
    <row r="849" spans="1:11" x14ac:dyDescent="0.3">
      <c r="A849" s="116" t="s">
        <v>267</v>
      </c>
      <c r="B849" s="129">
        <f>'Free Spins Symbol'!$V$18</f>
        <v>100</v>
      </c>
      <c r="C849" s="129">
        <f>'Free Spins Symbol'!$W$18</f>
        <v>56</v>
      </c>
      <c r="D849" s="117">
        <f>VLOOKUP(MID($A849,7,2),'Free Spins Symbol'!$T$2:$Z$29,5,0)</f>
        <v>2</v>
      </c>
      <c r="E849" s="117">
        <f>VLOOKUP(MID($A849,10,2),'Free Spins Symbol'!$T$2:$Z$29,6,0)</f>
        <v>32</v>
      </c>
      <c r="F849" s="129">
        <f>'Free Spins Symbol'!$Z$18</f>
        <v>48</v>
      </c>
      <c r="G849" s="100">
        <f>(B849*C849*D849-B841*C841*D841)*(E849-E839)*F849</f>
        <v>16665600</v>
      </c>
      <c r="H849" s="118">
        <f t="shared" si="160"/>
        <v>20.64516129032258</v>
      </c>
      <c r="I849" s="100">
        <v>10</v>
      </c>
      <c r="J849" s="119">
        <f t="shared" si="164"/>
        <v>0.484375</v>
      </c>
      <c r="K849" s="120">
        <f t="shared" si="165"/>
        <v>4.8437500000000001E-2</v>
      </c>
    </row>
    <row r="850" spans="1:11" x14ac:dyDescent="0.3">
      <c r="A850" s="116" t="s">
        <v>268</v>
      </c>
      <c r="B850" s="129">
        <f>'Free Spins Symbol'!$V$18</f>
        <v>100</v>
      </c>
      <c r="C850" s="129">
        <f>'Free Spins Symbol'!$W$18</f>
        <v>56</v>
      </c>
      <c r="D850" s="117">
        <f>VLOOKUP(MID($A850,7,2),'Free Spins Symbol'!$T$2:$Z$29,5,0)</f>
        <v>2</v>
      </c>
      <c r="E850" s="117">
        <f>VLOOKUP(MID($A850,10,2),'Free Spins Symbol'!$T$2:$Z$29,6,0)</f>
        <v>32</v>
      </c>
      <c r="F850" s="129">
        <f>'Free Spins Symbol'!$Z$18</f>
        <v>48</v>
      </c>
      <c r="G850" s="100">
        <f>(B850*C850*D850-B841*C841*D841)*(E850-E840)*F850</f>
        <v>16665600</v>
      </c>
      <c r="H850" s="118">
        <f t="shared" si="160"/>
        <v>20.64516129032258</v>
      </c>
      <c r="I850" s="100">
        <v>10</v>
      </c>
      <c r="J850" s="119">
        <f t="shared" si="164"/>
        <v>0.484375</v>
      </c>
      <c r="K850" s="120">
        <f t="shared" si="165"/>
        <v>4.8437500000000001E-2</v>
      </c>
    </row>
    <row r="851" spans="1:11" x14ac:dyDescent="0.3">
      <c r="A851" s="116" t="s">
        <v>269</v>
      </c>
      <c r="B851" s="129">
        <f>'Free Spins Symbol'!$V$18</f>
        <v>100</v>
      </c>
      <c r="C851" s="129">
        <f>'Free Spins Symbol'!$W$18</f>
        <v>56</v>
      </c>
      <c r="D851" s="117">
        <f>VLOOKUP(MID($A851,7,2),'Free Spins Symbol'!$T$2:$Z$29,5,0)</f>
        <v>1</v>
      </c>
      <c r="E851" s="117">
        <f>VLOOKUP(MID($A851,10,2),'Free Spins Symbol'!$T$2:$Z$29,6,0)</f>
        <v>32</v>
      </c>
      <c r="F851" s="129">
        <f>'Free Spins Symbol'!$Z$18</f>
        <v>48</v>
      </c>
      <c r="G851" s="100">
        <f>(B851*C851*D851-B841*C841*D841)*(E851-E842)*F851</f>
        <v>6720000</v>
      </c>
      <c r="H851" s="118">
        <f t="shared" si="160"/>
        <v>51.2</v>
      </c>
      <c r="I851" s="100">
        <v>5</v>
      </c>
      <c r="J851" s="119">
        <f t="shared" si="164"/>
        <v>9.765625E-2</v>
      </c>
      <c r="K851" s="120">
        <f t="shared" si="165"/>
        <v>1.953125E-2</v>
      </c>
    </row>
    <row r="852" spans="1:11" x14ac:dyDescent="0.3">
      <c r="A852" s="116" t="s">
        <v>270</v>
      </c>
      <c r="B852" s="129">
        <f>'Free Spins Symbol'!$V$18</f>
        <v>100</v>
      </c>
      <c r="C852" s="129">
        <f>'Free Spins Symbol'!$W$18</f>
        <v>56</v>
      </c>
      <c r="D852" s="117">
        <f>VLOOKUP(MID($A852,7,2),'Free Spins Symbol'!$T$2:$Z$29,5,0)</f>
        <v>9</v>
      </c>
      <c r="E852" s="117">
        <f>VLOOKUP(MID($A852,10,2),'Free Spins Symbol'!$T$2:$Z$29,6,0)</f>
        <v>32</v>
      </c>
      <c r="F852" s="129">
        <f>'Free Spins Symbol'!$Z$18</f>
        <v>48</v>
      </c>
      <c r="G852" s="100">
        <f>(B852*C852*D852-B841*C841*D841)*(E852-E843)*F852</f>
        <v>74995200</v>
      </c>
      <c r="H852" s="118">
        <f t="shared" si="160"/>
        <v>4.5878136200716844</v>
      </c>
      <c r="I852" s="100">
        <v>5</v>
      </c>
      <c r="J852" s="119">
        <f t="shared" si="164"/>
        <v>1.08984375</v>
      </c>
      <c r="K852" s="120">
        <f t="shared" si="165"/>
        <v>0.21796874999999999</v>
      </c>
    </row>
    <row r="853" spans="1:11" x14ac:dyDescent="0.3">
      <c r="A853" s="116" t="s">
        <v>271</v>
      </c>
      <c r="B853" s="129">
        <f>'Free Spins Symbol'!$V$18</f>
        <v>100</v>
      </c>
      <c r="C853" s="129">
        <f>'Free Spins Symbol'!$W$18</f>
        <v>56</v>
      </c>
      <c r="D853" s="117">
        <f>VLOOKUP(MID($A853,7,2),'Free Spins Symbol'!$T$2:$Z$29,5,0)</f>
        <v>9</v>
      </c>
      <c r="E853" s="117">
        <f>VLOOKUP(MID($A853,10,2),'Free Spins Symbol'!$T$2:$Z$29,6,0)</f>
        <v>32</v>
      </c>
      <c r="F853" s="129">
        <f>'Free Spins Symbol'!$Z$18</f>
        <v>48</v>
      </c>
      <c r="G853" s="100">
        <f>(B853*C853*D853-B841*C841*D841)*(E853-E844)*F853</f>
        <v>74995200</v>
      </c>
      <c r="H853" s="118">
        <f t="shared" si="160"/>
        <v>4.5878136200716844</v>
      </c>
      <c r="I853" s="100">
        <v>5</v>
      </c>
      <c r="J853" s="119">
        <f t="shared" si="164"/>
        <v>1.08984375</v>
      </c>
      <c r="K853" s="120">
        <f t="shared" si="165"/>
        <v>0.21796874999999999</v>
      </c>
    </row>
    <row r="854" spans="1:11" x14ac:dyDescent="0.3">
      <c r="A854" s="116" t="s">
        <v>272</v>
      </c>
      <c r="B854" s="129">
        <f>'Free Spins Symbol'!$V$18</f>
        <v>100</v>
      </c>
      <c r="C854" s="129">
        <f>'Free Spins Symbol'!$W$18</f>
        <v>56</v>
      </c>
      <c r="D854" s="117">
        <f>VLOOKUP(MID($A854,7,2),'Free Spins Symbol'!$T$2:$Z$29,5,0)</f>
        <v>1</v>
      </c>
      <c r="E854" s="117">
        <f>VLOOKUP(MID($A854,10,2),'Free Spins Symbol'!$T$2:$Z$29,6,0)</f>
        <v>32</v>
      </c>
      <c r="F854" s="129">
        <f>'Free Spins Symbol'!$Z$18</f>
        <v>48</v>
      </c>
      <c r="G854" s="100">
        <f>(B854*C854*D854-B841*C841*D841)*(E854-E845)*F854</f>
        <v>6451200</v>
      </c>
      <c r="H854" s="118">
        <f t="shared" si="160"/>
        <v>53.333333333333336</v>
      </c>
      <c r="I854" s="100">
        <v>5</v>
      </c>
      <c r="J854" s="119">
        <f t="shared" si="164"/>
        <v>9.375E-2</v>
      </c>
      <c r="K854" s="120">
        <f t="shared" si="165"/>
        <v>1.8749999999999999E-2</v>
      </c>
    </row>
    <row r="855" spans="1:11" x14ac:dyDescent="0.3">
      <c r="A855" s="116" t="s">
        <v>273</v>
      </c>
      <c r="B855" s="129">
        <f>'Free Spins Symbol'!$V$18</f>
        <v>100</v>
      </c>
      <c r="C855" s="129">
        <f>'Free Spins Symbol'!$W$18</f>
        <v>56</v>
      </c>
      <c r="D855" s="117">
        <f>VLOOKUP(MID($A855,7,2),'Free Spins Symbol'!$T$2:$Z$29,5,0)</f>
        <v>10</v>
      </c>
      <c r="E855" s="117">
        <f>VLOOKUP(MID($A855,10,2),'Free Spins Symbol'!$T$2:$Z$29,6,0)</f>
        <v>32</v>
      </c>
      <c r="F855" s="129">
        <f>'Free Spins Symbol'!$Z$18</f>
        <v>48</v>
      </c>
      <c r="G855" s="100">
        <f>(B855*C855*D855-B841*C841*D841)*(E855-E846)*F855</f>
        <v>67200000</v>
      </c>
      <c r="H855" s="118">
        <f t="shared" si="160"/>
        <v>5.12</v>
      </c>
      <c r="I855" s="100">
        <v>5</v>
      </c>
      <c r="J855" s="119">
        <f t="shared" si="164"/>
        <v>0.9765625</v>
      </c>
      <c r="K855" s="120">
        <f t="shared" si="165"/>
        <v>0.1953125</v>
      </c>
    </row>
    <row r="856" spans="1:11" x14ac:dyDescent="0.3">
      <c r="A856" s="116" t="s">
        <v>274</v>
      </c>
      <c r="B856" s="129">
        <f>'Free Spins Symbol'!$V$18</f>
        <v>100</v>
      </c>
      <c r="C856" s="129">
        <f>'Free Spins Symbol'!$W$18</f>
        <v>56</v>
      </c>
      <c r="D856" s="117">
        <f>VLOOKUP(MID($A856,7,2),'Free Spins Symbol'!$T$2:$Z$29,5,0)</f>
        <v>40</v>
      </c>
      <c r="E856" s="117">
        <f>VLOOKUP(MID($A856,10,2),'Free Spins Symbol'!$T$2:$Z$29,6,0)</f>
        <v>32</v>
      </c>
      <c r="F856" s="129">
        <f>'Free Spins Symbol'!$Z$18</f>
        <v>48</v>
      </c>
      <c r="G856" s="100">
        <f>B856*C856*(D856-D855-D854-D853-D852-D851-D850-D849-D848-D847+8*D841)*E856*F856</f>
        <v>8601600</v>
      </c>
      <c r="H856" s="118">
        <f t="shared" si="160"/>
        <v>40</v>
      </c>
      <c r="I856" s="100">
        <v>5</v>
      </c>
      <c r="J856" s="119">
        <f t="shared" si="164"/>
        <v>0.125</v>
      </c>
      <c r="K856" s="120">
        <f t="shared" si="165"/>
        <v>2.5000000000000001E-2</v>
      </c>
    </row>
    <row r="857" spans="1:11" x14ac:dyDescent="0.3">
      <c r="A857" s="116" t="s">
        <v>275</v>
      </c>
      <c r="B857" s="129">
        <f>'Free Spins Symbol'!$V$18</f>
        <v>100</v>
      </c>
      <c r="C857" s="129">
        <f>'Free Spins Symbol'!$W$18</f>
        <v>56</v>
      </c>
      <c r="D857" s="117">
        <f>VLOOKUP(MID($A857,7,2),'Free Spins Symbol'!$T$2:$Z$29,5,0)</f>
        <v>40</v>
      </c>
      <c r="E857" s="117">
        <f>VLOOKUP(MID($A857,10,2),'Free Spins Symbol'!$T$2:$Z$29,6,0)</f>
        <v>32</v>
      </c>
      <c r="F857" s="129">
        <f>'Free Spins Symbol'!$Z$18</f>
        <v>48</v>
      </c>
      <c r="G857" s="100">
        <f>(B857*C857-B856*C856)*(D857-D847)*E857*F857</f>
        <v>0</v>
      </c>
      <c r="H857" s="118" t="e">
        <f t="shared" si="160"/>
        <v>#DIV/0!</v>
      </c>
      <c r="I857" s="100">
        <v>5</v>
      </c>
      <c r="J857" s="119">
        <f t="shared" si="164"/>
        <v>0</v>
      </c>
      <c r="K857" s="120">
        <f t="shared" si="165"/>
        <v>0</v>
      </c>
    </row>
    <row r="858" spans="1:11" x14ac:dyDescent="0.3">
      <c r="A858" s="116" t="s">
        <v>276</v>
      </c>
      <c r="B858" s="129">
        <f>'Free Spins Symbol'!$V$18</f>
        <v>100</v>
      </c>
      <c r="C858" s="129">
        <f>'Free Spins Symbol'!$W$18</f>
        <v>56</v>
      </c>
      <c r="D858" s="117">
        <f>VLOOKUP(MID($A858,7,2),'Free Spins Symbol'!$T$2:$Z$29,5,0)</f>
        <v>40</v>
      </c>
      <c r="E858" s="117">
        <f>VLOOKUP(MID($A858,10,2),'Free Spins Symbol'!$T$2:$Z$29,6,0)</f>
        <v>32</v>
      </c>
      <c r="F858" s="129">
        <f>'Free Spins Symbol'!$Z$18</f>
        <v>48</v>
      </c>
      <c r="G858" s="100">
        <f>(B858*C858-B856*C856)*(D858-D848)*E858*F858</f>
        <v>0</v>
      </c>
      <c r="H858" s="118" t="e">
        <f t="shared" si="160"/>
        <v>#DIV/0!</v>
      </c>
      <c r="I858" s="100">
        <v>5</v>
      </c>
      <c r="J858" s="119">
        <f t="shared" si="164"/>
        <v>0</v>
      </c>
      <c r="K858" s="120">
        <f t="shared" si="165"/>
        <v>0</v>
      </c>
    </row>
    <row r="859" spans="1:11" x14ac:dyDescent="0.3">
      <c r="A859" s="116" t="s">
        <v>277</v>
      </c>
      <c r="B859" s="129">
        <f>'Free Spins Symbol'!$V$18</f>
        <v>100</v>
      </c>
      <c r="C859" s="129">
        <f>'Free Spins Symbol'!$W$18</f>
        <v>56</v>
      </c>
      <c r="D859" s="117">
        <f>VLOOKUP(MID($A859,7,2),'Free Spins Symbol'!$T$2:$Z$29,5,0)</f>
        <v>40</v>
      </c>
      <c r="E859" s="117">
        <f>VLOOKUP(MID($A859,10,2),'Free Spins Symbol'!$T$2:$Z$29,6,0)</f>
        <v>32</v>
      </c>
      <c r="F859" s="129">
        <f>'Free Spins Symbol'!$Z$18</f>
        <v>48</v>
      </c>
      <c r="G859" s="100">
        <f>(B859*C859-B856*C856)*(D859-D849)*E859*F859</f>
        <v>0</v>
      </c>
      <c r="H859" s="118" t="e">
        <f t="shared" si="160"/>
        <v>#DIV/0!</v>
      </c>
      <c r="I859" s="100">
        <v>5</v>
      </c>
      <c r="J859" s="119">
        <f t="shared" si="164"/>
        <v>0</v>
      </c>
      <c r="K859" s="120">
        <f t="shared" si="165"/>
        <v>0</v>
      </c>
    </row>
    <row r="860" spans="1:11" x14ac:dyDescent="0.3">
      <c r="A860" s="116" t="s">
        <v>278</v>
      </c>
      <c r="B860" s="129">
        <f>'Free Spins Symbol'!$V$18</f>
        <v>100</v>
      </c>
      <c r="C860" s="129">
        <f>'Free Spins Symbol'!$W$18</f>
        <v>56</v>
      </c>
      <c r="D860" s="117">
        <f>VLOOKUP(MID($A860,7,2),'Free Spins Symbol'!$T$2:$Z$29,5,0)</f>
        <v>40</v>
      </c>
      <c r="E860" s="117">
        <f>VLOOKUP(MID($A860,10,2),'Free Spins Symbol'!$T$2:$Z$29,6,0)</f>
        <v>32</v>
      </c>
      <c r="F860" s="129">
        <f>'Free Spins Symbol'!$Z$18</f>
        <v>48</v>
      </c>
      <c r="G860" s="100">
        <f>(B860*C860-B856*C856)*(D860-D850)*E860*F860</f>
        <v>0</v>
      </c>
      <c r="H860" s="118" t="e">
        <f t="shared" si="160"/>
        <v>#DIV/0!</v>
      </c>
      <c r="I860" s="100">
        <v>5</v>
      </c>
      <c r="J860" s="119">
        <f t="shared" si="164"/>
        <v>0</v>
      </c>
      <c r="K860" s="120">
        <f t="shared" si="165"/>
        <v>0</v>
      </c>
    </row>
    <row r="861" spans="1:11" x14ac:dyDescent="0.3">
      <c r="A861" s="122" t="s">
        <v>279</v>
      </c>
      <c r="B861" s="117">
        <f>VLOOKUP(MID($A861,1,2),'Free Spins Symbol'!$T$2:$Z$29,3,0)</f>
        <v>100</v>
      </c>
      <c r="C861" s="117">
        <f>VLOOKUP(MID($A861,4,2),'Free Spins Symbol'!$T$2:$Z$29,4,0)</f>
        <v>8</v>
      </c>
      <c r="D861" s="117">
        <f>VLOOKUP(MID($A861,7,2),'Free Spins Symbol'!$T$2:$Z$29,5,0)</f>
        <v>4</v>
      </c>
      <c r="E861" s="117">
        <f>VLOOKUP(MID($A861,10,2),'Free Spins Symbol'!$T$2:$Z$29,6,0)</f>
        <v>16</v>
      </c>
      <c r="F861" s="117">
        <f>VLOOKUP(MID($A861,13,2),'Free Spins Symbol'!$T$2:$Z$29,7,0)</f>
        <v>48</v>
      </c>
      <c r="G861" s="100">
        <f>B861*C861*D861*E861*F861</f>
        <v>2457600</v>
      </c>
      <c r="H861" s="118">
        <f t="shared" si="160"/>
        <v>140</v>
      </c>
      <c r="I861" s="123">
        <v>2</v>
      </c>
      <c r="J861" s="124">
        <f t="shared" si="164"/>
        <v>1.4285714285714285E-2</v>
      </c>
      <c r="K861" s="120">
        <f t="shared" si="165"/>
        <v>7.1428571428571426E-3</v>
      </c>
    </row>
    <row r="863" spans="1:11" ht="16.8" thickBot="1" x14ac:dyDescent="0.35"/>
    <row r="864" spans="1:11" ht="16.8" thickBot="1" x14ac:dyDescent="0.35">
      <c r="A864" s="125" t="s">
        <v>313</v>
      </c>
    </row>
    <row r="865" spans="1:11" ht="16.8" thickBot="1" x14ac:dyDescent="0.35">
      <c r="A865" s="95" t="s">
        <v>280</v>
      </c>
      <c r="B865" s="142">
        <f>B2</f>
        <v>344064000</v>
      </c>
      <c r="C865" s="142"/>
      <c r="D865" s="142"/>
      <c r="E865" s="142"/>
      <c r="F865" s="142"/>
      <c r="G865" s="7"/>
      <c r="H865" s="106"/>
      <c r="I865" s="107" t="s">
        <v>281</v>
      </c>
      <c r="J865" s="108">
        <f>SUM(J867:J901)</f>
        <v>19.567522321428573</v>
      </c>
      <c r="K865" s="126">
        <f>SUM(K867:K902)</f>
        <v>0.97142857142857142</v>
      </c>
    </row>
    <row r="866" spans="1:11" ht="33" thickBot="1" x14ac:dyDescent="0.35">
      <c r="A866" s="109" t="s">
        <v>233</v>
      </c>
      <c r="B866" s="110" t="s">
        <v>234</v>
      </c>
      <c r="C866" s="110" t="s">
        <v>235</v>
      </c>
      <c r="D866" s="110" t="s">
        <v>236</v>
      </c>
      <c r="E866" s="110" t="s">
        <v>237</v>
      </c>
      <c r="F866" s="110" t="s">
        <v>238</v>
      </c>
      <c r="G866" s="111" t="s">
        <v>239</v>
      </c>
      <c r="H866" s="112" t="s">
        <v>240</v>
      </c>
      <c r="I866" s="113" t="s">
        <v>241</v>
      </c>
      <c r="J866" s="114" t="s">
        <v>242</v>
      </c>
      <c r="K866" s="115" t="s">
        <v>243</v>
      </c>
    </row>
    <row r="867" spans="1:11" x14ac:dyDescent="0.3">
      <c r="A867" s="116" t="s">
        <v>244</v>
      </c>
      <c r="B867" s="129">
        <f>'Free Spins Symbol'!$V$18</f>
        <v>100</v>
      </c>
      <c r="C867" s="117">
        <f>VLOOKUP(MID($A867,4,2),'Free Spins Symbol'!$T$2:$Z$29,4,0)</f>
        <v>0</v>
      </c>
      <c r="D867" s="129">
        <f>'Free Spins Symbol'!$X$18</f>
        <v>40</v>
      </c>
      <c r="E867" s="117">
        <f>VLOOKUP(MID($A867,10,2),'Free Spins Symbol'!$T$2:$Z$29,6,0)</f>
        <v>0</v>
      </c>
      <c r="F867" s="129">
        <f>'Free Spins Symbol'!$Z$18</f>
        <v>48</v>
      </c>
      <c r="G867" s="100">
        <f>B867*C867*D867*E867*F867</f>
        <v>0</v>
      </c>
      <c r="H867" s="118" t="e">
        <f>B$2/G867</f>
        <v>#DIV/0!</v>
      </c>
      <c r="I867" s="100">
        <v>500</v>
      </c>
      <c r="J867" s="119">
        <f t="shared" ref="J867:J871" si="167">K867*I867</f>
        <v>0</v>
      </c>
      <c r="K867" s="120">
        <f>G867/B$2</f>
        <v>0</v>
      </c>
    </row>
    <row r="868" spans="1:11" x14ac:dyDescent="0.3">
      <c r="A868" s="116" t="s">
        <v>245</v>
      </c>
      <c r="B868" s="129">
        <f>'Free Spins Symbol'!$V$18</f>
        <v>100</v>
      </c>
      <c r="C868" s="117">
        <f>VLOOKUP(MID($A868,4,2),'Free Spins Symbol'!$T$2:$Z$29,4,0)</f>
        <v>2</v>
      </c>
      <c r="D868" s="129">
        <f>'Free Spins Symbol'!$X$18</f>
        <v>40</v>
      </c>
      <c r="E868" s="117">
        <f>VLOOKUP(MID($A868,10,2),'Free Spins Symbol'!$T$2:$Z$29,6,0)</f>
        <v>1</v>
      </c>
      <c r="F868" s="129">
        <f>'Free Spins Symbol'!$Z$18</f>
        <v>48</v>
      </c>
      <c r="G868" s="100">
        <f>B868*C868*D868*E868*F868-G867</f>
        <v>384000</v>
      </c>
      <c r="H868" s="118">
        <f t="shared" ref="H868:H902" si="168">B$2/G868</f>
        <v>896</v>
      </c>
      <c r="I868" s="100">
        <v>250</v>
      </c>
      <c r="J868" s="119">
        <f t="shared" si="167"/>
        <v>0.27901785714285715</v>
      </c>
      <c r="K868" s="120">
        <f t="shared" ref="K868:K871" si="169">G868/B$2</f>
        <v>1.1160714285714285E-3</v>
      </c>
    </row>
    <row r="869" spans="1:11" x14ac:dyDescent="0.3">
      <c r="A869" s="116" t="s">
        <v>246</v>
      </c>
      <c r="B869" s="129">
        <f>'Free Spins Symbol'!$V$18</f>
        <v>100</v>
      </c>
      <c r="C869" s="117">
        <f>VLOOKUP(MID($A869,4,2),'Free Spins Symbol'!$T$2:$Z$29,4,0)</f>
        <v>2</v>
      </c>
      <c r="D869" s="129">
        <f>'Free Spins Symbol'!$X$18</f>
        <v>40</v>
      </c>
      <c r="E869" s="117">
        <f>VLOOKUP(MID($A869,10,2),'Free Spins Symbol'!$T$2:$Z$29,6,0)</f>
        <v>1</v>
      </c>
      <c r="F869" s="129">
        <f>'Free Spins Symbol'!$Z$18</f>
        <v>48</v>
      </c>
      <c r="G869" s="100">
        <f>B869*C869*D869*E869*F869-G867</f>
        <v>384000</v>
      </c>
      <c r="H869" s="118">
        <f t="shared" si="168"/>
        <v>896</v>
      </c>
      <c r="I869" s="100">
        <v>250</v>
      </c>
      <c r="J869" s="119">
        <f t="shared" si="167"/>
        <v>0.27901785714285715</v>
      </c>
      <c r="K869" s="120">
        <f t="shared" si="169"/>
        <v>1.1160714285714285E-3</v>
      </c>
    </row>
    <row r="870" spans="1:11" x14ac:dyDescent="0.3">
      <c r="A870" s="116" t="s">
        <v>247</v>
      </c>
      <c r="B870" s="129">
        <f>'Free Spins Symbol'!$V$18</f>
        <v>100</v>
      </c>
      <c r="C870" s="117">
        <f>VLOOKUP(MID($A870,4,2),'Free Spins Symbol'!$T$2:$Z$29,4,0)</f>
        <v>4</v>
      </c>
      <c r="D870" s="129">
        <f>'Free Spins Symbol'!$X$18</f>
        <v>40</v>
      </c>
      <c r="E870" s="117">
        <f>VLOOKUP(MID($A870,10,2),'Free Spins Symbol'!$T$2:$Z$29,6,0)</f>
        <v>1</v>
      </c>
      <c r="F870" s="129">
        <f>'Free Spins Symbol'!$Z$18</f>
        <v>48</v>
      </c>
      <c r="G870" s="100">
        <f>B870*C870*D870*E870*F870-G867</f>
        <v>768000</v>
      </c>
      <c r="H870" s="118">
        <f t="shared" si="168"/>
        <v>448</v>
      </c>
      <c r="I870" s="100">
        <v>150</v>
      </c>
      <c r="J870" s="119">
        <f t="shared" si="167"/>
        <v>0.33482142857142855</v>
      </c>
      <c r="K870" s="120">
        <f t="shared" si="169"/>
        <v>2.232142857142857E-3</v>
      </c>
    </row>
    <row r="871" spans="1:11" x14ac:dyDescent="0.3">
      <c r="A871" s="116" t="s">
        <v>248</v>
      </c>
      <c r="B871" s="129">
        <f>'Free Spins Symbol'!$V$18</f>
        <v>100</v>
      </c>
      <c r="C871" s="117">
        <f>VLOOKUP(MID($A871,4,2),'Free Spins Symbol'!$T$2:$Z$29,4,0)</f>
        <v>4</v>
      </c>
      <c r="D871" s="129">
        <f>'Free Spins Symbol'!$X$18</f>
        <v>40</v>
      </c>
      <c r="E871" s="117">
        <f>VLOOKUP(MID($A871,10,2),'Free Spins Symbol'!$T$2:$Z$29,6,0)</f>
        <v>1</v>
      </c>
      <c r="F871" s="129">
        <f>'Free Spins Symbol'!$Z$18</f>
        <v>48</v>
      </c>
      <c r="G871" s="100">
        <f>B871*C871*D871*E871*F871-G867</f>
        <v>768000</v>
      </c>
      <c r="H871" s="118">
        <f t="shared" si="168"/>
        <v>448</v>
      </c>
      <c r="I871" s="100">
        <v>150</v>
      </c>
      <c r="J871" s="119">
        <f t="shared" si="167"/>
        <v>0.33482142857142855</v>
      </c>
      <c r="K871" s="120">
        <f t="shared" si="169"/>
        <v>2.232142857142857E-3</v>
      </c>
    </row>
    <row r="872" spans="1:11" x14ac:dyDescent="0.3">
      <c r="A872" s="116" t="s">
        <v>254</v>
      </c>
      <c r="B872" s="129">
        <f>'Free Spins Symbol'!$V$18</f>
        <v>100</v>
      </c>
      <c r="C872" s="117">
        <f>VLOOKUP(MID($A872,4,2),'Free Spins Symbol'!$T$2:$Z$29,4,0)</f>
        <v>0</v>
      </c>
      <c r="D872" s="129">
        <f>'Free Spins Symbol'!$X$18</f>
        <v>40</v>
      </c>
      <c r="E872" s="117">
        <f>VLOOKUP(MID($A872,10,2),'Free Spins Symbol'!$T$2:$Z$29,6,0)</f>
        <v>0</v>
      </c>
      <c r="F872" s="129">
        <f>'Free Spins Symbol'!$Z$18</f>
        <v>48</v>
      </c>
      <c r="G872" s="100">
        <f>B872*C872*D872*E872*(F872-F871-F870-F869-F868+3*F867)</f>
        <v>0</v>
      </c>
      <c r="H872" s="118" t="e">
        <f t="shared" si="168"/>
        <v>#DIV/0!</v>
      </c>
      <c r="I872" s="100">
        <v>100</v>
      </c>
      <c r="J872" s="119">
        <f>K872*I872</f>
        <v>0</v>
      </c>
      <c r="K872" s="120">
        <f>G872/B$2</f>
        <v>0</v>
      </c>
    </row>
    <row r="873" spans="1:11" x14ac:dyDescent="0.3">
      <c r="A873" s="116" t="s">
        <v>249</v>
      </c>
      <c r="B873" s="129">
        <f>'Free Spins Symbol'!$V$18</f>
        <v>100</v>
      </c>
      <c r="C873" s="117">
        <f>VLOOKUP(MID($A873,4,2),'Free Spins Symbol'!$T$2:$Z$29,4,0)</f>
        <v>13</v>
      </c>
      <c r="D873" s="129">
        <f>'Free Spins Symbol'!$X$18</f>
        <v>40</v>
      </c>
      <c r="E873" s="117">
        <f>VLOOKUP(MID($A873,10,2),'Free Spins Symbol'!$T$2:$Z$29,6,0)</f>
        <v>7</v>
      </c>
      <c r="F873" s="129">
        <f>'Free Spins Symbol'!$Z$18</f>
        <v>48</v>
      </c>
      <c r="G873" s="100">
        <f>B873*C873*D873*E873*F873-G867</f>
        <v>17472000</v>
      </c>
      <c r="H873" s="118">
        <f t="shared" si="168"/>
        <v>19.692307692307693</v>
      </c>
      <c r="I873" s="100">
        <v>100</v>
      </c>
      <c r="J873" s="119">
        <f t="shared" ref="J873:J881" si="170">K873*I873</f>
        <v>5.078125</v>
      </c>
      <c r="K873" s="120">
        <f t="shared" ref="K873:K881" si="171">G873/B$2</f>
        <v>5.078125E-2</v>
      </c>
    </row>
    <row r="874" spans="1:11" x14ac:dyDescent="0.3">
      <c r="A874" s="116" t="s">
        <v>250</v>
      </c>
      <c r="B874" s="129">
        <f>'Free Spins Symbol'!$V$18</f>
        <v>100</v>
      </c>
      <c r="C874" s="117">
        <f>VLOOKUP(MID($A874,4,2),'Free Spins Symbol'!$T$2:$Z$29,4,0)</f>
        <v>1</v>
      </c>
      <c r="D874" s="129">
        <f>'Free Spins Symbol'!$X$18</f>
        <v>40</v>
      </c>
      <c r="E874" s="117">
        <f>VLOOKUP(MID($A874,10,2),'Free Spins Symbol'!$T$2:$Z$29,6,0)</f>
        <v>1</v>
      </c>
      <c r="F874" s="129">
        <f>'Free Spins Symbol'!$Z$18</f>
        <v>48</v>
      </c>
      <c r="G874" s="100">
        <f>B874*C874*D874*E874*F874-G867</f>
        <v>192000</v>
      </c>
      <c r="H874" s="118">
        <f t="shared" si="168"/>
        <v>1792</v>
      </c>
      <c r="I874" s="100">
        <v>100</v>
      </c>
      <c r="J874" s="119">
        <f t="shared" si="170"/>
        <v>5.5803571428571425E-2</v>
      </c>
      <c r="K874" s="120">
        <f t="shared" si="171"/>
        <v>5.5803571428571425E-4</v>
      </c>
    </row>
    <row r="875" spans="1:11" x14ac:dyDescent="0.3">
      <c r="A875" s="116" t="s">
        <v>251</v>
      </c>
      <c r="B875" s="129">
        <f>'Free Spins Symbol'!$V$18</f>
        <v>100</v>
      </c>
      <c r="C875" s="117">
        <f>VLOOKUP(MID($A875,4,2),'Free Spins Symbol'!$T$2:$Z$29,4,0)</f>
        <v>13</v>
      </c>
      <c r="D875" s="129">
        <f>'Free Spins Symbol'!$X$18</f>
        <v>40</v>
      </c>
      <c r="E875" s="117">
        <f>VLOOKUP(MID($A875,10,2),'Free Spins Symbol'!$T$2:$Z$29,6,0)</f>
        <v>1</v>
      </c>
      <c r="F875" s="129">
        <f>'Free Spins Symbol'!$Z$18</f>
        <v>48</v>
      </c>
      <c r="G875" s="100">
        <f>B875*C875*D875*E875*F875-G867</f>
        <v>2496000</v>
      </c>
      <c r="H875" s="118">
        <f t="shared" si="168"/>
        <v>137.84615384615384</v>
      </c>
      <c r="I875" s="100">
        <v>100</v>
      </c>
      <c r="J875" s="119">
        <f t="shared" si="170"/>
        <v>0.7254464285714286</v>
      </c>
      <c r="K875" s="120">
        <f t="shared" si="171"/>
        <v>7.254464285714286E-3</v>
      </c>
    </row>
    <row r="876" spans="1:11" x14ac:dyDescent="0.3">
      <c r="A876" s="116" t="s">
        <v>252</v>
      </c>
      <c r="B876" s="129">
        <f>'Free Spins Symbol'!$V$18</f>
        <v>100</v>
      </c>
      <c r="C876" s="117">
        <f>VLOOKUP(MID($A876,4,2),'Free Spins Symbol'!$T$2:$Z$29,4,0)</f>
        <v>13</v>
      </c>
      <c r="D876" s="129">
        <f>'Free Spins Symbol'!$X$18</f>
        <v>40</v>
      </c>
      <c r="E876" s="117">
        <f>VLOOKUP(MID($A876,10,2),'Free Spins Symbol'!$T$2:$Z$29,6,0)</f>
        <v>8</v>
      </c>
      <c r="F876" s="129">
        <f>'Free Spins Symbol'!$Z$18</f>
        <v>48</v>
      </c>
      <c r="G876" s="100">
        <f>(B876*C876*D876*E876)*F876-G867</f>
        <v>19968000</v>
      </c>
      <c r="H876" s="118">
        <f t="shared" si="168"/>
        <v>17.23076923076923</v>
      </c>
      <c r="I876" s="100">
        <v>100</v>
      </c>
      <c r="J876" s="119">
        <f t="shared" si="170"/>
        <v>5.8035714285714288</v>
      </c>
      <c r="K876" s="120">
        <f t="shared" si="171"/>
        <v>5.8035714285714288E-2</v>
      </c>
    </row>
    <row r="877" spans="1:11" x14ac:dyDescent="0.3">
      <c r="A877" s="116" t="s">
        <v>253</v>
      </c>
      <c r="B877" s="129">
        <f>'Free Spins Symbol'!$V$18</f>
        <v>100</v>
      </c>
      <c r="C877" s="117">
        <f>VLOOKUP(MID($A877,4,2),'Free Spins Symbol'!$T$2:$Z$29,4,0)</f>
        <v>2</v>
      </c>
      <c r="D877" s="129">
        <f>'Free Spins Symbol'!$X$18</f>
        <v>40</v>
      </c>
      <c r="E877" s="117">
        <f>VLOOKUP(MID($A877,10,2),'Free Spins Symbol'!$T$2:$Z$29,6,0)</f>
        <v>7</v>
      </c>
      <c r="F877" s="129">
        <f>'Free Spins Symbol'!$Z$18</f>
        <v>48</v>
      </c>
      <c r="G877" s="100">
        <f>B877*C877*D877*E877*F877-G867</f>
        <v>2688000</v>
      </c>
      <c r="H877" s="118">
        <f t="shared" si="168"/>
        <v>128</v>
      </c>
      <c r="I877" s="100">
        <v>100</v>
      </c>
      <c r="J877" s="119">
        <f t="shared" si="170"/>
        <v>0.78125</v>
      </c>
      <c r="K877" s="120">
        <f t="shared" si="171"/>
        <v>7.8125E-3</v>
      </c>
    </row>
    <row r="878" spans="1:11" x14ac:dyDescent="0.3">
      <c r="A878" s="116" t="s">
        <v>255</v>
      </c>
      <c r="B878" s="129">
        <f>'Free Spins Symbol'!$V$18</f>
        <v>100</v>
      </c>
      <c r="C878" s="117">
        <f>VLOOKUP(MID($A878,4,2),'Free Spins Symbol'!$T$2:$Z$29,4,0)</f>
        <v>2</v>
      </c>
      <c r="D878" s="129">
        <f>'Free Spins Symbol'!$X$18</f>
        <v>40</v>
      </c>
      <c r="E878" s="117">
        <f>VLOOKUP(MID($A878,10,2),'Free Spins Symbol'!$T$2:$Z$29,6,0)</f>
        <v>1</v>
      </c>
      <c r="F878" s="129">
        <f>'Free Spins Symbol'!$Z$18</f>
        <v>48</v>
      </c>
      <c r="G878" s="100">
        <f>(B878*C878*D878*E878-B872*C872*D872*E872)*(F878-F868)</f>
        <v>0</v>
      </c>
      <c r="H878" s="118" t="e">
        <f t="shared" si="168"/>
        <v>#DIV/0!</v>
      </c>
      <c r="I878" s="100">
        <v>50</v>
      </c>
      <c r="J878" s="119">
        <f t="shared" si="170"/>
        <v>0</v>
      </c>
      <c r="K878" s="120">
        <f t="shared" si="171"/>
        <v>0</v>
      </c>
    </row>
    <row r="879" spans="1:11" x14ac:dyDescent="0.3">
      <c r="A879" s="116" t="s">
        <v>256</v>
      </c>
      <c r="B879" s="129">
        <f>'Free Spins Symbol'!$V$18</f>
        <v>100</v>
      </c>
      <c r="C879" s="117">
        <f>VLOOKUP(MID($A879,4,2),'Free Spins Symbol'!$T$2:$Z$29,4,0)</f>
        <v>2</v>
      </c>
      <c r="D879" s="129">
        <f>'Free Spins Symbol'!$X$18</f>
        <v>40</v>
      </c>
      <c r="E879" s="117">
        <f>VLOOKUP(MID($A879,10,2),'Free Spins Symbol'!$T$2:$Z$29,6,0)</f>
        <v>1</v>
      </c>
      <c r="F879" s="129">
        <f>'Free Spins Symbol'!$Z$18</f>
        <v>48</v>
      </c>
      <c r="G879" s="100">
        <f>(B879*C879*D879*E879-B872*C872*D872*E872)*(F879-F869)</f>
        <v>0</v>
      </c>
      <c r="H879" s="118" t="e">
        <f t="shared" si="168"/>
        <v>#DIV/0!</v>
      </c>
      <c r="I879" s="100">
        <v>50</v>
      </c>
      <c r="J879" s="119">
        <f t="shared" si="170"/>
        <v>0</v>
      </c>
      <c r="K879" s="120">
        <f t="shared" si="171"/>
        <v>0</v>
      </c>
    </row>
    <row r="880" spans="1:11" x14ac:dyDescent="0.3">
      <c r="A880" s="116" t="s">
        <v>257</v>
      </c>
      <c r="B880" s="129">
        <f>'Free Spins Symbol'!$V$18</f>
        <v>100</v>
      </c>
      <c r="C880" s="117">
        <f>VLOOKUP(MID($A880,4,2),'Free Spins Symbol'!$T$2:$Z$29,4,0)</f>
        <v>4</v>
      </c>
      <c r="D880" s="129">
        <f>'Free Spins Symbol'!$X$18</f>
        <v>40</v>
      </c>
      <c r="E880" s="117">
        <f>VLOOKUP(MID($A880,10,2),'Free Spins Symbol'!$T$2:$Z$29,6,0)</f>
        <v>1</v>
      </c>
      <c r="F880" s="129">
        <f>'Free Spins Symbol'!$Z$18</f>
        <v>48</v>
      </c>
      <c r="G880" s="100">
        <f>(B880*C880*D880*E880-B872*C872*D872*E872)*(F880-F870)</f>
        <v>0</v>
      </c>
      <c r="H880" s="118" t="e">
        <f t="shared" si="168"/>
        <v>#DIV/0!</v>
      </c>
      <c r="I880" s="100">
        <v>30</v>
      </c>
      <c r="J880" s="119">
        <f t="shared" si="170"/>
        <v>0</v>
      </c>
      <c r="K880" s="120">
        <f t="shared" si="171"/>
        <v>0</v>
      </c>
    </row>
    <row r="881" spans="1:11" x14ac:dyDescent="0.3">
      <c r="A881" s="116" t="s">
        <v>258</v>
      </c>
      <c r="B881" s="129">
        <f>'Free Spins Symbol'!$V$18</f>
        <v>100</v>
      </c>
      <c r="C881" s="117">
        <f>VLOOKUP(MID($A881,4,2),'Free Spins Symbol'!$T$2:$Z$29,4,0)</f>
        <v>4</v>
      </c>
      <c r="D881" s="129">
        <f>'Free Spins Symbol'!$X$18</f>
        <v>40</v>
      </c>
      <c r="E881" s="117">
        <f>VLOOKUP(MID($A881,10,2),'Free Spins Symbol'!$T$2:$Z$29,6,0)</f>
        <v>1</v>
      </c>
      <c r="F881" s="129">
        <f>'Free Spins Symbol'!$Z$18</f>
        <v>48</v>
      </c>
      <c r="G881" s="100">
        <f>(B881*C881*D881*E881-B872*C872*D872*E872)*(F881-F871)</f>
        <v>0</v>
      </c>
      <c r="H881" s="118" t="e">
        <f t="shared" si="168"/>
        <v>#DIV/0!</v>
      </c>
      <c r="I881" s="100">
        <v>30</v>
      </c>
      <c r="J881" s="119">
        <f t="shared" si="170"/>
        <v>0</v>
      </c>
      <c r="K881" s="120">
        <f t="shared" si="171"/>
        <v>0</v>
      </c>
    </row>
    <row r="882" spans="1:11" x14ac:dyDescent="0.3">
      <c r="A882" s="116" t="s">
        <v>264</v>
      </c>
      <c r="B882" s="129">
        <f>'Free Spins Symbol'!$V$18</f>
        <v>100</v>
      </c>
      <c r="C882" s="117">
        <f>VLOOKUP(MID($A882,4,2),'Free Spins Symbol'!$T$2:$Z$29,4,0)</f>
        <v>0</v>
      </c>
      <c r="D882" s="129">
        <f>'Free Spins Symbol'!$X$18</f>
        <v>40</v>
      </c>
      <c r="E882" s="117">
        <f>VLOOKUP(MID($A882,10,2),'Free Spins Symbol'!$T$2:$Z$29,6,0)</f>
        <v>32</v>
      </c>
      <c r="F882" s="129">
        <f>'Free Spins Symbol'!$Z$18</f>
        <v>48</v>
      </c>
      <c r="G882" s="100">
        <v>0</v>
      </c>
      <c r="H882" s="118" t="e">
        <f t="shared" si="168"/>
        <v>#DIV/0!</v>
      </c>
      <c r="I882" s="100">
        <v>20</v>
      </c>
      <c r="J882" s="119">
        <f>K882*I882</f>
        <v>0</v>
      </c>
      <c r="K882" s="120">
        <f>G882/B$2</f>
        <v>0</v>
      </c>
    </row>
    <row r="883" spans="1:11" x14ac:dyDescent="0.3">
      <c r="A883" s="116" t="s">
        <v>259</v>
      </c>
      <c r="B883" s="129">
        <f>'Free Spins Symbol'!$V$18</f>
        <v>100</v>
      </c>
      <c r="C883" s="117">
        <f>VLOOKUP(MID($A883,4,2),'Free Spins Symbol'!$T$2:$Z$29,4,0)</f>
        <v>13</v>
      </c>
      <c r="D883" s="129">
        <f>'Free Spins Symbol'!$X$18</f>
        <v>40</v>
      </c>
      <c r="E883" s="117">
        <f>VLOOKUP(MID($A883,10,2),'Free Spins Symbol'!$T$2:$Z$29,6,0)</f>
        <v>7</v>
      </c>
      <c r="F883" s="129">
        <f>'Free Spins Symbol'!$Z$18</f>
        <v>48</v>
      </c>
      <c r="G883" s="100">
        <f>(B883*C883*D883*E883-B872*C872*D872*E872)*(F883-F873)</f>
        <v>0</v>
      </c>
      <c r="H883" s="118" t="e">
        <f t="shared" si="168"/>
        <v>#DIV/0!</v>
      </c>
      <c r="I883" s="100">
        <v>20</v>
      </c>
      <c r="J883" s="119">
        <f t="shared" ref="J883:J902" si="172">K883*I883</f>
        <v>0</v>
      </c>
      <c r="K883" s="120">
        <f t="shared" ref="K883:K902" si="173">G883/B$2</f>
        <v>0</v>
      </c>
    </row>
    <row r="884" spans="1:11" x14ac:dyDescent="0.3">
      <c r="A884" s="116" t="s">
        <v>260</v>
      </c>
      <c r="B884" s="129">
        <f>'Free Spins Symbol'!$V$18</f>
        <v>100</v>
      </c>
      <c r="C884" s="117">
        <f>VLOOKUP(MID($A884,4,2),'Free Spins Symbol'!$T$2:$Z$29,4,0)</f>
        <v>1</v>
      </c>
      <c r="D884" s="129">
        <f>'Free Spins Symbol'!$X$18</f>
        <v>40</v>
      </c>
      <c r="E884" s="117">
        <f>VLOOKUP(MID($A884,10,2),'Free Spins Symbol'!$T$2:$Z$29,6,0)</f>
        <v>1</v>
      </c>
      <c r="F884" s="129">
        <f>'Free Spins Symbol'!$Z$18</f>
        <v>48</v>
      </c>
      <c r="G884" s="100">
        <f t="shared" ref="G884:G887" si="174">(B884*C884*D884*E884-B873*C873*D873*E873)*(F884-F874)</f>
        <v>0</v>
      </c>
      <c r="H884" s="118" t="e">
        <f t="shared" si="168"/>
        <v>#DIV/0!</v>
      </c>
      <c r="I884" s="100">
        <v>20</v>
      </c>
      <c r="J884" s="119">
        <f t="shared" si="172"/>
        <v>0</v>
      </c>
      <c r="K884" s="120">
        <f t="shared" si="173"/>
        <v>0</v>
      </c>
    </row>
    <row r="885" spans="1:11" x14ac:dyDescent="0.3">
      <c r="A885" s="116" t="s">
        <v>261</v>
      </c>
      <c r="B885" s="129">
        <f>'Free Spins Symbol'!$V$18</f>
        <v>100</v>
      </c>
      <c r="C885" s="117">
        <f>VLOOKUP(MID($A885,4,2),'Free Spins Symbol'!$T$2:$Z$29,4,0)</f>
        <v>13</v>
      </c>
      <c r="D885" s="129">
        <f>'Free Spins Symbol'!$X$18</f>
        <v>40</v>
      </c>
      <c r="E885" s="117">
        <f>VLOOKUP(MID($A885,10,2),'Free Spins Symbol'!$T$2:$Z$29,6,0)</f>
        <v>1</v>
      </c>
      <c r="F885" s="129">
        <f>'Free Spins Symbol'!$Z$18</f>
        <v>48</v>
      </c>
      <c r="G885" s="100">
        <f t="shared" si="174"/>
        <v>0</v>
      </c>
      <c r="H885" s="118" t="e">
        <f t="shared" si="168"/>
        <v>#DIV/0!</v>
      </c>
      <c r="I885" s="100">
        <v>20</v>
      </c>
      <c r="J885" s="119">
        <f t="shared" si="172"/>
        <v>0</v>
      </c>
      <c r="K885" s="120">
        <f t="shared" si="173"/>
        <v>0</v>
      </c>
    </row>
    <row r="886" spans="1:11" x14ac:dyDescent="0.3">
      <c r="A886" s="116" t="s">
        <v>262</v>
      </c>
      <c r="B886" s="129">
        <f>'Free Spins Symbol'!$V$18</f>
        <v>100</v>
      </c>
      <c r="C886" s="117">
        <f>VLOOKUP(MID($A886,4,2),'Free Spins Symbol'!$T$2:$Z$29,4,0)</f>
        <v>13</v>
      </c>
      <c r="D886" s="129">
        <f>'Free Spins Symbol'!$X$18</f>
        <v>40</v>
      </c>
      <c r="E886" s="117">
        <f>VLOOKUP(MID($A886,10,2),'Free Spins Symbol'!$T$2:$Z$29,6,0)</f>
        <v>8</v>
      </c>
      <c r="F886" s="129">
        <f>'Free Spins Symbol'!$Z$18</f>
        <v>48</v>
      </c>
      <c r="G886" s="100">
        <f t="shared" si="174"/>
        <v>0</v>
      </c>
      <c r="H886" s="118" t="e">
        <f t="shared" si="168"/>
        <v>#DIV/0!</v>
      </c>
      <c r="I886" s="100">
        <v>20</v>
      </c>
      <c r="J886" s="119">
        <f t="shared" si="172"/>
        <v>0</v>
      </c>
      <c r="K886" s="120">
        <f t="shared" si="173"/>
        <v>0</v>
      </c>
    </row>
    <row r="887" spans="1:11" x14ac:dyDescent="0.3">
      <c r="A887" s="116" t="s">
        <v>263</v>
      </c>
      <c r="B887" s="129">
        <f>'Free Spins Symbol'!$V$18</f>
        <v>100</v>
      </c>
      <c r="C887" s="117">
        <f>VLOOKUP(MID($A887,4,2),'Free Spins Symbol'!$T$2:$Z$29,4,0)</f>
        <v>2</v>
      </c>
      <c r="D887" s="129">
        <f>'Free Spins Symbol'!$X$18</f>
        <v>40</v>
      </c>
      <c r="E887" s="117">
        <f>VLOOKUP(MID($A887,10,2),'Free Spins Symbol'!$T$2:$Z$29,6,0)</f>
        <v>7</v>
      </c>
      <c r="F887" s="129">
        <f>'Free Spins Symbol'!$Z$18</f>
        <v>48</v>
      </c>
      <c r="G887" s="100">
        <f t="shared" si="174"/>
        <v>0</v>
      </c>
      <c r="H887" s="118" t="e">
        <f t="shared" si="168"/>
        <v>#DIV/0!</v>
      </c>
      <c r="I887" s="100">
        <v>20</v>
      </c>
      <c r="J887" s="119">
        <f t="shared" si="172"/>
        <v>0</v>
      </c>
      <c r="K887" s="120">
        <f t="shared" si="173"/>
        <v>0</v>
      </c>
    </row>
    <row r="888" spans="1:11" x14ac:dyDescent="0.3">
      <c r="A888" s="116" t="s">
        <v>265</v>
      </c>
      <c r="B888" s="129">
        <f>'Free Spins Symbol'!$V$18</f>
        <v>100</v>
      </c>
      <c r="C888" s="117">
        <f>VLOOKUP(MID($A888,4,2),'Free Spins Symbol'!$T$2:$Z$29,4,0)</f>
        <v>2</v>
      </c>
      <c r="D888" s="129">
        <f>'Free Spins Symbol'!$X$18</f>
        <v>40</v>
      </c>
      <c r="E888" s="117">
        <f>VLOOKUP(MID($A888,10,2),'Free Spins Symbol'!$T$2:$Z$29,6,0)</f>
        <v>32</v>
      </c>
      <c r="F888" s="129">
        <f>'Free Spins Symbol'!$Z$18</f>
        <v>48</v>
      </c>
      <c r="G888" s="100">
        <f>(B888*C888*D888-B882*C882*D882)*(E888-E878)*F888</f>
        <v>11904000</v>
      </c>
      <c r="H888" s="118">
        <f t="shared" si="168"/>
        <v>28.903225806451612</v>
      </c>
      <c r="I888" s="100">
        <v>20</v>
      </c>
      <c r="J888" s="119">
        <f t="shared" si="172"/>
        <v>0.69196428571428581</v>
      </c>
      <c r="K888" s="120">
        <f t="shared" si="173"/>
        <v>3.4598214285714288E-2</v>
      </c>
    </row>
    <row r="889" spans="1:11" x14ac:dyDescent="0.3">
      <c r="A889" s="116" t="s">
        <v>266</v>
      </c>
      <c r="B889" s="129">
        <f>'Free Spins Symbol'!$V$18</f>
        <v>100</v>
      </c>
      <c r="C889" s="117">
        <f>VLOOKUP(MID($A889,4,2),'Free Spins Symbol'!$T$2:$Z$29,4,0)</f>
        <v>2</v>
      </c>
      <c r="D889" s="129">
        <f>'Free Spins Symbol'!$X$18</f>
        <v>40</v>
      </c>
      <c r="E889" s="117">
        <f>VLOOKUP(MID($A889,10,2),'Free Spins Symbol'!$T$2:$Z$29,6,0)</f>
        <v>32</v>
      </c>
      <c r="F889" s="129">
        <f>'Free Spins Symbol'!$Z$18</f>
        <v>48</v>
      </c>
      <c r="G889" s="100">
        <f>(B889*C889*D889-B882*C882*D882)*(E889-E879)*F889</f>
        <v>11904000</v>
      </c>
      <c r="H889" s="118">
        <f t="shared" si="168"/>
        <v>28.903225806451612</v>
      </c>
      <c r="I889" s="100">
        <v>20</v>
      </c>
      <c r="J889" s="119">
        <f t="shared" si="172"/>
        <v>0.69196428571428581</v>
      </c>
      <c r="K889" s="120">
        <f t="shared" si="173"/>
        <v>3.4598214285714288E-2</v>
      </c>
    </row>
    <row r="890" spans="1:11" x14ac:dyDescent="0.3">
      <c r="A890" s="116" t="s">
        <v>267</v>
      </c>
      <c r="B890" s="129">
        <f>'Free Spins Symbol'!$V$18</f>
        <v>100</v>
      </c>
      <c r="C890" s="117">
        <f>VLOOKUP(MID($A890,4,2),'Free Spins Symbol'!$T$2:$Z$29,4,0)</f>
        <v>4</v>
      </c>
      <c r="D890" s="129">
        <f>'Free Spins Symbol'!$X$18</f>
        <v>40</v>
      </c>
      <c r="E890" s="117">
        <f>VLOOKUP(MID($A890,10,2),'Free Spins Symbol'!$T$2:$Z$29,6,0)</f>
        <v>32</v>
      </c>
      <c r="F890" s="129">
        <f>'Free Spins Symbol'!$Z$18</f>
        <v>48</v>
      </c>
      <c r="G890" s="100">
        <f>(B890*C890*D890-B882*C882*D882)*(E890-E880)*F890</f>
        <v>23808000</v>
      </c>
      <c r="H890" s="118">
        <f t="shared" si="168"/>
        <v>14.451612903225806</v>
      </c>
      <c r="I890" s="100">
        <v>10</v>
      </c>
      <c r="J890" s="119">
        <f t="shared" si="172"/>
        <v>0.69196428571428581</v>
      </c>
      <c r="K890" s="120">
        <f t="shared" si="173"/>
        <v>6.9196428571428575E-2</v>
      </c>
    </row>
    <row r="891" spans="1:11" x14ac:dyDescent="0.3">
      <c r="A891" s="116" t="s">
        <v>268</v>
      </c>
      <c r="B891" s="129">
        <f>'Free Spins Symbol'!$V$18</f>
        <v>100</v>
      </c>
      <c r="C891" s="117">
        <f>VLOOKUP(MID($A891,4,2),'Free Spins Symbol'!$T$2:$Z$29,4,0)</f>
        <v>4</v>
      </c>
      <c r="D891" s="129">
        <f>'Free Spins Symbol'!$X$18</f>
        <v>40</v>
      </c>
      <c r="E891" s="117">
        <f>VLOOKUP(MID($A891,10,2),'Free Spins Symbol'!$T$2:$Z$29,6,0)</f>
        <v>32</v>
      </c>
      <c r="F891" s="129">
        <f>'Free Spins Symbol'!$Z$18</f>
        <v>48</v>
      </c>
      <c r="G891" s="100">
        <f>(B891*C891*D891-B882*C882*D882)*(E891-E881)*F891</f>
        <v>23808000</v>
      </c>
      <c r="H891" s="118">
        <f t="shared" si="168"/>
        <v>14.451612903225806</v>
      </c>
      <c r="I891" s="100">
        <v>10</v>
      </c>
      <c r="J891" s="119">
        <f t="shared" si="172"/>
        <v>0.69196428571428581</v>
      </c>
      <c r="K891" s="120">
        <f t="shared" si="173"/>
        <v>6.9196428571428575E-2</v>
      </c>
    </row>
    <row r="892" spans="1:11" x14ac:dyDescent="0.3">
      <c r="A892" s="116" t="s">
        <v>269</v>
      </c>
      <c r="B892" s="129">
        <f>'Free Spins Symbol'!$V$18</f>
        <v>100</v>
      </c>
      <c r="C892" s="117">
        <f>VLOOKUP(MID($A892,4,2),'Free Spins Symbol'!$T$2:$Z$29,4,0)</f>
        <v>13</v>
      </c>
      <c r="D892" s="129">
        <f>'Free Spins Symbol'!$X$18</f>
        <v>40</v>
      </c>
      <c r="E892" s="117">
        <f>VLOOKUP(MID($A892,10,2),'Free Spins Symbol'!$T$2:$Z$29,6,0)</f>
        <v>32</v>
      </c>
      <c r="F892" s="129">
        <f>'Free Spins Symbol'!$Z$18</f>
        <v>48</v>
      </c>
      <c r="G892" s="100">
        <f>(B892*C892*D892-B882*C882*D882)*(E892-E883)*F892</f>
        <v>62400000</v>
      </c>
      <c r="H892" s="118">
        <f t="shared" si="168"/>
        <v>5.5138461538461536</v>
      </c>
      <c r="I892" s="100">
        <v>5</v>
      </c>
      <c r="J892" s="119">
        <f t="shared" si="172"/>
        <v>0.90680803571428581</v>
      </c>
      <c r="K892" s="120">
        <f t="shared" si="173"/>
        <v>0.18136160714285715</v>
      </c>
    </row>
    <row r="893" spans="1:11" x14ac:dyDescent="0.3">
      <c r="A893" s="116" t="s">
        <v>270</v>
      </c>
      <c r="B893" s="129">
        <f>'Free Spins Symbol'!$V$18</f>
        <v>100</v>
      </c>
      <c r="C893" s="117">
        <f>VLOOKUP(MID($A893,4,2),'Free Spins Symbol'!$T$2:$Z$29,4,0)</f>
        <v>1</v>
      </c>
      <c r="D893" s="129">
        <f>'Free Spins Symbol'!$X$18</f>
        <v>40</v>
      </c>
      <c r="E893" s="117">
        <f>VLOOKUP(MID($A893,10,2),'Free Spins Symbol'!$T$2:$Z$29,6,0)</f>
        <v>32</v>
      </c>
      <c r="F893" s="129">
        <f>'Free Spins Symbol'!$Z$18</f>
        <v>48</v>
      </c>
      <c r="G893" s="100">
        <f>(B893*C893*D893-B882*C882*D882)*(E893-E884)*F893</f>
        <v>5952000</v>
      </c>
      <c r="H893" s="118">
        <f t="shared" si="168"/>
        <v>57.806451612903224</v>
      </c>
      <c r="I893" s="100">
        <v>5</v>
      </c>
      <c r="J893" s="119">
        <f t="shared" si="172"/>
        <v>8.6495535714285726E-2</v>
      </c>
      <c r="K893" s="120">
        <f t="shared" si="173"/>
        <v>1.7299107142857144E-2</v>
      </c>
    </row>
    <row r="894" spans="1:11" x14ac:dyDescent="0.3">
      <c r="A894" s="116" t="s">
        <v>271</v>
      </c>
      <c r="B894" s="129">
        <f>'Free Spins Symbol'!$V$18</f>
        <v>100</v>
      </c>
      <c r="C894" s="117">
        <f>VLOOKUP(MID($A894,4,2),'Free Spins Symbol'!$T$2:$Z$29,4,0)</f>
        <v>13</v>
      </c>
      <c r="D894" s="129">
        <f>'Free Spins Symbol'!$X$18</f>
        <v>40</v>
      </c>
      <c r="E894" s="117">
        <f>VLOOKUP(MID($A894,10,2),'Free Spins Symbol'!$T$2:$Z$29,6,0)</f>
        <v>32</v>
      </c>
      <c r="F894" s="129">
        <f>'Free Spins Symbol'!$Z$18</f>
        <v>48</v>
      </c>
      <c r="G894" s="100">
        <f>(B894*C894*D894-B882*C882*D882)*(E894-E885)*F894</f>
        <v>77376000</v>
      </c>
      <c r="H894" s="118">
        <f t="shared" si="168"/>
        <v>4.4466501240694791</v>
      </c>
      <c r="I894" s="100">
        <v>5</v>
      </c>
      <c r="J894" s="119">
        <f t="shared" si="172"/>
        <v>1.1244419642857142</v>
      </c>
      <c r="K894" s="120">
        <f t="shared" si="173"/>
        <v>0.22488839285714285</v>
      </c>
    </row>
    <row r="895" spans="1:11" x14ac:dyDescent="0.3">
      <c r="A895" s="116" t="s">
        <v>272</v>
      </c>
      <c r="B895" s="129">
        <f>'Free Spins Symbol'!$V$18</f>
        <v>100</v>
      </c>
      <c r="C895" s="117">
        <f>VLOOKUP(MID($A895,4,2),'Free Spins Symbol'!$T$2:$Z$29,4,0)</f>
        <v>13</v>
      </c>
      <c r="D895" s="129">
        <f>'Free Spins Symbol'!$X$18</f>
        <v>40</v>
      </c>
      <c r="E895" s="117">
        <f>VLOOKUP(MID($A895,10,2),'Free Spins Symbol'!$T$2:$Z$29,6,0)</f>
        <v>32</v>
      </c>
      <c r="F895" s="129">
        <f>'Free Spins Symbol'!$Z$18</f>
        <v>48</v>
      </c>
      <c r="G895" s="100">
        <f>(B895*C895*D895-B882*C882*D882)*(E895-E886)*F895</f>
        <v>59904000</v>
      </c>
      <c r="H895" s="118">
        <f t="shared" si="168"/>
        <v>5.7435897435897436</v>
      </c>
      <c r="I895" s="100">
        <v>5</v>
      </c>
      <c r="J895" s="119">
        <f t="shared" si="172"/>
        <v>0.87053571428571419</v>
      </c>
      <c r="K895" s="120">
        <f t="shared" si="173"/>
        <v>0.17410714285714285</v>
      </c>
    </row>
    <row r="896" spans="1:11" x14ac:dyDescent="0.3">
      <c r="A896" s="116" t="s">
        <v>273</v>
      </c>
      <c r="B896" s="129">
        <f>'Free Spins Symbol'!$V$18</f>
        <v>100</v>
      </c>
      <c r="C896" s="117">
        <f>VLOOKUP(MID($A896,4,2),'Free Spins Symbol'!$T$2:$Z$29,4,0)</f>
        <v>2</v>
      </c>
      <c r="D896" s="129">
        <f>'Free Spins Symbol'!$X$18</f>
        <v>40</v>
      </c>
      <c r="E896" s="117">
        <f>VLOOKUP(MID($A896,10,2),'Free Spins Symbol'!$T$2:$Z$29,6,0)</f>
        <v>32</v>
      </c>
      <c r="F896" s="129">
        <f>'Free Spins Symbol'!$Z$18</f>
        <v>48</v>
      </c>
      <c r="G896" s="100">
        <f>(B896*C896*D896-B882*C882*D882)*(E896-E887)*F896</f>
        <v>9600000</v>
      </c>
      <c r="H896" s="118">
        <f t="shared" si="168"/>
        <v>35.840000000000003</v>
      </c>
      <c r="I896" s="100">
        <v>5</v>
      </c>
      <c r="J896" s="119">
        <f t="shared" si="172"/>
        <v>0.13950892857142858</v>
      </c>
      <c r="K896" s="120">
        <f t="shared" si="173"/>
        <v>2.7901785714285716E-2</v>
      </c>
    </row>
    <row r="897" spans="1:13" x14ac:dyDescent="0.3">
      <c r="A897" s="116" t="s">
        <v>274</v>
      </c>
      <c r="B897" s="129">
        <f>'Free Spins Symbol'!$V$18</f>
        <v>100</v>
      </c>
      <c r="C897" s="117">
        <f>VLOOKUP(MID($A897,4,2),'Free Spins Symbol'!$T$2:$Z$29,4,0)</f>
        <v>0</v>
      </c>
      <c r="D897" s="129">
        <f>'Free Spins Symbol'!$X$18</f>
        <v>40</v>
      </c>
      <c r="E897" s="117">
        <f>VLOOKUP(MID($A897,10,2),'Free Spins Symbol'!$T$2:$Z$29,6,0)</f>
        <v>32</v>
      </c>
      <c r="F897" s="129">
        <f>'Free Spins Symbol'!$Z$18</f>
        <v>48</v>
      </c>
      <c r="G897" s="100">
        <f>B897*C897*(D897-D882)*E897*F897</f>
        <v>0</v>
      </c>
      <c r="H897" s="118" t="e">
        <f t="shared" si="168"/>
        <v>#DIV/0!</v>
      </c>
      <c r="I897" s="100">
        <v>5</v>
      </c>
      <c r="J897" s="119">
        <f t="shared" si="172"/>
        <v>0</v>
      </c>
      <c r="K897" s="120">
        <f t="shared" si="173"/>
        <v>0</v>
      </c>
    </row>
    <row r="898" spans="1:13" x14ac:dyDescent="0.3">
      <c r="A898" s="116" t="s">
        <v>275</v>
      </c>
      <c r="B898" s="129">
        <f>'Free Spins Symbol'!$V$18</f>
        <v>100</v>
      </c>
      <c r="C898" s="117">
        <f>VLOOKUP(MID($A898,4,2),'Free Spins Symbol'!$T$2:$Z$29,4,0)</f>
        <v>2</v>
      </c>
      <c r="D898" s="129">
        <f>'Free Spins Symbol'!$X$18</f>
        <v>40</v>
      </c>
      <c r="E898" s="117">
        <f>VLOOKUP(MID($A898,10,2),'Free Spins Symbol'!$T$2:$Z$29,6,0)</f>
        <v>32</v>
      </c>
      <c r="F898" s="129">
        <f>'Free Spins Symbol'!$Z$18</f>
        <v>48</v>
      </c>
      <c r="G898" s="100">
        <f t="shared" ref="G898:G901" si="175">B898*C898*(D898-D888)*E898*F898</f>
        <v>0</v>
      </c>
      <c r="H898" s="118" t="e">
        <f t="shared" si="168"/>
        <v>#DIV/0!</v>
      </c>
      <c r="I898" s="100">
        <v>5</v>
      </c>
      <c r="J898" s="119">
        <f t="shared" si="172"/>
        <v>0</v>
      </c>
      <c r="K898" s="120">
        <f t="shared" si="173"/>
        <v>0</v>
      </c>
    </row>
    <row r="899" spans="1:13" x14ac:dyDescent="0.3">
      <c r="A899" s="116" t="s">
        <v>276</v>
      </c>
      <c r="B899" s="129">
        <f>'Free Spins Symbol'!$V$18</f>
        <v>100</v>
      </c>
      <c r="C899" s="117">
        <f>VLOOKUP(MID($A899,4,2),'Free Spins Symbol'!$T$2:$Z$29,4,0)</f>
        <v>2</v>
      </c>
      <c r="D899" s="129">
        <f>'Free Spins Symbol'!$X$18</f>
        <v>40</v>
      </c>
      <c r="E899" s="117">
        <f>VLOOKUP(MID($A899,10,2),'Free Spins Symbol'!$T$2:$Z$29,6,0)</f>
        <v>32</v>
      </c>
      <c r="F899" s="129">
        <f>'Free Spins Symbol'!$Z$18</f>
        <v>48</v>
      </c>
      <c r="G899" s="100">
        <f t="shared" si="175"/>
        <v>0</v>
      </c>
      <c r="H899" s="118" t="e">
        <f t="shared" si="168"/>
        <v>#DIV/0!</v>
      </c>
      <c r="I899" s="100">
        <v>5</v>
      </c>
      <c r="J899" s="119">
        <f t="shared" si="172"/>
        <v>0</v>
      </c>
      <c r="K899" s="120">
        <f t="shared" si="173"/>
        <v>0</v>
      </c>
    </row>
    <row r="900" spans="1:13" x14ac:dyDescent="0.3">
      <c r="A900" s="116" t="s">
        <v>277</v>
      </c>
      <c r="B900" s="129">
        <f>'Free Spins Symbol'!$V$18</f>
        <v>100</v>
      </c>
      <c r="C900" s="117">
        <f>VLOOKUP(MID($A900,4,2),'Free Spins Symbol'!$T$2:$Z$29,4,0)</f>
        <v>4</v>
      </c>
      <c r="D900" s="129">
        <f>'Free Spins Symbol'!$X$18</f>
        <v>40</v>
      </c>
      <c r="E900" s="117">
        <f>VLOOKUP(MID($A900,10,2),'Free Spins Symbol'!$T$2:$Z$29,6,0)</f>
        <v>32</v>
      </c>
      <c r="F900" s="129">
        <f>'Free Spins Symbol'!$Z$18</f>
        <v>48</v>
      </c>
      <c r="G900" s="100">
        <f t="shared" si="175"/>
        <v>0</v>
      </c>
      <c r="H900" s="118" t="e">
        <f t="shared" si="168"/>
        <v>#DIV/0!</v>
      </c>
      <c r="I900" s="100">
        <v>5</v>
      </c>
      <c r="J900" s="119">
        <f t="shared" si="172"/>
        <v>0</v>
      </c>
      <c r="K900" s="120">
        <f t="shared" si="173"/>
        <v>0</v>
      </c>
    </row>
    <row r="901" spans="1:13" x14ac:dyDescent="0.3">
      <c r="A901" s="116" t="s">
        <v>278</v>
      </c>
      <c r="B901" s="129">
        <f>'Free Spins Symbol'!$V$18</f>
        <v>100</v>
      </c>
      <c r="C901" s="117">
        <f>VLOOKUP(MID($A901,4,2),'Free Spins Symbol'!$T$2:$Z$29,4,0)</f>
        <v>4</v>
      </c>
      <c r="D901" s="129">
        <f>'Free Spins Symbol'!$X$18</f>
        <v>40</v>
      </c>
      <c r="E901" s="117">
        <f>VLOOKUP(MID($A901,10,2),'Free Spins Symbol'!$T$2:$Z$29,6,0)</f>
        <v>32</v>
      </c>
      <c r="F901" s="129">
        <f>'Free Spins Symbol'!$Z$18</f>
        <v>48</v>
      </c>
      <c r="G901" s="100">
        <f t="shared" si="175"/>
        <v>0</v>
      </c>
      <c r="H901" s="118" t="e">
        <f t="shared" si="168"/>
        <v>#DIV/0!</v>
      </c>
      <c r="I901" s="100">
        <v>5</v>
      </c>
      <c r="J901" s="119">
        <f t="shared" si="172"/>
        <v>0</v>
      </c>
      <c r="K901" s="120">
        <f t="shared" si="173"/>
        <v>0</v>
      </c>
    </row>
    <row r="902" spans="1:13" x14ac:dyDescent="0.3">
      <c r="A902" s="122" t="s">
        <v>279</v>
      </c>
      <c r="B902" s="117">
        <f>VLOOKUP(MID($A902,1,2),'Free Spins Symbol'!$T$2:$Z$29,3,0)</f>
        <v>100</v>
      </c>
      <c r="C902" s="117">
        <f>VLOOKUP(MID($A902,4,2),'Free Spins Symbol'!$T$2:$Z$29,4,0)</f>
        <v>8</v>
      </c>
      <c r="D902" s="117">
        <f>VLOOKUP(MID($A902,7,2),'Free Spins Symbol'!$T$2:$Z$29,5,0)</f>
        <v>4</v>
      </c>
      <c r="E902" s="117">
        <f>VLOOKUP(MID($A902,10,2),'Free Spins Symbol'!$T$2:$Z$29,6,0)</f>
        <v>16</v>
      </c>
      <c r="F902" s="117">
        <f>VLOOKUP(MID($A902,13,2),'Free Spins Symbol'!$T$2:$Z$29,7,0)</f>
        <v>48</v>
      </c>
      <c r="G902" s="100">
        <f>B902*C902*D902*E902*F902</f>
        <v>2457600</v>
      </c>
      <c r="H902" s="118">
        <f t="shared" si="168"/>
        <v>140</v>
      </c>
      <c r="I902" s="123">
        <v>2</v>
      </c>
      <c r="J902" s="124">
        <f t="shared" si="172"/>
        <v>1.4285714285714285E-2</v>
      </c>
      <c r="K902" s="120">
        <f t="shared" si="173"/>
        <v>7.1428571428571426E-3</v>
      </c>
    </row>
    <row r="904" spans="1:13" ht="16.8" thickBot="1" x14ac:dyDescent="0.35"/>
    <row r="905" spans="1:13" ht="16.8" thickBot="1" x14ac:dyDescent="0.35">
      <c r="A905" s="125" t="s">
        <v>314</v>
      </c>
    </row>
    <row r="906" spans="1:13" ht="16.8" thickBot="1" x14ac:dyDescent="0.35">
      <c r="A906" s="95" t="s">
        <v>280</v>
      </c>
      <c r="B906" s="142">
        <f>B2</f>
        <v>344064000</v>
      </c>
      <c r="C906" s="142"/>
      <c r="D906" s="142"/>
      <c r="E906" s="142"/>
      <c r="F906" s="142"/>
      <c r="G906" s="7"/>
      <c r="H906" s="106"/>
      <c r="I906" s="107" t="s">
        <v>281</v>
      </c>
      <c r="J906" s="108">
        <f>SUM(J908:J942)</f>
        <v>33.521875000000001</v>
      </c>
      <c r="K906" s="126">
        <f>SUM(K908:K942)</f>
        <v>0.97750000000000004</v>
      </c>
      <c r="M906">
        <v>100000000</v>
      </c>
    </row>
    <row r="907" spans="1:13" ht="33" thickBot="1" x14ac:dyDescent="0.35">
      <c r="A907" s="109" t="s">
        <v>233</v>
      </c>
      <c r="B907" s="110" t="s">
        <v>234</v>
      </c>
      <c r="C907" s="110" t="s">
        <v>235</v>
      </c>
      <c r="D907" s="110" t="s">
        <v>236</v>
      </c>
      <c r="E907" s="110" t="s">
        <v>237</v>
      </c>
      <c r="F907" s="110" t="s">
        <v>238</v>
      </c>
      <c r="G907" s="111" t="s">
        <v>239</v>
      </c>
      <c r="H907" s="112" t="s">
        <v>240</v>
      </c>
      <c r="I907" s="113" t="s">
        <v>241</v>
      </c>
      <c r="J907" s="114" t="s">
        <v>242</v>
      </c>
      <c r="K907" s="115" t="s">
        <v>243</v>
      </c>
      <c r="M907" s="143">
        <f>SUM(M908:M942)</f>
        <v>0.97753245</v>
      </c>
    </row>
    <row r="908" spans="1:13" x14ac:dyDescent="0.3">
      <c r="A908" s="116" t="s">
        <v>244</v>
      </c>
      <c r="B908" s="117">
        <f>VLOOKUP(MID($A908,1,2),'Free Spins Symbol'!$T$2:$Z$29,3,0)</f>
        <v>18</v>
      </c>
      <c r="C908" s="129">
        <f>'Free Spins Symbol'!$W$18</f>
        <v>56</v>
      </c>
      <c r="D908" s="129">
        <f>'Free Spins Symbol'!$X$18</f>
        <v>40</v>
      </c>
      <c r="E908" s="117">
        <f>VLOOKUP(MID($A908,10,2),'Free Spins Symbol'!$T$2:$Z$29,6,0)</f>
        <v>0</v>
      </c>
      <c r="F908" s="129">
        <f>'Free Spins Symbol'!$Z$18</f>
        <v>48</v>
      </c>
      <c r="G908" s="100">
        <f>B908*C908*D908*E908*F908</f>
        <v>0</v>
      </c>
      <c r="H908" s="118" t="e">
        <f>B$2/G908</f>
        <v>#DIV/0!</v>
      </c>
      <c r="I908" s="100">
        <v>500</v>
      </c>
      <c r="J908" s="119">
        <f t="shared" ref="J908:J912" si="176">K908*I908</f>
        <v>0</v>
      </c>
      <c r="K908" s="120">
        <f>G908/B$2</f>
        <v>0</v>
      </c>
      <c r="M908" s="146"/>
    </row>
    <row r="909" spans="1:13" x14ac:dyDescent="0.3">
      <c r="A909" s="116" t="s">
        <v>245</v>
      </c>
      <c r="B909" s="117">
        <f>VLOOKUP(MID($A909,1,2),'Free Spins Symbol'!$T$2:$Z$29,3,0)</f>
        <v>20</v>
      </c>
      <c r="C909" s="129">
        <f>'Free Spins Symbol'!$W$18</f>
        <v>56</v>
      </c>
      <c r="D909" s="129">
        <f>'Free Spins Symbol'!$X$18</f>
        <v>40</v>
      </c>
      <c r="E909" s="117">
        <f>VLOOKUP(MID($A909,10,2),'Free Spins Symbol'!$T$2:$Z$29,6,0)</f>
        <v>1</v>
      </c>
      <c r="F909" s="129">
        <f>'Free Spins Symbol'!$Z$18</f>
        <v>48</v>
      </c>
      <c r="G909" s="100">
        <f>B909*C909*D909*E909*F909-G908</f>
        <v>2150400</v>
      </c>
      <c r="H909" s="118">
        <f t="shared" ref="H909:H943" si="177">B$2/G909</f>
        <v>160</v>
      </c>
      <c r="I909" s="100">
        <v>250</v>
      </c>
      <c r="J909" s="119">
        <f t="shared" si="176"/>
        <v>1.5625</v>
      </c>
      <c r="K909" s="120">
        <f t="shared" ref="K909:K912" si="178">G909/B$2</f>
        <v>6.2500000000000003E-3</v>
      </c>
      <c r="M909" s="146">
        <f>625403/$M$906</f>
        <v>6.2540299999999998E-3</v>
      </c>
    </row>
    <row r="910" spans="1:13" x14ac:dyDescent="0.3">
      <c r="A910" s="116" t="s">
        <v>246</v>
      </c>
      <c r="B910" s="117">
        <f>VLOOKUP(MID($A910,1,2),'Free Spins Symbol'!$T$2:$Z$29,3,0)</f>
        <v>22</v>
      </c>
      <c r="C910" s="129">
        <f>'Free Spins Symbol'!$W$18</f>
        <v>56</v>
      </c>
      <c r="D910" s="129">
        <f>'Free Spins Symbol'!$X$18</f>
        <v>40</v>
      </c>
      <c r="E910" s="117">
        <f>VLOOKUP(MID($A910,10,2),'Free Spins Symbol'!$T$2:$Z$29,6,0)</f>
        <v>1</v>
      </c>
      <c r="F910" s="129">
        <f>'Free Spins Symbol'!$Z$18</f>
        <v>48</v>
      </c>
      <c r="G910" s="100">
        <f>B910*C910*D910*E910*F910-G908</f>
        <v>2365440</v>
      </c>
      <c r="H910" s="118">
        <f t="shared" si="177"/>
        <v>145.45454545454547</v>
      </c>
      <c r="I910" s="100">
        <v>250</v>
      </c>
      <c r="J910" s="119">
        <f t="shared" si="176"/>
        <v>1.71875</v>
      </c>
      <c r="K910" s="120">
        <f t="shared" si="178"/>
        <v>6.875E-3</v>
      </c>
      <c r="M910" s="146">
        <f>687207/$M$906</f>
        <v>6.8720700000000001E-3</v>
      </c>
    </row>
    <row r="911" spans="1:13" x14ac:dyDescent="0.3">
      <c r="A911" s="116" t="s">
        <v>247</v>
      </c>
      <c r="B911" s="117">
        <f>VLOOKUP(MID($A911,1,2),'Free Spins Symbol'!$T$2:$Z$29,3,0)</f>
        <v>24</v>
      </c>
      <c r="C911" s="129">
        <f>'Free Spins Symbol'!$W$18</f>
        <v>56</v>
      </c>
      <c r="D911" s="129">
        <f>'Free Spins Symbol'!$X$18</f>
        <v>40</v>
      </c>
      <c r="E911" s="117">
        <f>VLOOKUP(MID($A911,10,2),'Free Spins Symbol'!$T$2:$Z$29,6,0)</f>
        <v>1</v>
      </c>
      <c r="F911" s="129">
        <f>'Free Spins Symbol'!$Z$18</f>
        <v>48</v>
      </c>
      <c r="G911" s="100">
        <f>B911*C911*D911*E911*F911-G908</f>
        <v>2580480</v>
      </c>
      <c r="H911" s="118">
        <f t="shared" si="177"/>
        <v>133.33333333333334</v>
      </c>
      <c r="I911" s="100">
        <v>150</v>
      </c>
      <c r="J911" s="119">
        <f t="shared" si="176"/>
        <v>1.125</v>
      </c>
      <c r="K911" s="120">
        <f t="shared" si="178"/>
        <v>7.4999999999999997E-3</v>
      </c>
      <c r="M911" s="146">
        <f>749436/$M$906</f>
        <v>7.4943600000000003E-3</v>
      </c>
    </row>
    <row r="912" spans="1:13" x14ac:dyDescent="0.3">
      <c r="A912" s="116" t="s">
        <v>248</v>
      </c>
      <c r="B912" s="117">
        <f>VLOOKUP(MID($A912,1,2),'Free Spins Symbol'!$T$2:$Z$29,3,0)</f>
        <v>24</v>
      </c>
      <c r="C912" s="129">
        <f>'Free Spins Symbol'!$W$18</f>
        <v>56</v>
      </c>
      <c r="D912" s="129">
        <f>'Free Spins Symbol'!$X$18</f>
        <v>40</v>
      </c>
      <c r="E912" s="117">
        <f>VLOOKUP(MID($A912,10,2),'Free Spins Symbol'!$T$2:$Z$29,6,0)</f>
        <v>1</v>
      </c>
      <c r="F912" s="129">
        <f>'Free Spins Symbol'!$Z$18</f>
        <v>48</v>
      </c>
      <c r="G912" s="100">
        <f>B912*C912*D912*E912*F912-G908</f>
        <v>2580480</v>
      </c>
      <c r="H912" s="118">
        <f t="shared" si="177"/>
        <v>133.33333333333334</v>
      </c>
      <c r="I912" s="100">
        <v>150</v>
      </c>
      <c r="J912" s="119">
        <f t="shared" si="176"/>
        <v>1.125</v>
      </c>
      <c r="K912" s="120">
        <f t="shared" si="178"/>
        <v>7.4999999999999997E-3</v>
      </c>
      <c r="M912" s="146">
        <f>750095/$M$906</f>
        <v>7.5009500000000002E-3</v>
      </c>
    </row>
    <row r="913" spans="1:13" x14ac:dyDescent="0.3">
      <c r="A913" s="116" t="s">
        <v>254</v>
      </c>
      <c r="B913" s="117">
        <f>VLOOKUP(MID($A913,1,2),'Free Spins Symbol'!$T$2:$Z$29,3,0)</f>
        <v>18</v>
      </c>
      <c r="C913" s="129">
        <f>'Free Spins Symbol'!$W$18</f>
        <v>56</v>
      </c>
      <c r="D913" s="129">
        <f>'Free Spins Symbol'!$X$18</f>
        <v>40</v>
      </c>
      <c r="E913" s="117">
        <f>VLOOKUP(MID($A913,10,2),'Free Spins Symbol'!$T$2:$Z$29,6,0)</f>
        <v>0</v>
      </c>
      <c r="F913" s="129">
        <f>'Free Spins Symbol'!$Z$18</f>
        <v>48</v>
      </c>
      <c r="G913" s="100">
        <f>B913*C913*D913*E913*(F913-F912-F911-F910-F909+3*F908)</f>
        <v>0</v>
      </c>
      <c r="H913" s="118" t="e">
        <f t="shared" si="177"/>
        <v>#DIV/0!</v>
      </c>
      <c r="I913" s="100">
        <v>100</v>
      </c>
      <c r="J913" s="119">
        <f>K913*I913</f>
        <v>0</v>
      </c>
      <c r="K913" s="120">
        <f>G913/B$2</f>
        <v>0</v>
      </c>
      <c r="M913" s="146"/>
    </row>
    <row r="914" spans="1:13" x14ac:dyDescent="0.3">
      <c r="A914" s="116" t="s">
        <v>249</v>
      </c>
      <c r="B914" s="117">
        <f>VLOOKUP(MID($A914,1,2),'Free Spins Symbol'!$T$2:$Z$29,3,0)</f>
        <v>38</v>
      </c>
      <c r="C914" s="129">
        <f>'Free Spins Symbol'!$W$18</f>
        <v>56</v>
      </c>
      <c r="D914" s="129">
        <f>'Free Spins Symbol'!$X$18</f>
        <v>40</v>
      </c>
      <c r="E914" s="117">
        <f>VLOOKUP(MID($A914,10,2),'Free Spins Symbol'!$T$2:$Z$29,6,0)</f>
        <v>7</v>
      </c>
      <c r="F914" s="129">
        <f>'Free Spins Symbol'!$Z$18</f>
        <v>48</v>
      </c>
      <c r="G914" s="100">
        <f>B914*C914*D914*E914*F914-G908</f>
        <v>28600320</v>
      </c>
      <c r="H914" s="118">
        <f t="shared" si="177"/>
        <v>12.030075187969924</v>
      </c>
      <c r="I914" s="100">
        <v>100</v>
      </c>
      <c r="J914" s="119">
        <f t="shared" ref="J914:J922" si="179">K914*I914</f>
        <v>8.3125</v>
      </c>
      <c r="K914" s="120">
        <f t="shared" ref="K914:K922" si="180">G914/B$2</f>
        <v>8.3125000000000004E-2</v>
      </c>
      <c r="M914" s="146">
        <f>8315555/$M$906</f>
        <v>8.3155549999999995E-2</v>
      </c>
    </row>
    <row r="915" spans="1:13" x14ac:dyDescent="0.3">
      <c r="A915" s="116" t="s">
        <v>250</v>
      </c>
      <c r="B915" s="117">
        <f>VLOOKUP(MID($A915,1,2),'Free Spins Symbol'!$T$2:$Z$29,3,0)</f>
        <v>35</v>
      </c>
      <c r="C915" s="129">
        <f>'Free Spins Symbol'!$W$18</f>
        <v>56</v>
      </c>
      <c r="D915" s="129">
        <f>'Free Spins Symbol'!$X$18</f>
        <v>40</v>
      </c>
      <c r="E915" s="117">
        <f>VLOOKUP(MID($A915,10,2),'Free Spins Symbol'!$T$2:$Z$29,6,0)</f>
        <v>1</v>
      </c>
      <c r="F915" s="129">
        <f>'Free Spins Symbol'!$Z$18</f>
        <v>48</v>
      </c>
      <c r="G915" s="100">
        <f>B915*C915*D915*E915*F915-G908</f>
        <v>3763200</v>
      </c>
      <c r="H915" s="118">
        <f t="shared" si="177"/>
        <v>91.428571428571431</v>
      </c>
      <c r="I915" s="100">
        <v>100</v>
      </c>
      <c r="J915" s="119">
        <f t="shared" si="179"/>
        <v>1.09375</v>
      </c>
      <c r="K915" s="120">
        <f t="shared" si="180"/>
        <v>1.0937499999999999E-2</v>
      </c>
      <c r="M915" s="146">
        <f>1092821/$M$906</f>
        <v>1.0928210000000001E-2</v>
      </c>
    </row>
    <row r="916" spans="1:13" x14ac:dyDescent="0.3">
      <c r="A916" s="116" t="s">
        <v>251</v>
      </c>
      <c r="B916" s="117">
        <f>VLOOKUP(MID($A916,1,2),'Free Spins Symbol'!$T$2:$Z$29,3,0)</f>
        <v>28</v>
      </c>
      <c r="C916" s="129">
        <f>'Free Spins Symbol'!$W$18</f>
        <v>56</v>
      </c>
      <c r="D916" s="129">
        <f>'Free Spins Symbol'!$X$18</f>
        <v>40</v>
      </c>
      <c r="E916" s="117">
        <f>VLOOKUP(MID($A916,10,2),'Free Spins Symbol'!$T$2:$Z$29,6,0)</f>
        <v>1</v>
      </c>
      <c r="F916" s="129">
        <f>'Free Spins Symbol'!$Z$18</f>
        <v>48</v>
      </c>
      <c r="G916" s="100">
        <f>B916*C916*D916*E916*F916-G908</f>
        <v>3010560</v>
      </c>
      <c r="H916" s="118">
        <f t="shared" si="177"/>
        <v>114.28571428571429</v>
      </c>
      <c r="I916" s="100">
        <v>100</v>
      </c>
      <c r="J916" s="119">
        <f t="shared" si="179"/>
        <v>0.87500000000000011</v>
      </c>
      <c r="K916" s="120">
        <f t="shared" si="180"/>
        <v>8.7500000000000008E-3</v>
      </c>
      <c r="M916" s="146">
        <f>873058/$M$906</f>
        <v>8.7305799999999999E-3</v>
      </c>
    </row>
    <row r="917" spans="1:13" x14ac:dyDescent="0.3">
      <c r="A917" s="116" t="s">
        <v>252</v>
      </c>
      <c r="B917" s="117">
        <f>VLOOKUP(MID($A917,1,2),'Free Spins Symbol'!$T$2:$Z$29,3,0)</f>
        <v>34</v>
      </c>
      <c r="C917" s="129">
        <f>'Free Spins Symbol'!$W$18</f>
        <v>56</v>
      </c>
      <c r="D917" s="129">
        <f>'Free Spins Symbol'!$X$18</f>
        <v>40</v>
      </c>
      <c r="E917" s="117">
        <f>VLOOKUP(MID($A917,10,2),'Free Spins Symbol'!$T$2:$Z$29,6,0)</f>
        <v>8</v>
      </c>
      <c r="F917" s="129">
        <f>'Free Spins Symbol'!$Z$18</f>
        <v>48</v>
      </c>
      <c r="G917" s="100">
        <f>(B917*C917*D917*E917)*F917-G908</f>
        <v>29245440</v>
      </c>
      <c r="H917" s="118">
        <f t="shared" si="177"/>
        <v>11.764705882352942</v>
      </c>
      <c r="I917" s="100">
        <v>100</v>
      </c>
      <c r="J917" s="119">
        <f t="shared" si="179"/>
        <v>8.5</v>
      </c>
      <c r="K917" s="120">
        <f t="shared" si="180"/>
        <v>8.5000000000000006E-2</v>
      </c>
      <c r="M917" s="146">
        <f>8501784/$M$906</f>
        <v>8.5017839999999997E-2</v>
      </c>
    </row>
    <row r="918" spans="1:13" x14ac:dyDescent="0.3">
      <c r="A918" s="116" t="s">
        <v>253</v>
      </c>
      <c r="B918" s="117">
        <f>VLOOKUP(MID($A918,1,2),'Free Spins Symbol'!$T$2:$Z$29,3,0)</f>
        <v>19</v>
      </c>
      <c r="C918" s="129">
        <f>'Free Spins Symbol'!$W$18</f>
        <v>56</v>
      </c>
      <c r="D918" s="129">
        <f>'Free Spins Symbol'!$X$18</f>
        <v>40</v>
      </c>
      <c r="E918" s="117">
        <f>VLOOKUP(MID($A918,10,2),'Free Spins Symbol'!$T$2:$Z$29,6,0)</f>
        <v>7</v>
      </c>
      <c r="F918" s="129">
        <f>'Free Spins Symbol'!$Z$18</f>
        <v>48</v>
      </c>
      <c r="G918" s="100">
        <f>B918*C918*D918*E918*F918-G908</f>
        <v>14300160</v>
      </c>
      <c r="H918" s="118">
        <f t="shared" si="177"/>
        <v>24.060150375939848</v>
      </c>
      <c r="I918" s="100">
        <v>100</v>
      </c>
      <c r="J918" s="119">
        <f t="shared" si="179"/>
        <v>4.15625</v>
      </c>
      <c r="K918" s="120">
        <f t="shared" si="180"/>
        <v>4.1562500000000002E-2</v>
      </c>
      <c r="M918" s="146">
        <f>4155419/$M$906</f>
        <v>4.1554189999999998E-2</v>
      </c>
    </row>
    <row r="919" spans="1:13" x14ac:dyDescent="0.3">
      <c r="A919" s="116" t="s">
        <v>255</v>
      </c>
      <c r="B919" s="117">
        <f>VLOOKUP(MID($A919,1,2),'Free Spins Symbol'!$T$2:$Z$29,3,0)</f>
        <v>20</v>
      </c>
      <c r="C919" s="129">
        <f>'Free Spins Symbol'!$W$18</f>
        <v>56</v>
      </c>
      <c r="D919" s="129">
        <f>'Free Spins Symbol'!$X$18</f>
        <v>40</v>
      </c>
      <c r="E919" s="117">
        <f>VLOOKUP(MID($A919,10,2),'Free Spins Symbol'!$T$2:$Z$29,6,0)</f>
        <v>1</v>
      </c>
      <c r="F919" s="129">
        <f>'Free Spins Symbol'!$Z$18</f>
        <v>48</v>
      </c>
      <c r="G919" s="100">
        <f>(B919*C919*D919*E919-B913*C913*D913*E913)*(F919-F909)</f>
        <v>0</v>
      </c>
      <c r="H919" s="118" t="e">
        <f t="shared" si="177"/>
        <v>#DIV/0!</v>
      </c>
      <c r="I919" s="100">
        <v>50</v>
      </c>
      <c r="J919" s="119">
        <f t="shared" si="179"/>
        <v>0</v>
      </c>
      <c r="K919" s="120">
        <f t="shared" si="180"/>
        <v>0</v>
      </c>
    </row>
    <row r="920" spans="1:13" x14ac:dyDescent="0.3">
      <c r="A920" s="116" t="s">
        <v>256</v>
      </c>
      <c r="B920" s="117">
        <f>VLOOKUP(MID($A920,1,2),'Free Spins Symbol'!$T$2:$Z$29,3,0)</f>
        <v>22</v>
      </c>
      <c r="C920" s="129">
        <f>'Free Spins Symbol'!$W$18</f>
        <v>56</v>
      </c>
      <c r="D920" s="129">
        <f>'Free Spins Symbol'!$X$18</f>
        <v>40</v>
      </c>
      <c r="E920" s="117">
        <f>VLOOKUP(MID($A920,10,2),'Free Spins Symbol'!$T$2:$Z$29,6,0)</f>
        <v>1</v>
      </c>
      <c r="F920" s="129">
        <f>'Free Spins Symbol'!$Z$18</f>
        <v>48</v>
      </c>
      <c r="G920" s="100">
        <f>(B920*C920*D920*E920-B913*C913*D913*E913)*(F920-F910)</f>
        <v>0</v>
      </c>
      <c r="H920" s="118" t="e">
        <f t="shared" si="177"/>
        <v>#DIV/0!</v>
      </c>
      <c r="I920" s="100">
        <v>50</v>
      </c>
      <c r="J920" s="119">
        <f t="shared" si="179"/>
        <v>0</v>
      </c>
      <c r="K920" s="120">
        <f t="shared" si="180"/>
        <v>0</v>
      </c>
    </row>
    <row r="921" spans="1:13" x14ac:dyDescent="0.3">
      <c r="A921" s="116" t="s">
        <v>257</v>
      </c>
      <c r="B921" s="117">
        <f>VLOOKUP(MID($A921,1,2),'Free Spins Symbol'!$T$2:$Z$29,3,0)</f>
        <v>24</v>
      </c>
      <c r="C921" s="129">
        <f>'Free Spins Symbol'!$W$18</f>
        <v>56</v>
      </c>
      <c r="D921" s="129">
        <f>'Free Spins Symbol'!$X$18</f>
        <v>40</v>
      </c>
      <c r="E921" s="117">
        <f>VLOOKUP(MID($A921,10,2),'Free Spins Symbol'!$T$2:$Z$29,6,0)</f>
        <v>1</v>
      </c>
      <c r="F921" s="129">
        <f>'Free Spins Symbol'!$Z$18</f>
        <v>48</v>
      </c>
      <c r="G921" s="100">
        <f>(B921*C921*D921*E921-B913*C913*D913*E913)*(F921-F911)</f>
        <v>0</v>
      </c>
      <c r="H921" s="118" t="e">
        <f t="shared" si="177"/>
        <v>#DIV/0!</v>
      </c>
      <c r="I921" s="100">
        <v>30</v>
      </c>
      <c r="J921" s="119">
        <f t="shared" si="179"/>
        <v>0</v>
      </c>
      <c r="K921" s="120">
        <f t="shared" si="180"/>
        <v>0</v>
      </c>
    </row>
    <row r="922" spans="1:13" x14ac:dyDescent="0.3">
      <c r="A922" s="116" t="s">
        <v>258</v>
      </c>
      <c r="B922" s="117">
        <f>VLOOKUP(MID($A922,1,2),'Free Spins Symbol'!$T$2:$Z$29,3,0)</f>
        <v>24</v>
      </c>
      <c r="C922" s="129">
        <f>'Free Spins Symbol'!$W$18</f>
        <v>56</v>
      </c>
      <c r="D922" s="129">
        <f>'Free Spins Symbol'!$X$18</f>
        <v>40</v>
      </c>
      <c r="E922" s="117">
        <f>VLOOKUP(MID($A922,10,2),'Free Spins Symbol'!$T$2:$Z$29,6,0)</f>
        <v>1</v>
      </c>
      <c r="F922" s="129">
        <f>'Free Spins Symbol'!$Z$18</f>
        <v>48</v>
      </c>
      <c r="G922" s="100">
        <f>(B922*C922*D922*E922-B913*C913*D913*E913)*(F922-F912)</f>
        <v>0</v>
      </c>
      <c r="H922" s="118" t="e">
        <f t="shared" si="177"/>
        <v>#DIV/0!</v>
      </c>
      <c r="I922" s="100">
        <v>30</v>
      </c>
      <c r="J922" s="119">
        <f t="shared" si="179"/>
        <v>0</v>
      </c>
      <c r="K922" s="120">
        <f t="shared" si="180"/>
        <v>0</v>
      </c>
    </row>
    <row r="923" spans="1:13" x14ac:dyDescent="0.3">
      <c r="A923" s="116" t="s">
        <v>264</v>
      </c>
      <c r="B923" s="117">
        <f>VLOOKUP(MID($A923,1,2),'Free Spins Symbol'!$T$2:$Z$29,3,0)</f>
        <v>18</v>
      </c>
      <c r="C923" s="129">
        <f>'Free Spins Symbol'!$W$18</f>
        <v>56</v>
      </c>
      <c r="D923" s="129">
        <f>'Free Spins Symbol'!$X$18</f>
        <v>40</v>
      </c>
      <c r="E923" s="117">
        <f>VLOOKUP(MID($A923,10,2),'Free Spins Symbol'!$T$2:$Z$29,6,0)</f>
        <v>32</v>
      </c>
      <c r="F923" s="129">
        <f>'Free Spins Symbol'!$Z$18</f>
        <v>48</v>
      </c>
      <c r="G923" s="100">
        <v>0</v>
      </c>
      <c r="H923" s="118" t="e">
        <f t="shared" si="177"/>
        <v>#DIV/0!</v>
      </c>
      <c r="I923" s="100">
        <v>20</v>
      </c>
      <c r="J923" s="119">
        <f>K923*I923</f>
        <v>0</v>
      </c>
      <c r="K923" s="120">
        <f>G923/B$2</f>
        <v>0</v>
      </c>
    </row>
    <row r="924" spans="1:13" x14ac:dyDescent="0.3">
      <c r="A924" s="116" t="s">
        <v>259</v>
      </c>
      <c r="B924" s="117">
        <f>VLOOKUP(MID($A924,1,2),'Free Spins Symbol'!$T$2:$Z$29,3,0)</f>
        <v>38</v>
      </c>
      <c r="C924" s="129">
        <f>'Free Spins Symbol'!$W$18</f>
        <v>56</v>
      </c>
      <c r="D924" s="129">
        <f>'Free Spins Symbol'!$X$18</f>
        <v>40</v>
      </c>
      <c r="E924" s="117">
        <f>VLOOKUP(MID($A924,10,2),'Free Spins Symbol'!$T$2:$Z$29,6,0)</f>
        <v>7</v>
      </c>
      <c r="F924" s="129">
        <f>'Free Spins Symbol'!$Z$18</f>
        <v>48</v>
      </c>
      <c r="G924" s="100">
        <f>(B924*C924*D924*E924-B913*C913*D913*E913)*(F924-F914)</f>
        <v>0</v>
      </c>
      <c r="H924" s="118" t="e">
        <f t="shared" si="177"/>
        <v>#DIV/0!</v>
      </c>
      <c r="I924" s="100">
        <v>20</v>
      </c>
      <c r="J924" s="119">
        <f t="shared" ref="J924:J943" si="181">K924*I924</f>
        <v>0</v>
      </c>
      <c r="K924" s="120">
        <f t="shared" ref="K924:K943" si="182">G924/B$2</f>
        <v>0</v>
      </c>
    </row>
    <row r="925" spans="1:13" x14ac:dyDescent="0.3">
      <c r="A925" s="116" t="s">
        <v>260</v>
      </c>
      <c r="B925" s="117">
        <f>VLOOKUP(MID($A925,1,2),'Free Spins Symbol'!$T$2:$Z$29,3,0)</f>
        <v>35</v>
      </c>
      <c r="C925" s="129">
        <f>'Free Spins Symbol'!$W$18</f>
        <v>56</v>
      </c>
      <c r="D925" s="129">
        <f>'Free Spins Symbol'!$X$18</f>
        <v>40</v>
      </c>
      <c r="E925" s="117">
        <f>VLOOKUP(MID($A925,10,2),'Free Spins Symbol'!$T$2:$Z$29,6,0)</f>
        <v>1</v>
      </c>
      <c r="F925" s="129">
        <f>'Free Spins Symbol'!$Z$18</f>
        <v>48</v>
      </c>
      <c r="G925" s="100">
        <f t="shared" ref="G925:G928" si="183">(B925*C925*D925*E925-B914*C914*D914*E914)*(F925-F915)</f>
        <v>0</v>
      </c>
      <c r="H925" s="118" t="e">
        <f t="shared" si="177"/>
        <v>#DIV/0!</v>
      </c>
      <c r="I925" s="100">
        <v>20</v>
      </c>
      <c r="J925" s="119">
        <f t="shared" si="181"/>
        <v>0</v>
      </c>
      <c r="K925" s="120">
        <f t="shared" si="182"/>
        <v>0</v>
      </c>
    </row>
    <row r="926" spans="1:13" x14ac:dyDescent="0.3">
      <c r="A926" s="116" t="s">
        <v>261</v>
      </c>
      <c r="B926" s="117">
        <f>VLOOKUP(MID($A926,1,2),'Free Spins Symbol'!$T$2:$Z$29,3,0)</f>
        <v>28</v>
      </c>
      <c r="C926" s="129">
        <f>'Free Spins Symbol'!$W$18</f>
        <v>56</v>
      </c>
      <c r="D926" s="129">
        <f>'Free Spins Symbol'!$X$18</f>
        <v>40</v>
      </c>
      <c r="E926" s="117">
        <f>VLOOKUP(MID($A926,10,2),'Free Spins Symbol'!$T$2:$Z$29,6,0)</f>
        <v>1</v>
      </c>
      <c r="F926" s="129">
        <f>'Free Spins Symbol'!$Z$18</f>
        <v>48</v>
      </c>
      <c r="G926" s="100">
        <f t="shared" si="183"/>
        <v>0</v>
      </c>
      <c r="H926" s="118" t="e">
        <f t="shared" si="177"/>
        <v>#DIV/0!</v>
      </c>
      <c r="I926" s="100">
        <v>20</v>
      </c>
      <c r="J926" s="119">
        <f t="shared" si="181"/>
        <v>0</v>
      </c>
      <c r="K926" s="120">
        <f t="shared" si="182"/>
        <v>0</v>
      </c>
    </row>
    <row r="927" spans="1:13" x14ac:dyDescent="0.3">
      <c r="A927" s="116" t="s">
        <v>262</v>
      </c>
      <c r="B927" s="117">
        <f>VLOOKUP(MID($A927,1,2),'Free Spins Symbol'!$T$2:$Z$29,3,0)</f>
        <v>34</v>
      </c>
      <c r="C927" s="129">
        <f>'Free Spins Symbol'!$W$18</f>
        <v>56</v>
      </c>
      <c r="D927" s="129">
        <f>'Free Spins Symbol'!$X$18</f>
        <v>40</v>
      </c>
      <c r="E927" s="117">
        <f>VLOOKUP(MID($A927,10,2),'Free Spins Symbol'!$T$2:$Z$29,6,0)</f>
        <v>8</v>
      </c>
      <c r="F927" s="129">
        <f>'Free Spins Symbol'!$Z$18</f>
        <v>48</v>
      </c>
      <c r="G927" s="100">
        <f t="shared" si="183"/>
        <v>0</v>
      </c>
      <c r="H927" s="118" t="e">
        <f t="shared" si="177"/>
        <v>#DIV/0!</v>
      </c>
      <c r="I927" s="100">
        <v>20</v>
      </c>
      <c r="J927" s="119">
        <f t="shared" si="181"/>
        <v>0</v>
      </c>
      <c r="K927" s="120">
        <f t="shared" si="182"/>
        <v>0</v>
      </c>
    </row>
    <row r="928" spans="1:13" x14ac:dyDescent="0.3">
      <c r="A928" s="116" t="s">
        <v>263</v>
      </c>
      <c r="B928" s="117">
        <f>VLOOKUP(MID($A928,1,2),'Free Spins Symbol'!$T$2:$Z$29,3,0)</f>
        <v>19</v>
      </c>
      <c r="C928" s="129">
        <f>'Free Spins Symbol'!$W$18</f>
        <v>56</v>
      </c>
      <c r="D928" s="129">
        <f>'Free Spins Symbol'!$X$18</f>
        <v>40</v>
      </c>
      <c r="E928" s="117">
        <f>VLOOKUP(MID($A928,10,2),'Free Spins Symbol'!$T$2:$Z$29,6,0)</f>
        <v>7</v>
      </c>
      <c r="F928" s="129">
        <f>'Free Spins Symbol'!$Z$18</f>
        <v>48</v>
      </c>
      <c r="G928" s="100">
        <f t="shared" si="183"/>
        <v>0</v>
      </c>
      <c r="H928" s="118" t="e">
        <f t="shared" si="177"/>
        <v>#DIV/0!</v>
      </c>
      <c r="I928" s="100">
        <v>20</v>
      </c>
      <c r="J928" s="119">
        <f t="shared" si="181"/>
        <v>0</v>
      </c>
      <c r="K928" s="120">
        <f t="shared" si="182"/>
        <v>0</v>
      </c>
    </row>
    <row r="929" spans="1:13" x14ac:dyDescent="0.3">
      <c r="A929" s="116" t="s">
        <v>265</v>
      </c>
      <c r="B929" s="117">
        <f>VLOOKUP(MID($A929,1,2),'Free Spins Symbol'!$T$2:$Z$29,3,0)</f>
        <v>20</v>
      </c>
      <c r="C929" s="129">
        <f>'Free Spins Symbol'!$W$18</f>
        <v>56</v>
      </c>
      <c r="D929" s="129">
        <f>'Free Spins Symbol'!$X$18</f>
        <v>40</v>
      </c>
      <c r="E929" s="117">
        <f>VLOOKUP(MID($A929,10,2),'Free Spins Symbol'!$T$2:$Z$29,6,0)</f>
        <v>32</v>
      </c>
      <c r="F929" s="129">
        <f>'Free Spins Symbol'!$Z$18</f>
        <v>48</v>
      </c>
      <c r="G929" s="100">
        <f>(B929*C929*D929-B923*C923*D923)*(E929-E919)*F929</f>
        <v>6666240</v>
      </c>
      <c r="H929" s="118">
        <f t="shared" si="177"/>
        <v>51.612903225806448</v>
      </c>
      <c r="I929" s="100">
        <v>20</v>
      </c>
      <c r="J929" s="119">
        <f t="shared" si="181"/>
        <v>0.38750000000000001</v>
      </c>
      <c r="K929" s="120">
        <f t="shared" si="182"/>
        <v>1.9375E-2</v>
      </c>
      <c r="M929" s="148">
        <f>1937474/M906</f>
        <v>1.9374740000000001E-2</v>
      </c>
    </row>
    <row r="930" spans="1:13" x14ac:dyDescent="0.3">
      <c r="A930" s="116" t="s">
        <v>266</v>
      </c>
      <c r="B930" s="117">
        <f>VLOOKUP(MID($A930,1,2),'Free Spins Symbol'!$T$2:$Z$29,3,0)</f>
        <v>22</v>
      </c>
      <c r="C930" s="129">
        <f>'Free Spins Symbol'!$W$18</f>
        <v>56</v>
      </c>
      <c r="D930" s="129">
        <f>'Free Spins Symbol'!$X$18</f>
        <v>40</v>
      </c>
      <c r="E930" s="117">
        <f>VLOOKUP(MID($A930,10,2),'Free Spins Symbol'!$T$2:$Z$29,6,0)</f>
        <v>32</v>
      </c>
      <c r="F930" s="129">
        <f>'Free Spins Symbol'!$Z$18</f>
        <v>48</v>
      </c>
      <c r="G930" s="100">
        <f>(B930*C930*D930-B923*C923*D923)*(E930-E920)*F930</f>
        <v>13332480</v>
      </c>
      <c r="H930" s="118">
        <f t="shared" si="177"/>
        <v>25.806451612903224</v>
      </c>
      <c r="I930" s="100">
        <v>20</v>
      </c>
      <c r="J930" s="119">
        <f t="shared" si="181"/>
        <v>0.77500000000000002</v>
      </c>
      <c r="K930" s="120">
        <f t="shared" si="182"/>
        <v>3.875E-2</v>
      </c>
      <c r="M930" s="148">
        <f>3876363/$M$906</f>
        <v>3.876363E-2</v>
      </c>
    </row>
    <row r="931" spans="1:13" x14ac:dyDescent="0.3">
      <c r="A931" s="116" t="s">
        <v>267</v>
      </c>
      <c r="B931" s="117">
        <f>VLOOKUP(MID($A931,1,2),'Free Spins Symbol'!$T$2:$Z$29,3,0)</f>
        <v>24</v>
      </c>
      <c r="C931" s="129">
        <f>'Free Spins Symbol'!$W$18</f>
        <v>56</v>
      </c>
      <c r="D931" s="129">
        <f>'Free Spins Symbol'!$X$18</f>
        <v>40</v>
      </c>
      <c r="E931" s="117">
        <f>VLOOKUP(MID($A931,10,2),'Free Spins Symbol'!$T$2:$Z$29,6,0)</f>
        <v>32</v>
      </c>
      <c r="F931" s="129">
        <f>'Free Spins Symbol'!$Z$18</f>
        <v>48</v>
      </c>
      <c r="G931" s="100">
        <f>(B931*C931*D931-B923*C923*D923)*(E931-E921)*F931</f>
        <v>19998720</v>
      </c>
      <c r="H931" s="118">
        <f t="shared" si="177"/>
        <v>17.204301075268816</v>
      </c>
      <c r="I931" s="100">
        <v>10</v>
      </c>
      <c r="J931" s="119">
        <f t="shared" si="181"/>
        <v>0.58125000000000004</v>
      </c>
      <c r="K931" s="120">
        <f t="shared" si="182"/>
        <v>5.8125000000000003E-2</v>
      </c>
      <c r="M931" s="148">
        <f>5810686/$M$906</f>
        <v>5.8106860000000003E-2</v>
      </c>
    </row>
    <row r="932" spans="1:13" x14ac:dyDescent="0.3">
      <c r="A932" s="116" t="s">
        <v>268</v>
      </c>
      <c r="B932" s="117">
        <f>VLOOKUP(MID($A932,1,2),'Free Spins Symbol'!$T$2:$Z$29,3,0)</f>
        <v>24</v>
      </c>
      <c r="C932" s="129">
        <f>'Free Spins Symbol'!$W$18</f>
        <v>56</v>
      </c>
      <c r="D932" s="129">
        <f>'Free Spins Symbol'!$X$18</f>
        <v>40</v>
      </c>
      <c r="E932" s="117">
        <f>VLOOKUP(MID($A932,10,2),'Free Spins Symbol'!$T$2:$Z$29,6,0)</f>
        <v>32</v>
      </c>
      <c r="F932" s="129">
        <f>'Free Spins Symbol'!$Z$18</f>
        <v>48</v>
      </c>
      <c r="G932" s="100">
        <f>(B932*C932*D932-B923*C923*D923)*(E932-E922)*F932</f>
        <v>19998720</v>
      </c>
      <c r="H932" s="118">
        <f t="shared" si="177"/>
        <v>17.204301075268816</v>
      </c>
      <c r="I932" s="100">
        <v>10</v>
      </c>
      <c r="J932" s="119">
        <f t="shared" si="181"/>
        <v>0.58125000000000004</v>
      </c>
      <c r="K932" s="120">
        <f t="shared" si="182"/>
        <v>5.8125000000000003E-2</v>
      </c>
      <c r="M932" s="148">
        <f>5808437/$M$906</f>
        <v>5.8084370000000003E-2</v>
      </c>
    </row>
    <row r="933" spans="1:13" x14ac:dyDescent="0.3">
      <c r="A933" s="116" t="s">
        <v>269</v>
      </c>
      <c r="B933" s="117">
        <f>VLOOKUP(MID($A933,1,2),'Free Spins Symbol'!$T$2:$Z$29,3,0)</f>
        <v>38</v>
      </c>
      <c r="C933" s="129">
        <f>'Free Spins Symbol'!$W$18</f>
        <v>56</v>
      </c>
      <c r="D933" s="129">
        <f>'Free Spins Symbol'!$X$18</f>
        <v>40</v>
      </c>
      <c r="E933" s="117">
        <f>VLOOKUP(MID($A933,10,2),'Free Spins Symbol'!$T$2:$Z$29,6,0)</f>
        <v>32</v>
      </c>
      <c r="F933" s="129">
        <f>'Free Spins Symbol'!$Z$18</f>
        <v>48</v>
      </c>
      <c r="G933" s="100">
        <f>(B933*C933*D933-B923*C923*D923)*(E933-E924)*F933</f>
        <v>53760000</v>
      </c>
      <c r="H933" s="118">
        <f t="shared" si="177"/>
        <v>6.4</v>
      </c>
      <c r="I933" s="100">
        <v>5</v>
      </c>
      <c r="J933" s="119">
        <f t="shared" si="181"/>
        <v>0.78125</v>
      </c>
      <c r="K933" s="120">
        <f t="shared" si="182"/>
        <v>0.15625</v>
      </c>
      <c r="M933" s="148">
        <f>15628759/$M$906</f>
        <v>0.15628759</v>
      </c>
    </row>
    <row r="934" spans="1:13" x14ac:dyDescent="0.3">
      <c r="A934" s="116" t="s">
        <v>270</v>
      </c>
      <c r="B934" s="117">
        <f>VLOOKUP(MID($A934,1,2),'Free Spins Symbol'!$T$2:$Z$29,3,0)</f>
        <v>35</v>
      </c>
      <c r="C934" s="129">
        <f>'Free Spins Symbol'!$W$18</f>
        <v>56</v>
      </c>
      <c r="D934" s="129">
        <f>'Free Spins Symbol'!$X$18</f>
        <v>40</v>
      </c>
      <c r="E934" s="117">
        <f>VLOOKUP(MID($A934,10,2),'Free Spins Symbol'!$T$2:$Z$29,6,0)</f>
        <v>32</v>
      </c>
      <c r="F934" s="129">
        <f>'Free Spins Symbol'!$Z$18</f>
        <v>48</v>
      </c>
      <c r="G934" s="100">
        <f>(B934*C934*D934-B923*C923*D923)*(E934-E925)*F934</f>
        <v>56663040</v>
      </c>
      <c r="H934" s="118">
        <f t="shared" si="177"/>
        <v>6.0721062618595827</v>
      </c>
      <c r="I934" s="100">
        <v>5</v>
      </c>
      <c r="J934" s="119">
        <f t="shared" si="181"/>
        <v>0.82343749999999993</v>
      </c>
      <c r="K934" s="120">
        <f t="shared" si="182"/>
        <v>0.16468749999999999</v>
      </c>
      <c r="M934" s="148">
        <f>16466771/$M$906</f>
        <v>0.16466770999999999</v>
      </c>
    </row>
    <row r="935" spans="1:13" x14ac:dyDescent="0.3">
      <c r="A935" s="116" t="s">
        <v>271</v>
      </c>
      <c r="B935" s="117">
        <f>VLOOKUP(MID($A935,1,2),'Free Spins Symbol'!$T$2:$Z$29,3,0)</f>
        <v>28</v>
      </c>
      <c r="C935" s="129">
        <f>'Free Spins Symbol'!$W$18</f>
        <v>56</v>
      </c>
      <c r="D935" s="129">
        <f>'Free Spins Symbol'!$X$18</f>
        <v>40</v>
      </c>
      <c r="E935" s="117">
        <f>VLOOKUP(MID($A935,10,2),'Free Spins Symbol'!$T$2:$Z$29,6,0)</f>
        <v>32</v>
      </c>
      <c r="F935" s="129">
        <f>'Free Spins Symbol'!$Z$18</f>
        <v>48</v>
      </c>
      <c r="G935" s="100">
        <f>(B935*C935*D935-B923*C923*D923)*(E935-E926)*F935</f>
        <v>33331200</v>
      </c>
      <c r="H935" s="118">
        <f t="shared" si="177"/>
        <v>10.32258064516129</v>
      </c>
      <c r="I935" s="100">
        <v>5</v>
      </c>
      <c r="J935" s="119">
        <f t="shared" si="181"/>
        <v>0.484375</v>
      </c>
      <c r="K935" s="120">
        <f t="shared" si="182"/>
        <v>9.6875000000000003E-2</v>
      </c>
      <c r="M935" s="148">
        <f>9688635/$M$906</f>
        <v>9.6886349999999996E-2</v>
      </c>
    </row>
    <row r="936" spans="1:13" x14ac:dyDescent="0.3">
      <c r="A936" s="116" t="s">
        <v>324</v>
      </c>
      <c r="B936" s="117">
        <f>VLOOKUP(MID($A936,1,2),'Free Spins Symbol'!$T$2:$Z$29,3,0)</f>
        <v>34</v>
      </c>
      <c r="C936" s="129">
        <f>'Free Spins Symbol'!$W$18</f>
        <v>56</v>
      </c>
      <c r="D936" s="129">
        <f>'Free Spins Symbol'!$X$18</f>
        <v>40</v>
      </c>
      <c r="E936" s="117">
        <f>VLOOKUP(MID($A936,10,2),'Free Spins Symbol'!$T$2:$Z$29,6,0)</f>
        <v>32</v>
      </c>
      <c r="F936" s="129">
        <f>'Free Spins Symbol'!$Z$18</f>
        <v>48</v>
      </c>
      <c r="G936" s="100">
        <f>(B936*C936*D936-B923*C923*D923)*(E936-E927)*F936</f>
        <v>41287680</v>
      </c>
      <c r="H936" s="118">
        <f t="shared" si="177"/>
        <v>8.3333333333333339</v>
      </c>
      <c r="I936" s="100">
        <v>5</v>
      </c>
      <c r="J936" s="119">
        <f t="shared" si="181"/>
        <v>0.6</v>
      </c>
      <c r="K936" s="120">
        <f t="shared" si="182"/>
        <v>0.12</v>
      </c>
      <c r="M936" s="148">
        <f>12001968/$M$906</f>
        <v>0.12001968</v>
      </c>
    </row>
    <row r="937" spans="1:13" x14ac:dyDescent="0.3">
      <c r="A937" s="116" t="s">
        <v>273</v>
      </c>
      <c r="B937" s="117">
        <f>VLOOKUP(MID($A937,1,2),'Free Spins Symbol'!$T$2:$Z$29,3,0)</f>
        <v>19</v>
      </c>
      <c r="C937" s="129">
        <f>'Free Spins Symbol'!$W$18</f>
        <v>56</v>
      </c>
      <c r="D937" s="129">
        <f>'Free Spins Symbol'!$X$18</f>
        <v>40</v>
      </c>
      <c r="E937" s="117">
        <f>VLOOKUP(MID($A937,10,2),'Free Spins Symbol'!$T$2:$Z$29,6,0)</f>
        <v>32</v>
      </c>
      <c r="F937" s="129">
        <f>'Free Spins Symbol'!$Z$18</f>
        <v>48</v>
      </c>
      <c r="G937" s="100">
        <f>(B937*C937*D937-B923*C923*D923)*(E937-E928)*F937</f>
        <v>2688000</v>
      </c>
      <c r="H937" s="118">
        <f t="shared" si="177"/>
        <v>128</v>
      </c>
      <c r="I937" s="100">
        <v>5</v>
      </c>
      <c r="J937" s="119">
        <f t="shared" si="181"/>
        <v>3.90625E-2</v>
      </c>
      <c r="K937" s="120">
        <f t="shared" si="182"/>
        <v>7.8125E-3</v>
      </c>
      <c r="M937" s="148">
        <f>783374/$M$906</f>
        <v>7.8337400000000005E-3</v>
      </c>
    </row>
    <row r="938" spans="1:13" x14ac:dyDescent="0.3">
      <c r="A938" s="116" t="s">
        <v>274</v>
      </c>
      <c r="B938" s="117">
        <f>VLOOKUP(MID($A938,1,2),'Free Spins Symbol'!$T$2:$Z$29,3,0)</f>
        <v>18</v>
      </c>
      <c r="C938" s="129">
        <f>'Free Spins Symbol'!$W$18</f>
        <v>56</v>
      </c>
      <c r="D938" s="129">
        <f>'Free Spins Symbol'!$X$18</f>
        <v>40</v>
      </c>
      <c r="E938" s="117">
        <f>VLOOKUP(MID($A938,10,2),'Free Spins Symbol'!$T$2:$Z$29,6,0)</f>
        <v>32</v>
      </c>
      <c r="F938" s="129">
        <f>'Free Spins Symbol'!$Z$18</f>
        <v>48</v>
      </c>
      <c r="G938" s="100">
        <f>B938*C938*(D938-D923)*E938*F938</f>
        <v>0</v>
      </c>
      <c r="H938" s="118" t="e">
        <f t="shared" si="177"/>
        <v>#DIV/0!</v>
      </c>
      <c r="I938" s="100">
        <v>5</v>
      </c>
      <c r="J938" s="119">
        <f t="shared" si="181"/>
        <v>0</v>
      </c>
      <c r="K938" s="120">
        <f t="shared" si="182"/>
        <v>0</v>
      </c>
    </row>
    <row r="939" spans="1:13" x14ac:dyDescent="0.3">
      <c r="A939" s="116" t="s">
        <v>275</v>
      </c>
      <c r="B939" s="117">
        <f>VLOOKUP(MID($A939,1,2),'Free Spins Symbol'!$T$2:$Z$29,3,0)</f>
        <v>20</v>
      </c>
      <c r="C939" s="129">
        <f>'Free Spins Symbol'!$W$18</f>
        <v>56</v>
      </c>
      <c r="D939" s="129">
        <f>'Free Spins Symbol'!$X$18</f>
        <v>40</v>
      </c>
      <c r="E939" s="117">
        <f>VLOOKUP(MID($A939,10,2),'Free Spins Symbol'!$T$2:$Z$29,6,0)</f>
        <v>32</v>
      </c>
      <c r="F939" s="129">
        <f>'Free Spins Symbol'!$Z$18</f>
        <v>48</v>
      </c>
      <c r="G939" s="100">
        <f t="shared" ref="G939:G942" si="184">B939*C939*(D939-D929)*E939*F939</f>
        <v>0</v>
      </c>
      <c r="H939" s="118" t="e">
        <f t="shared" si="177"/>
        <v>#DIV/0!</v>
      </c>
      <c r="I939" s="100">
        <v>5</v>
      </c>
      <c r="J939" s="119">
        <f t="shared" si="181"/>
        <v>0</v>
      </c>
      <c r="K939" s="120">
        <f t="shared" si="182"/>
        <v>0</v>
      </c>
    </row>
    <row r="940" spans="1:13" x14ac:dyDescent="0.3">
      <c r="A940" s="116" t="s">
        <v>276</v>
      </c>
      <c r="B940" s="117">
        <f>VLOOKUP(MID($A940,1,2),'Free Spins Symbol'!$T$2:$Z$29,3,0)</f>
        <v>22</v>
      </c>
      <c r="C940" s="129">
        <f>'Free Spins Symbol'!$W$18</f>
        <v>56</v>
      </c>
      <c r="D940" s="129">
        <f>'Free Spins Symbol'!$X$18</f>
        <v>40</v>
      </c>
      <c r="E940" s="117">
        <f>VLOOKUP(MID($A940,10,2),'Free Spins Symbol'!$T$2:$Z$29,6,0)</f>
        <v>32</v>
      </c>
      <c r="F940" s="129">
        <f>'Free Spins Symbol'!$Z$18</f>
        <v>48</v>
      </c>
      <c r="G940" s="100">
        <f t="shared" si="184"/>
        <v>0</v>
      </c>
      <c r="H940" s="118" t="e">
        <f t="shared" si="177"/>
        <v>#DIV/0!</v>
      </c>
      <c r="I940" s="100">
        <v>5</v>
      </c>
      <c r="J940" s="119">
        <f t="shared" si="181"/>
        <v>0</v>
      </c>
      <c r="K940" s="120">
        <f t="shared" si="182"/>
        <v>0</v>
      </c>
    </row>
    <row r="941" spans="1:13" x14ac:dyDescent="0.3">
      <c r="A941" s="116" t="s">
        <v>277</v>
      </c>
      <c r="B941" s="117">
        <f>VLOOKUP(MID($A941,1,2),'Free Spins Symbol'!$T$2:$Z$29,3,0)</f>
        <v>24</v>
      </c>
      <c r="C941" s="129">
        <f>'Free Spins Symbol'!$W$18</f>
        <v>56</v>
      </c>
      <c r="D941" s="129">
        <f>'Free Spins Symbol'!$X$18</f>
        <v>40</v>
      </c>
      <c r="E941" s="117">
        <f>VLOOKUP(MID($A941,10,2),'Free Spins Symbol'!$T$2:$Z$29,6,0)</f>
        <v>32</v>
      </c>
      <c r="F941" s="129">
        <f>'Free Spins Symbol'!$Z$18</f>
        <v>48</v>
      </c>
      <c r="G941" s="100">
        <f t="shared" si="184"/>
        <v>0</v>
      </c>
      <c r="H941" s="118" t="e">
        <f t="shared" si="177"/>
        <v>#DIV/0!</v>
      </c>
      <c r="I941" s="100">
        <v>5</v>
      </c>
      <c r="J941" s="119">
        <f t="shared" si="181"/>
        <v>0</v>
      </c>
      <c r="K941" s="120">
        <f t="shared" si="182"/>
        <v>0</v>
      </c>
    </row>
    <row r="942" spans="1:13" x14ac:dyDescent="0.3">
      <c r="A942" s="116" t="s">
        <v>278</v>
      </c>
      <c r="B942" s="117">
        <f>VLOOKUP(MID($A942,1,2),'Free Spins Symbol'!$T$2:$Z$29,3,0)</f>
        <v>24</v>
      </c>
      <c r="C942" s="129">
        <f>'Free Spins Symbol'!$W$18</f>
        <v>56</v>
      </c>
      <c r="D942" s="129">
        <f>'Free Spins Symbol'!$X$18</f>
        <v>40</v>
      </c>
      <c r="E942" s="117">
        <f>VLOOKUP(MID($A942,10,2),'Free Spins Symbol'!$T$2:$Z$29,6,0)</f>
        <v>32</v>
      </c>
      <c r="F942" s="129">
        <f>'Free Spins Symbol'!$Z$18</f>
        <v>48</v>
      </c>
      <c r="G942" s="100">
        <f t="shared" si="184"/>
        <v>0</v>
      </c>
      <c r="H942" s="118" t="e">
        <f t="shared" si="177"/>
        <v>#DIV/0!</v>
      </c>
      <c r="I942" s="100">
        <v>5</v>
      </c>
      <c r="J942" s="119">
        <f t="shared" si="181"/>
        <v>0</v>
      </c>
      <c r="K942" s="120">
        <f t="shared" si="182"/>
        <v>0</v>
      </c>
    </row>
    <row r="943" spans="1:13" x14ac:dyDescent="0.3">
      <c r="A943" s="122" t="s">
        <v>279</v>
      </c>
      <c r="B943" s="117">
        <f>VLOOKUP(MID($A943,1,2),'Free Spins Symbol'!$T$2:$Z$29,3,0)</f>
        <v>100</v>
      </c>
      <c r="C943" s="117">
        <f>VLOOKUP(MID($A943,4,2),'Free Spins Symbol'!$T$2:$Z$29,4,0)</f>
        <v>8</v>
      </c>
      <c r="D943" s="117">
        <f>VLOOKUP(MID($A943,7,2),'Free Spins Symbol'!$T$2:$Z$29,5,0)</f>
        <v>4</v>
      </c>
      <c r="E943" s="117">
        <f>VLOOKUP(MID($A943,10,2),'Free Spins Symbol'!$T$2:$Z$29,6,0)</f>
        <v>16</v>
      </c>
      <c r="F943" s="117">
        <f>VLOOKUP(MID($A943,13,2),'Free Spins Symbol'!$T$2:$Z$29,7,0)</f>
        <v>48</v>
      </c>
      <c r="G943" s="100">
        <f>B943*C943*D943*E943*F943</f>
        <v>2457600</v>
      </c>
      <c r="H943" s="118">
        <f t="shared" si="177"/>
        <v>140</v>
      </c>
      <c r="I943" s="123">
        <v>2</v>
      </c>
      <c r="J943" s="124">
        <f t="shared" si="181"/>
        <v>1.4285714285714285E-2</v>
      </c>
      <c r="K943" s="120">
        <f t="shared" si="182"/>
        <v>7.1428571428571426E-3</v>
      </c>
      <c r="L943" s="120"/>
      <c r="M943" s="120"/>
    </row>
    <row r="945" spans="1:11" ht="16.8" thickBot="1" x14ac:dyDescent="0.35"/>
    <row r="946" spans="1:11" ht="16.8" thickBot="1" x14ac:dyDescent="0.35">
      <c r="A946" s="125" t="s">
        <v>315</v>
      </c>
    </row>
    <row r="947" spans="1:11" ht="16.8" thickBot="1" x14ac:dyDescent="0.35">
      <c r="A947" s="95" t="s">
        <v>280</v>
      </c>
      <c r="B947" s="142">
        <f>B2</f>
        <v>344064000</v>
      </c>
      <c r="C947" s="142"/>
      <c r="D947" s="142"/>
      <c r="E947" s="142"/>
      <c r="F947" s="142"/>
      <c r="G947" s="7"/>
      <c r="H947" s="106"/>
      <c r="I947" s="107" t="s">
        <v>281</v>
      </c>
      <c r="J947" s="108">
        <f>SUM(J949:J983)</f>
        <v>10.879464285714283</v>
      </c>
      <c r="K947" s="126">
        <f>SUM(K949:K984)</f>
        <v>0.29821428571428565</v>
      </c>
    </row>
    <row r="948" spans="1:11" ht="33" thickBot="1" x14ac:dyDescent="0.35">
      <c r="A948" s="109" t="s">
        <v>233</v>
      </c>
      <c r="B948" s="110" t="s">
        <v>234</v>
      </c>
      <c r="C948" s="110" t="s">
        <v>235</v>
      </c>
      <c r="D948" s="110" t="s">
        <v>236</v>
      </c>
      <c r="E948" s="110" t="s">
        <v>237</v>
      </c>
      <c r="F948" s="110" t="s">
        <v>238</v>
      </c>
      <c r="G948" s="111" t="s">
        <v>239</v>
      </c>
      <c r="H948" s="112" t="s">
        <v>240</v>
      </c>
      <c r="I948" s="113" t="s">
        <v>241</v>
      </c>
      <c r="J948" s="114" t="s">
        <v>242</v>
      </c>
      <c r="K948" s="115" t="s">
        <v>243</v>
      </c>
    </row>
    <row r="949" spans="1:11" x14ac:dyDescent="0.3">
      <c r="A949" s="116" t="s">
        <v>244</v>
      </c>
      <c r="B949" s="129">
        <f>'Free Spins Symbol'!$V$18</f>
        <v>100</v>
      </c>
      <c r="C949" s="117">
        <f>VLOOKUP(MID($A949,4,2),'Free Spins Symbol'!$T$2:$Z$29,4,0)</f>
        <v>0</v>
      </c>
      <c r="D949" s="117">
        <f>VLOOKUP(MID($A949,7,2),'Free Spins Symbol'!$T$2:$Z$29,5,0)</f>
        <v>0</v>
      </c>
      <c r="E949" s="129">
        <f>'Free Spins Symbol'!$Y$18</f>
        <v>32</v>
      </c>
      <c r="F949" s="129">
        <f>'Free Spins Symbol'!$Z$18</f>
        <v>48</v>
      </c>
      <c r="G949" s="100">
        <f>B949*C949*D949*E949*F949</f>
        <v>0</v>
      </c>
      <c r="H949" s="118" t="e">
        <f>B$2/G949</f>
        <v>#DIV/0!</v>
      </c>
      <c r="I949" s="100">
        <v>500</v>
      </c>
      <c r="J949" s="119">
        <f t="shared" ref="J949:J953" si="185">K949*I949</f>
        <v>0</v>
      </c>
      <c r="K949" s="120">
        <f>G949/B$2</f>
        <v>0</v>
      </c>
    </row>
    <row r="950" spans="1:11" x14ac:dyDescent="0.3">
      <c r="A950" s="116" t="s">
        <v>245</v>
      </c>
      <c r="B950" s="129">
        <f>'Free Spins Symbol'!$V$18</f>
        <v>100</v>
      </c>
      <c r="C950" s="117">
        <f>VLOOKUP(MID($A950,4,2),'Free Spins Symbol'!$T$2:$Z$29,4,0)</f>
        <v>2</v>
      </c>
      <c r="D950" s="117">
        <f>VLOOKUP(MID($A950,7,2),'Free Spins Symbol'!$T$2:$Z$29,5,0)</f>
        <v>2</v>
      </c>
      <c r="E950" s="129">
        <f>'Free Spins Symbol'!$Y$18</f>
        <v>32</v>
      </c>
      <c r="F950" s="129">
        <f>'Free Spins Symbol'!$Z$18</f>
        <v>48</v>
      </c>
      <c r="G950" s="100">
        <f>B950*C950*D950*E950*F950-G949</f>
        <v>614400</v>
      </c>
      <c r="H950" s="118">
        <f t="shared" ref="H950:H984" si="186">B$2/G950</f>
        <v>560</v>
      </c>
      <c r="I950" s="100">
        <v>250</v>
      </c>
      <c r="J950" s="119">
        <f t="shared" si="185"/>
        <v>0.4464285714285714</v>
      </c>
      <c r="K950" s="120">
        <f t="shared" ref="K950:K953" si="187">G950/B$2</f>
        <v>1.7857142857142857E-3</v>
      </c>
    </row>
    <row r="951" spans="1:11" x14ac:dyDescent="0.3">
      <c r="A951" s="116" t="s">
        <v>246</v>
      </c>
      <c r="B951" s="129">
        <f>'Free Spins Symbol'!$V$18</f>
        <v>100</v>
      </c>
      <c r="C951" s="117">
        <f>VLOOKUP(MID($A951,4,2),'Free Spins Symbol'!$T$2:$Z$29,4,0)</f>
        <v>2</v>
      </c>
      <c r="D951" s="117">
        <f>VLOOKUP(MID($A951,7,2),'Free Spins Symbol'!$T$2:$Z$29,5,0)</f>
        <v>3</v>
      </c>
      <c r="E951" s="129">
        <f>'Free Spins Symbol'!$Y$18</f>
        <v>32</v>
      </c>
      <c r="F951" s="129">
        <f>'Free Spins Symbol'!$Z$18</f>
        <v>48</v>
      </c>
      <c r="G951" s="100">
        <f>B951*C951*D951*E951*F951-G949</f>
        <v>921600</v>
      </c>
      <c r="H951" s="118">
        <f t="shared" si="186"/>
        <v>373.33333333333331</v>
      </c>
      <c r="I951" s="100">
        <v>250</v>
      </c>
      <c r="J951" s="119">
        <f t="shared" si="185"/>
        <v>0.6696428571428571</v>
      </c>
      <c r="K951" s="120">
        <f t="shared" si="187"/>
        <v>2.6785714285714286E-3</v>
      </c>
    </row>
    <row r="952" spans="1:11" x14ac:dyDescent="0.3">
      <c r="A952" s="116" t="s">
        <v>247</v>
      </c>
      <c r="B952" s="129">
        <f>'Free Spins Symbol'!$V$18</f>
        <v>100</v>
      </c>
      <c r="C952" s="117">
        <f>VLOOKUP(MID($A952,4,2),'Free Spins Symbol'!$T$2:$Z$29,4,0)</f>
        <v>4</v>
      </c>
      <c r="D952" s="117">
        <f>VLOOKUP(MID($A952,7,2),'Free Spins Symbol'!$T$2:$Z$29,5,0)</f>
        <v>2</v>
      </c>
      <c r="E952" s="129">
        <f>'Free Spins Symbol'!$Y$18</f>
        <v>32</v>
      </c>
      <c r="F952" s="129">
        <f>'Free Spins Symbol'!$Z$18</f>
        <v>48</v>
      </c>
      <c r="G952" s="100">
        <f>B952*C952*D952*E952*F952-G949</f>
        <v>1228800</v>
      </c>
      <c r="H952" s="118">
        <f t="shared" si="186"/>
        <v>280</v>
      </c>
      <c r="I952" s="100">
        <v>150</v>
      </c>
      <c r="J952" s="119">
        <f t="shared" si="185"/>
        <v>0.5357142857142857</v>
      </c>
      <c r="K952" s="120">
        <f t="shared" si="187"/>
        <v>3.5714285714285713E-3</v>
      </c>
    </row>
    <row r="953" spans="1:11" x14ac:dyDescent="0.3">
      <c r="A953" s="116" t="s">
        <v>248</v>
      </c>
      <c r="B953" s="129">
        <f>'Free Spins Symbol'!$V$18</f>
        <v>100</v>
      </c>
      <c r="C953" s="117">
        <f>VLOOKUP(MID($A953,4,2),'Free Spins Symbol'!$T$2:$Z$29,4,0)</f>
        <v>4</v>
      </c>
      <c r="D953" s="117">
        <f>VLOOKUP(MID($A953,7,2),'Free Spins Symbol'!$T$2:$Z$29,5,0)</f>
        <v>2</v>
      </c>
      <c r="E953" s="129">
        <f>'Free Spins Symbol'!$Y$18</f>
        <v>32</v>
      </c>
      <c r="F953" s="129">
        <f>'Free Spins Symbol'!$Z$18</f>
        <v>48</v>
      </c>
      <c r="G953" s="100">
        <f>B953*C953*D953*E953*F953-G949</f>
        <v>1228800</v>
      </c>
      <c r="H953" s="118">
        <f t="shared" si="186"/>
        <v>280</v>
      </c>
      <c r="I953" s="100">
        <v>150</v>
      </c>
      <c r="J953" s="119">
        <f t="shared" si="185"/>
        <v>0.5357142857142857</v>
      </c>
      <c r="K953" s="120">
        <f t="shared" si="187"/>
        <v>3.5714285714285713E-3</v>
      </c>
    </row>
    <row r="954" spans="1:11" x14ac:dyDescent="0.3">
      <c r="A954" s="116" t="s">
        <v>254</v>
      </c>
      <c r="B954" s="129">
        <f>'Free Spins Symbol'!$V$18</f>
        <v>100</v>
      </c>
      <c r="C954" s="117">
        <f>VLOOKUP(MID($A954,4,2),'Free Spins Symbol'!$T$2:$Z$29,4,0)</f>
        <v>0</v>
      </c>
      <c r="D954" s="117">
        <f>VLOOKUP(MID($A954,7,2),'Free Spins Symbol'!$T$2:$Z$29,5,0)</f>
        <v>0</v>
      </c>
      <c r="E954" s="129">
        <f>'Free Spins Symbol'!$Y$18</f>
        <v>32</v>
      </c>
      <c r="F954" s="129">
        <f>'Free Spins Symbol'!$Z$18</f>
        <v>48</v>
      </c>
      <c r="G954" s="100">
        <f>B954*C954*D954*E954*(F954-F953-F952-F951-F950+3*F949)</f>
        <v>0</v>
      </c>
      <c r="H954" s="118" t="e">
        <f t="shared" si="186"/>
        <v>#DIV/0!</v>
      </c>
      <c r="I954" s="100">
        <v>100</v>
      </c>
      <c r="J954" s="119">
        <f>K954*I954</f>
        <v>0</v>
      </c>
      <c r="K954" s="120">
        <f>G954/B$2</f>
        <v>0</v>
      </c>
    </row>
    <row r="955" spans="1:11" x14ac:dyDescent="0.3">
      <c r="A955" s="116" t="s">
        <v>249</v>
      </c>
      <c r="B955" s="129">
        <f>'Free Spins Symbol'!$V$18</f>
        <v>100</v>
      </c>
      <c r="C955" s="117">
        <f>VLOOKUP(MID($A955,4,2),'Free Spins Symbol'!$T$2:$Z$29,4,0)</f>
        <v>13</v>
      </c>
      <c r="D955" s="117">
        <f>VLOOKUP(MID($A955,7,2),'Free Spins Symbol'!$T$2:$Z$29,5,0)</f>
        <v>1</v>
      </c>
      <c r="E955" s="129">
        <f>'Free Spins Symbol'!$Y$18</f>
        <v>32</v>
      </c>
      <c r="F955" s="129">
        <f>'Free Spins Symbol'!$Z$18</f>
        <v>48</v>
      </c>
      <c r="G955" s="100">
        <f>B955*C955*D955*E955*F955-G949</f>
        <v>1996800</v>
      </c>
      <c r="H955" s="118">
        <f t="shared" si="186"/>
        <v>172.30769230769232</v>
      </c>
      <c r="I955" s="100">
        <v>100</v>
      </c>
      <c r="J955" s="119">
        <f t="shared" ref="J955:J963" si="188">K955*I955</f>
        <v>0.5803571428571429</v>
      </c>
      <c r="K955" s="120">
        <f t="shared" ref="K955:K963" si="189">G955/B$2</f>
        <v>5.8035714285714288E-3</v>
      </c>
    </row>
    <row r="956" spans="1:11" x14ac:dyDescent="0.3">
      <c r="A956" s="116" t="s">
        <v>250</v>
      </c>
      <c r="B956" s="129">
        <f>'Free Spins Symbol'!$V$18</f>
        <v>100</v>
      </c>
      <c r="C956" s="117">
        <f>VLOOKUP(MID($A956,4,2),'Free Spins Symbol'!$T$2:$Z$29,4,0)</f>
        <v>1</v>
      </c>
      <c r="D956" s="117">
        <f>VLOOKUP(MID($A956,7,2),'Free Spins Symbol'!$T$2:$Z$29,5,0)</f>
        <v>9</v>
      </c>
      <c r="E956" s="129">
        <f>'Free Spins Symbol'!$Y$18</f>
        <v>32</v>
      </c>
      <c r="F956" s="129">
        <f>'Free Spins Symbol'!$Z$18</f>
        <v>48</v>
      </c>
      <c r="G956" s="100">
        <f>B956*C956*D956*E956*F956-G949</f>
        <v>1382400</v>
      </c>
      <c r="H956" s="118">
        <f t="shared" si="186"/>
        <v>248.88888888888889</v>
      </c>
      <c r="I956" s="100">
        <v>100</v>
      </c>
      <c r="J956" s="119">
        <f t="shared" si="188"/>
        <v>0.40178571428571425</v>
      </c>
      <c r="K956" s="120">
        <f t="shared" si="189"/>
        <v>4.0178571428571425E-3</v>
      </c>
    </row>
    <row r="957" spans="1:11" x14ac:dyDescent="0.3">
      <c r="A957" s="116" t="s">
        <v>251</v>
      </c>
      <c r="B957" s="129">
        <f>'Free Spins Symbol'!$V$18</f>
        <v>100</v>
      </c>
      <c r="C957" s="117">
        <f>VLOOKUP(MID($A957,4,2),'Free Spins Symbol'!$T$2:$Z$29,4,0)</f>
        <v>13</v>
      </c>
      <c r="D957" s="117">
        <f>VLOOKUP(MID($A957,7,2),'Free Spins Symbol'!$T$2:$Z$29,5,0)</f>
        <v>9</v>
      </c>
      <c r="E957" s="129">
        <f>'Free Spins Symbol'!$Y$18</f>
        <v>32</v>
      </c>
      <c r="F957" s="129">
        <f>'Free Spins Symbol'!$Z$18</f>
        <v>48</v>
      </c>
      <c r="G957" s="100">
        <f>B957*C957*D957*E957*F957-G949</f>
        <v>17971200</v>
      </c>
      <c r="H957" s="118">
        <f t="shared" si="186"/>
        <v>19.145299145299145</v>
      </c>
      <c r="I957" s="100">
        <v>100</v>
      </c>
      <c r="J957" s="119">
        <f t="shared" si="188"/>
        <v>5.2232142857142856</v>
      </c>
      <c r="K957" s="120">
        <f t="shared" si="189"/>
        <v>5.2232142857142859E-2</v>
      </c>
    </row>
    <row r="958" spans="1:11" x14ac:dyDescent="0.3">
      <c r="A958" s="116" t="s">
        <v>252</v>
      </c>
      <c r="B958" s="129">
        <f>'Free Spins Symbol'!$V$18</f>
        <v>100</v>
      </c>
      <c r="C958" s="117">
        <f>VLOOKUP(MID($A958,4,2),'Free Spins Symbol'!$T$2:$Z$29,4,0)</f>
        <v>13</v>
      </c>
      <c r="D958" s="117">
        <f>VLOOKUP(MID($A958,7,2),'Free Spins Symbol'!$T$2:$Z$29,5,0)</f>
        <v>1</v>
      </c>
      <c r="E958" s="129">
        <f>'Free Spins Symbol'!$Y$18</f>
        <v>32</v>
      </c>
      <c r="F958" s="129">
        <f>'Free Spins Symbol'!$Z$18</f>
        <v>48</v>
      </c>
      <c r="G958" s="100">
        <f>(B958*C958*D958*E958-B954*C954*D954*E954)*F958</f>
        <v>1996800</v>
      </c>
      <c r="H958" s="118">
        <f t="shared" si="186"/>
        <v>172.30769230769232</v>
      </c>
      <c r="I958" s="100">
        <v>100</v>
      </c>
      <c r="J958" s="119">
        <f t="shared" si="188"/>
        <v>0.5803571428571429</v>
      </c>
      <c r="K958" s="120">
        <f t="shared" si="189"/>
        <v>5.8035714285714288E-3</v>
      </c>
    </row>
    <row r="959" spans="1:11" x14ac:dyDescent="0.3">
      <c r="A959" s="116" t="s">
        <v>253</v>
      </c>
      <c r="B959" s="129">
        <f>'Free Spins Symbol'!$V$18</f>
        <v>100</v>
      </c>
      <c r="C959" s="117">
        <f>VLOOKUP(MID($A959,4,2),'Free Spins Symbol'!$T$2:$Z$29,4,0)</f>
        <v>2</v>
      </c>
      <c r="D959" s="117">
        <f>VLOOKUP(MID($A959,7,2),'Free Spins Symbol'!$T$2:$Z$29,5,0)</f>
        <v>10</v>
      </c>
      <c r="E959" s="129">
        <f>'Free Spins Symbol'!$Y$18</f>
        <v>32</v>
      </c>
      <c r="F959" s="129">
        <f>'Free Spins Symbol'!$Z$18</f>
        <v>48</v>
      </c>
      <c r="G959" s="100">
        <f>B959*C959*D959*E959*F959-G949</f>
        <v>3072000</v>
      </c>
      <c r="H959" s="118">
        <f t="shared" si="186"/>
        <v>112</v>
      </c>
      <c r="I959" s="100">
        <v>100</v>
      </c>
      <c r="J959" s="119">
        <f t="shared" si="188"/>
        <v>0.89285714285714279</v>
      </c>
      <c r="K959" s="120">
        <f t="shared" si="189"/>
        <v>8.9285714285714281E-3</v>
      </c>
    </row>
    <row r="960" spans="1:11" x14ac:dyDescent="0.3">
      <c r="A960" s="116" t="s">
        <v>255</v>
      </c>
      <c r="B960" s="129">
        <f>'Free Spins Symbol'!$V$18</f>
        <v>100</v>
      </c>
      <c r="C960" s="117">
        <f>VLOOKUP(MID($A960,4,2),'Free Spins Symbol'!$T$2:$Z$29,4,0)</f>
        <v>2</v>
      </c>
      <c r="D960" s="117">
        <f>VLOOKUP(MID($A960,7,2),'Free Spins Symbol'!$T$2:$Z$29,5,0)</f>
        <v>2</v>
      </c>
      <c r="E960" s="129">
        <f>'Free Spins Symbol'!$Y$18</f>
        <v>32</v>
      </c>
      <c r="F960" s="129">
        <f>'Free Spins Symbol'!$Z$18</f>
        <v>48</v>
      </c>
      <c r="G960" s="100">
        <f>(B960*C960*D960*E960-B954*C954*D954*E954)*(F960-F950)</f>
        <v>0</v>
      </c>
      <c r="H960" s="118" t="e">
        <f t="shared" si="186"/>
        <v>#DIV/0!</v>
      </c>
      <c r="I960" s="100">
        <v>50</v>
      </c>
      <c r="J960" s="119">
        <f t="shared" si="188"/>
        <v>0</v>
      </c>
      <c r="K960" s="120">
        <f t="shared" si="189"/>
        <v>0</v>
      </c>
    </row>
    <row r="961" spans="1:11" x14ac:dyDescent="0.3">
      <c r="A961" s="116" t="s">
        <v>256</v>
      </c>
      <c r="B961" s="129">
        <f>'Free Spins Symbol'!$V$18</f>
        <v>100</v>
      </c>
      <c r="C961" s="117">
        <f>VLOOKUP(MID($A961,4,2),'Free Spins Symbol'!$T$2:$Z$29,4,0)</f>
        <v>2</v>
      </c>
      <c r="D961" s="117">
        <f>VLOOKUP(MID($A961,7,2),'Free Spins Symbol'!$T$2:$Z$29,5,0)</f>
        <v>3</v>
      </c>
      <c r="E961" s="129">
        <f>'Free Spins Symbol'!$Y$18</f>
        <v>32</v>
      </c>
      <c r="F961" s="129">
        <f>'Free Spins Symbol'!$Z$18</f>
        <v>48</v>
      </c>
      <c r="G961" s="100">
        <f>(B961*C961*D961*E961-B954*C954*D954*E954)*(F961-F951)</f>
        <v>0</v>
      </c>
      <c r="H961" s="118" t="e">
        <f t="shared" si="186"/>
        <v>#DIV/0!</v>
      </c>
      <c r="I961" s="100">
        <v>50</v>
      </c>
      <c r="J961" s="119">
        <f t="shared" si="188"/>
        <v>0</v>
      </c>
      <c r="K961" s="120">
        <f t="shared" si="189"/>
        <v>0</v>
      </c>
    </row>
    <row r="962" spans="1:11" x14ac:dyDescent="0.3">
      <c r="A962" s="116" t="s">
        <v>257</v>
      </c>
      <c r="B962" s="129">
        <f>'Free Spins Symbol'!$V$18</f>
        <v>100</v>
      </c>
      <c r="C962" s="117">
        <f>VLOOKUP(MID($A962,4,2),'Free Spins Symbol'!$T$2:$Z$29,4,0)</f>
        <v>4</v>
      </c>
      <c r="D962" s="117">
        <f>VLOOKUP(MID($A962,7,2),'Free Spins Symbol'!$T$2:$Z$29,5,0)</f>
        <v>2</v>
      </c>
      <c r="E962" s="129">
        <f>'Free Spins Symbol'!$Y$18</f>
        <v>32</v>
      </c>
      <c r="F962" s="129">
        <f>'Free Spins Symbol'!$Z$18</f>
        <v>48</v>
      </c>
      <c r="G962" s="100">
        <f>(B962*C962*D962*E962-B954*C954*D954*E954)*(F962-F952)</f>
        <v>0</v>
      </c>
      <c r="H962" s="118" t="e">
        <f t="shared" si="186"/>
        <v>#DIV/0!</v>
      </c>
      <c r="I962" s="100">
        <v>30</v>
      </c>
      <c r="J962" s="119">
        <f t="shared" si="188"/>
        <v>0</v>
      </c>
      <c r="K962" s="120">
        <f t="shared" si="189"/>
        <v>0</v>
      </c>
    </row>
    <row r="963" spans="1:11" x14ac:dyDescent="0.3">
      <c r="A963" s="116" t="s">
        <v>258</v>
      </c>
      <c r="B963" s="129">
        <f>'Free Spins Symbol'!$V$18</f>
        <v>100</v>
      </c>
      <c r="C963" s="117">
        <f>VLOOKUP(MID($A963,4,2),'Free Spins Symbol'!$T$2:$Z$29,4,0)</f>
        <v>4</v>
      </c>
      <c r="D963" s="117">
        <f>VLOOKUP(MID($A963,7,2),'Free Spins Symbol'!$T$2:$Z$29,5,0)</f>
        <v>2</v>
      </c>
      <c r="E963" s="129">
        <f>'Free Spins Symbol'!$Y$18</f>
        <v>32</v>
      </c>
      <c r="F963" s="129">
        <f>'Free Spins Symbol'!$Z$18</f>
        <v>48</v>
      </c>
      <c r="G963" s="100">
        <f>(B963*C963*D963*E963-B954*C954*D954*E954)*(F963-F953)</f>
        <v>0</v>
      </c>
      <c r="H963" s="118" t="e">
        <f t="shared" si="186"/>
        <v>#DIV/0!</v>
      </c>
      <c r="I963" s="100">
        <v>30</v>
      </c>
      <c r="J963" s="119">
        <f t="shared" si="188"/>
        <v>0</v>
      </c>
      <c r="K963" s="120">
        <f t="shared" si="189"/>
        <v>0</v>
      </c>
    </row>
    <row r="964" spans="1:11" x14ac:dyDescent="0.3">
      <c r="A964" s="116" t="s">
        <v>264</v>
      </c>
      <c r="B964" s="129">
        <f>'Free Spins Symbol'!$V$18</f>
        <v>100</v>
      </c>
      <c r="C964" s="117">
        <f>VLOOKUP(MID($A964,4,2),'Free Spins Symbol'!$T$2:$Z$29,4,0)</f>
        <v>0</v>
      </c>
      <c r="D964" s="117">
        <f>VLOOKUP(MID($A964,7,2),'Free Spins Symbol'!$T$2:$Z$29,5,0)</f>
        <v>0</v>
      </c>
      <c r="E964" s="129">
        <f>'Free Spins Symbol'!$Y$18</f>
        <v>32</v>
      </c>
      <c r="F964" s="129">
        <f>'Free Spins Symbol'!$Z$18</f>
        <v>48</v>
      </c>
      <c r="G964" s="100">
        <f>(B964*C964*D964)*(E964*F964-(E963+E962+E961+E960-3*E954)*F954-(E959-E954)*F959-(E958-E954)*F958-(E957-E954)*F957-(E956-E954)*F956-(E955-E954)*F955)</f>
        <v>0</v>
      </c>
      <c r="H964" s="118" t="e">
        <f t="shared" si="186"/>
        <v>#DIV/0!</v>
      </c>
      <c r="I964" s="100">
        <v>20</v>
      </c>
      <c r="J964" s="119">
        <f>K964*I964</f>
        <v>0</v>
      </c>
      <c r="K964" s="120">
        <f>G964/B$2</f>
        <v>0</v>
      </c>
    </row>
    <row r="965" spans="1:11" x14ac:dyDescent="0.3">
      <c r="A965" s="116" t="s">
        <v>259</v>
      </c>
      <c r="B965" s="129">
        <f>'Free Spins Symbol'!$V$18</f>
        <v>100</v>
      </c>
      <c r="C965" s="117">
        <f>VLOOKUP(MID($A965,4,2),'Free Spins Symbol'!$T$2:$Z$29,4,0)</f>
        <v>13</v>
      </c>
      <c r="D965" s="117">
        <f>VLOOKUP(MID($A965,7,2),'Free Spins Symbol'!$T$2:$Z$29,5,0)</f>
        <v>1</v>
      </c>
      <c r="E965" s="129">
        <f>'Free Spins Symbol'!$Y$18</f>
        <v>32</v>
      </c>
      <c r="F965" s="129">
        <f>'Free Spins Symbol'!$Z$18</f>
        <v>48</v>
      </c>
      <c r="G965" s="100">
        <f>(B965*C965*D965*E965-B954*C954*D954*E954)*(F965-F955)</f>
        <v>0</v>
      </c>
      <c r="H965" s="118" t="e">
        <f t="shared" si="186"/>
        <v>#DIV/0!</v>
      </c>
      <c r="I965" s="100">
        <v>20</v>
      </c>
      <c r="J965" s="119">
        <f t="shared" ref="J965:J984" si="190">K965*I965</f>
        <v>0</v>
      </c>
      <c r="K965" s="120">
        <f t="shared" ref="K965:K984" si="191">G965/B$2</f>
        <v>0</v>
      </c>
    </row>
    <row r="966" spans="1:11" x14ac:dyDescent="0.3">
      <c r="A966" s="116" t="s">
        <v>260</v>
      </c>
      <c r="B966" s="129">
        <f>'Free Spins Symbol'!$V$18</f>
        <v>100</v>
      </c>
      <c r="C966" s="117">
        <f>VLOOKUP(MID($A966,4,2),'Free Spins Symbol'!$T$2:$Z$29,4,0)</f>
        <v>1</v>
      </c>
      <c r="D966" s="117">
        <f>VLOOKUP(MID($A966,7,2),'Free Spins Symbol'!$T$2:$Z$29,5,0)</f>
        <v>9</v>
      </c>
      <c r="E966" s="129">
        <f>'Free Spins Symbol'!$Y$18</f>
        <v>32</v>
      </c>
      <c r="F966" s="129">
        <f>'Free Spins Symbol'!$Z$18</f>
        <v>48</v>
      </c>
      <c r="G966" s="100">
        <f t="shared" ref="G966:G969" si="192">(B966*C966*D966*E966-B955*C955*D955*E955)*(F966-F956)</f>
        <v>0</v>
      </c>
      <c r="H966" s="118" t="e">
        <f t="shared" si="186"/>
        <v>#DIV/0!</v>
      </c>
      <c r="I966" s="100">
        <v>20</v>
      </c>
      <c r="J966" s="119">
        <f t="shared" si="190"/>
        <v>0</v>
      </c>
      <c r="K966" s="120">
        <f t="shared" si="191"/>
        <v>0</v>
      </c>
    </row>
    <row r="967" spans="1:11" x14ac:dyDescent="0.3">
      <c r="A967" s="116" t="s">
        <v>261</v>
      </c>
      <c r="B967" s="129">
        <f>'Free Spins Symbol'!$V$18</f>
        <v>100</v>
      </c>
      <c r="C967" s="117">
        <f>VLOOKUP(MID($A967,4,2),'Free Spins Symbol'!$T$2:$Z$29,4,0)</f>
        <v>13</v>
      </c>
      <c r="D967" s="117">
        <f>VLOOKUP(MID($A967,7,2),'Free Spins Symbol'!$T$2:$Z$29,5,0)</f>
        <v>9</v>
      </c>
      <c r="E967" s="129">
        <f>'Free Spins Symbol'!$Y$18</f>
        <v>32</v>
      </c>
      <c r="F967" s="129">
        <f>'Free Spins Symbol'!$Z$18</f>
        <v>48</v>
      </c>
      <c r="G967" s="100">
        <f t="shared" si="192"/>
        <v>0</v>
      </c>
      <c r="H967" s="118" t="e">
        <f t="shared" si="186"/>
        <v>#DIV/0!</v>
      </c>
      <c r="I967" s="100">
        <v>20</v>
      </c>
      <c r="J967" s="119">
        <f t="shared" si="190"/>
        <v>0</v>
      </c>
      <c r="K967" s="120">
        <f t="shared" si="191"/>
        <v>0</v>
      </c>
    </row>
    <row r="968" spans="1:11" x14ac:dyDescent="0.3">
      <c r="A968" s="116" t="s">
        <v>262</v>
      </c>
      <c r="B968" s="129">
        <f>'Free Spins Symbol'!$V$18</f>
        <v>100</v>
      </c>
      <c r="C968" s="117">
        <f>VLOOKUP(MID($A968,4,2),'Free Spins Symbol'!$T$2:$Z$29,4,0)</f>
        <v>13</v>
      </c>
      <c r="D968" s="117">
        <f>VLOOKUP(MID($A968,7,2),'Free Spins Symbol'!$T$2:$Z$29,5,0)</f>
        <v>1</v>
      </c>
      <c r="E968" s="129">
        <f>'Free Spins Symbol'!$Y$18</f>
        <v>32</v>
      </c>
      <c r="F968" s="129">
        <f>'Free Spins Symbol'!$Z$18</f>
        <v>48</v>
      </c>
      <c r="G968" s="100">
        <f t="shared" si="192"/>
        <v>0</v>
      </c>
      <c r="H968" s="118" t="e">
        <f t="shared" si="186"/>
        <v>#DIV/0!</v>
      </c>
      <c r="I968" s="100">
        <v>20</v>
      </c>
      <c r="J968" s="119">
        <f t="shared" si="190"/>
        <v>0</v>
      </c>
      <c r="K968" s="120">
        <f t="shared" si="191"/>
        <v>0</v>
      </c>
    </row>
    <row r="969" spans="1:11" x14ac:dyDescent="0.3">
      <c r="A969" s="116" t="s">
        <v>263</v>
      </c>
      <c r="B969" s="129">
        <f>'Free Spins Symbol'!$V$18</f>
        <v>100</v>
      </c>
      <c r="C969" s="117">
        <f>VLOOKUP(MID($A969,4,2),'Free Spins Symbol'!$T$2:$Z$29,4,0)</f>
        <v>2</v>
      </c>
      <c r="D969" s="117">
        <f>VLOOKUP(MID($A969,7,2),'Free Spins Symbol'!$T$2:$Z$29,5,0)</f>
        <v>10</v>
      </c>
      <c r="E969" s="129">
        <f>'Free Spins Symbol'!$Y$18</f>
        <v>32</v>
      </c>
      <c r="F969" s="129">
        <f>'Free Spins Symbol'!$Z$18</f>
        <v>48</v>
      </c>
      <c r="G969" s="100">
        <f t="shared" si="192"/>
        <v>0</v>
      </c>
      <c r="H969" s="118" t="e">
        <f t="shared" si="186"/>
        <v>#DIV/0!</v>
      </c>
      <c r="I969" s="100">
        <v>20</v>
      </c>
      <c r="J969" s="119">
        <f t="shared" si="190"/>
        <v>0</v>
      </c>
      <c r="K969" s="120">
        <f t="shared" si="191"/>
        <v>0</v>
      </c>
    </row>
    <row r="970" spans="1:11" x14ac:dyDescent="0.3">
      <c r="A970" s="116" t="s">
        <v>265</v>
      </c>
      <c r="B970" s="129">
        <f>'Free Spins Symbol'!$V$18</f>
        <v>100</v>
      </c>
      <c r="C970" s="117">
        <f>VLOOKUP(MID($A970,4,2),'Free Spins Symbol'!$T$2:$Z$29,4,0)</f>
        <v>2</v>
      </c>
      <c r="D970" s="117">
        <f>VLOOKUP(MID($A970,7,2),'Free Spins Symbol'!$T$2:$Z$29,5,0)</f>
        <v>2</v>
      </c>
      <c r="E970" s="129">
        <f>'Free Spins Symbol'!$Y$18</f>
        <v>32</v>
      </c>
      <c r="F970" s="129">
        <f>'Free Spins Symbol'!$Z$18</f>
        <v>48</v>
      </c>
      <c r="G970" s="100">
        <f>(B970*C970*D970)*(E970-E960)*F970</f>
        <v>0</v>
      </c>
      <c r="H970" s="118" t="e">
        <f t="shared" si="186"/>
        <v>#DIV/0!</v>
      </c>
      <c r="I970" s="100">
        <v>20</v>
      </c>
      <c r="J970" s="119">
        <f t="shared" si="190"/>
        <v>0</v>
      </c>
      <c r="K970" s="120">
        <f t="shared" si="191"/>
        <v>0</v>
      </c>
    </row>
    <row r="971" spans="1:11" x14ac:dyDescent="0.3">
      <c r="A971" s="116" t="s">
        <v>266</v>
      </c>
      <c r="B971" s="129">
        <f>'Free Spins Symbol'!$V$18</f>
        <v>100</v>
      </c>
      <c r="C971" s="117">
        <f>VLOOKUP(MID($A971,4,2),'Free Spins Symbol'!$T$2:$Z$29,4,0)</f>
        <v>2</v>
      </c>
      <c r="D971" s="117">
        <f>VLOOKUP(MID($A971,7,2),'Free Spins Symbol'!$T$2:$Z$29,5,0)</f>
        <v>3</v>
      </c>
      <c r="E971" s="129">
        <f>'Free Spins Symbol'!$Y$18</f>
        <v>32</v>
      </c>
      <c r="F971" s="129">
        <f>'Free Spins Symbol'!$Z$18</f>
        <v>48</v>
      </c>
      <c r="G971" s="100">
        <f>(B971*C971*D971-B964*C964*D964)*(E971-E961)*F971</f>
        <v>0</v>
      </c>
      <c r="H971" s="118" t="e">
        <f t="shared" si="186"/>
        <v>#DIV/0!</v>
      </c>
      <c r="I971" s="100">
        <v>20</v>
      </c>
      <c r="J971" s="119">
        <f t="shared" si="190"/>
        <v>0</v>
      </c>
      <c r="K971" s="120">
        <f t="shared" si="191"/>
        <v>0</v>
      </c>
    </row>
    <row r="972" spans="1:11" x14ac:dyDescent="0.3">
      <c r="A972" s="116" t="s">
        <v>267</v>
      </c>
      <c r="B972" s="129">
        <f>'Free Spins Symbol'!$V$18</f>
        <v>100</v>
      </c>
      <c r="C972" s="117">
        <f>VLOOKUP(MID($A972,4,2),'Free Spins Symbol'!$T$2:$Z$29,4,0)</f>
        <v>4</v>
      </c>
      <c r="D972" s="117">
        <f>VLOOKUP(MID($A972,7,2),'Free Spins Symbol'!$T$2:$Z$29,5,0)</f>
        <v>2</v>
      </c>
      <c r="E972" s="129">
        <f>'Free Spins Symbol'!$Y$18</f>
        <v>32</v>
      </c>
      <c r="F972" s="129">
        <f>'Free Spins Symbol'!$Z$18</f>
        <v>48</v>
      </c>
      <c r="G972" s="100">
        <f>(B972*C972*D972-B964*C964*D964)*(E972-E962)*F972</f>
        <v>0</v>
      </c>
      <c r="H972" s="118" t="e">
        <f t="shared" si="186"/>
        <v>#DIV/0!</v>
      </c>
      <c r="I972" s="100">
        <v>10</v>
      </c>
      <c r="J972" s="119">
        <f t="shared" si="190"/>
        <v>0</v>
      </c>
      <c r="K972" s="120">
        <f t="shared" si="191"/>
        <v>0</v>
      </c>
    </row>
    <row r="973" spans="1:11" x14ac:dyDescent="0.3">
      <c r="A973" s="116" t="s">
        <v>268</v>
      </c>
      <c r="B973" s="129">
        <f>'Free Spins Symbol'!$V$18</f>
        <v>100</v>
      </c>
      <c r="C973" s="117">
        <f>VLOOKUP(MID($A973,4,2),'Free Spins Symbol'!$T$2:$Z$29,4,0)</f>
        <v>4</v>
      </c>
      <c r="D973" s="117">
        <f>VLOOKUP(MID($A973,7,2),'Free Spins Symbol'!$T$2:$Z$29,5,0)</f>
        <v>2</v>
      </c>
      <c r="E973" s="129">
        <f>'Free Spins Symbol'!$Y$18</f>
        <v>32</v>
      </c>
      <c r="F973" s="129">
        <f>'Free Spins Symbol'!$Z$18</f>
        <v>48</v>
      </c>
      <c r="G973" s="100">
        <f>(B973*C973*D973-B964*C964*D964)*(E973-E963)*F973</f>
        <v>0</v>
      </c>
      <c r="H973" s="118" t="e">
        <f t="shared" si="186"/>
        <v>#DIV/0!</v>
      </c>
      <c r="I973" s="100">
        <v>10</v>
      </c>
      <c r="J973" s="119">
        <f t="shared" si="190"/>
        <v>0</v>
      </c>
      <c r="K973" s="120">
        <f t="shared" si="191"/>
        <v>0</v>
      </c>
    </row>
    <row r="974" spans="1:11" x14ac:dyDescent="0.3">
      <c r="A974" s="116" t="s">
        <v>269</v>
      </c>
      <c r="B974" s="129">
        <f>'Free Spins Symbol'!$V$18</f>
        <v>100</v>
      </c>
      <c r="C974" s="117">
        <f>VLOOKUP(MID($A974,4,2),'Free Spins Symbol'!$T$2:$Z$29,4,0)</f>
        <v>13</v>
      </c>
      <c r="D974" s="117">
        <f>VLOOKUP(MID($A974,7,2),'Free Spins Symbol'!$T$2:$Z$29,5,0)</f>
        <v>1</v>
      </c>
      <c r="E974" s="129">
        <f>'Free Spins Symbol'!$Y$18</f>
        <v>32</v>
      </c>
      <c r="F974" s="129">
        <f>'Free Spins Symbol'!$Z$18</f>
        <v>48</v>
      </c>
      <c r="G974" s="100">
        <f>(B974*C974*D974-B964*C964*D964)*(E974-E965)*F974</f>
        <v>0</v>
      </c>
      <c r="H974" s="118" t="e">
        <f t="shared" si="186"/>
        <v>#DIV/0!</v>
      </c>
      <c r="I974" s="100">
        <v>5</v>
      </c>
      <c r="J974" s="119">
        <f t="shared" si="190"/>
        <v>0</v>
      </c>
      <c r="K974" s="120">
        <f t="shared" si="191"/>
        <v>0</v>
      </c>
    </row>
    <row r="975" spans="1:11" x14ac:dyDescent="0.3">
      <c r="A975" s="116" t="s">
        <v>270</v>
      </c>
      <c r="B975" s="129">
        <f>'Free Spins Symbol'!$V$18</f>
        <v>100</v>
      </c>
      <c r="C975" s="117">
        <f>VLOOKUP(MID($A975,4,2),'Free Spins Symbol'!$T$2:$Z$29,4,0)</f>
        <v>1</v>
      </c>
      <c r="D975" s="117">
        <f>VLOOKUP(MID($A975,7,2),'Free Spins Symbol'!$T$2:$Z$29,5,0)</f>
        <v>9</v>
      </c>
      <c r="E975" s="129">
        <f>'Free Spins Symbol'!$Y$18</f>
        <v>32</v>
      </c>
      <c r="F975" s="129">
        <f>'Free Spins Symbol'!$Z$18</f>
        <v>48</v>
      </c>
      <c r="G975" s="100">
        <f>(B975*C975*D975-B964*C964*D964)*(E975-E966)*F975</f>
        <v>0</v>
      </c>
      <c r="H975" s="118" t="e">
        <f t="shared" si="186"/>
        <v>#DIV/0!</v>
      </c>
      <c r="I975" s="100">
        <v>5</v>
      </c>
      <c r="J975" s="119">
        <f t="shared" si="190"/>
        <v>0</v>
      </c>
      <c r="K975" s="120">
        <f t="shared" si="191"/>
        <v>0</v>
      </c>
    </row>
    <row r="976" spans="1:11" x14ac:dyDescent="0.3">
      <c r="A976" s="116" t="s">
        <v>271</v>
      </c>
      <c r="B976" s="129">
        <f>'Free Spins Symbol'!$V$18</f>
        <v>100</v>
      </c>
      <c r="C976" s="117">
        <f>VLOOKUP(MID($A976,4,2),'Free Spins Symbol'!$T$2:$Z$29,4,0)</f>
        <v>13</v>
      </c>
      <c r="D976" s="117">
        <f>VLOOKUP(MID($A976,7,2),'Free Spins Symbol'!$T$2:$Z$29,5,0)</f>
        <v>9</v>
      </c>
      <c r="E976" s="129">
        <f>'Free Spins Symbol'!$Y$18</f>
        <v>32</v>
      </c>
      <c r="F976" s="129">
        <f>'Free Spins Symbol'!$Z$18</f>
        <v>48</v>
      </c>
      <c r="G976" s="100">
        <f>(B976*C976*D976-B964*C964*D964)*(E976-E967)*F976</f>
        <v>0</v>
      </c>
      <c r="H976" s="118" t="e">
        <f t="shared" si="186"/>
        <v>#DIV/0!</v>
      </c>
      <c r="I976" s="100">
        <v>5</v>
      </c>
      <c r="J976" s="119">
        <f t="shared" si="190"/>
        <v>0</v>
      </c>
      <c r="K976" s="120">
        <f t="shared" si="191"/>
        <v>0</v>
      </c>
    </row>
    <row r="977" spans="1:11" x14ac:dyDescent="0.3">
      <c r="A977" s="116" t="s">
        <v>272</v>
      </c>
      <c r="B977" s="129">
        <f>'Free Spins Symbol'!$V$18</f>
        <v>100</v>
      </c>
      <c r="C977" s="117">
        <f>VLOOKUP(MID($A977,4,2),'Free Spins Symbol'!$T$2:$Z$29,4,0)</f>
        <v>13</v>
      </c>
      <c r="D977" s="117">
        <f>VLOOKUP(MID($A977,7,2),'Free Spins Symbol'!$T$2:$Z$29,5,0)</f>
        <v>1</v>
      </c>
      <c r="E977" s="129">
        <f>'Free Spins Symbol'!$Y$18</f>
        <v>32</v>
      </c>
      <c r="F977" s="129">
        <f>'Free Spins Symbol'!$Z$18</f>
        <v>48</v>
      </c>
      <c r="G977" s="100">
        <f>(B977*C977*D977-B964*C964*D964)*(E977-E968)*F977</f>
        <v>0</v>
      </c>
      <c r="H977" s="118" t="e">
        <f t="shared" si="186"/>
        <v>#DIV/0!</v>
      </c>
      <c r="I977" s="100">
        <v>5</v>
      </c>
      <c r="J977" s="119">
        <f t="shared" si="190"/>
        <v>0</v>
      </c>
      <c r="K977" s="120">
        <f t="shared" si="191"/>
        <v>0</v>
      </c>
    </row>
    <row r="978" spans="1:11" x14ac:dyDescent="0.3">
      <c r="A978" s="116" t="s">
        <v>273</v>
      </c>
      <c r="B978" s="129">
        <f>'Free Spins Symbol'!$V$18</f>
        <v>100</v>
      </c>
      <c r="C978" s="117">
        <f>VLOOKUP(MID($A978,4,2),'Free Spins Symbol'!$T$2:$Z$29,4,0)</f>
        <v>2</v>
      </c>
      <c r="D978" s="117">
        <f>VLOOKUP(MID($A978,7,2),'Free Spins Symbol'!$T$2:$Z$29,5,0)</f>
        <v>10</v>
      </c>
      <c r="E978" s="129">
        <f>'Free Spins Symbol'!$Y$18</f>
        <v>32</v>
      </c>
      <c r="F978" s="129">
        <f>'Free Spins Symbol'!$Z$18</f>
        <v>48</v>
      </c>
      <c r="G978" s="100">
        <f>(B978*C978*D978-B964*C964*D964)*(E978-E969)*F978</f>
        <v>0</v>
      </c>
      <c r="H978" s="118" t="e">
        <f t="shared" si="186"/>
        <v>#DIV/0!</v>
      </c>
      <c r="I978" s="100">
        <v>5</v>
      </c>
      <c r="J978" s="119">
        <f t="shared" si="190"/>
        <v>0</v>
      </c>
      <c r="K978" s="120">
        <f t="shared" si="191"/>
        <v>0</v>
      </c>
    </row>
    <row r="979" spans="1:11" x14ac:dyDescent="0.3">
      <c r="A979" s="116" t="s">
        <v>274</v>
      </c>
      <c r="B979" s="129">
        <f>'Free Spins Symbol'!$V$18</f>
        <v>100</v>
      </c>
      <c r="C979" s="117">
        <f>VLOOKUP(MID($A979,4,2),'Free Spins Symbol'!$T$2:$Z$29,4,0)</f>
        <v>0</v>
      </c>
      <c r="D979" s="117">
        <f>VLOOKUP(MID($A979,7,2),'Free Spins Symbol'!$T$2:$Z$29,5,0)</f>
        <v>40</v>
      </c>
      <c r="E979" s="129">
        <f>'Free Spins Symbol'!$Y$18</f>
        <v>32</v>
      </c>
      <c r="F979" s="129">
        <f>'Free Spins Symbol'!$Z$18</f>
        <v>48</v>
      </c>
      <c r="G979" s="100">
        <f>B979*C979*(D979-D978-D977-D976-D975-D974-D973-D972-D971-D970+8*D964)*E979*F979</f>
        <v>0</v>
      </c>
      <c r="H979" s="118" t="e">
        <f t="shared" si="186"/>
        <v>#DIV/0!</v>
      </c>
      <c r="I979" s="100">
        <v>5</v>
      </c>
      <c r="J979" s="119">
        <f t="shared" si="190"/>
        <v>0</v>
      </c>
      <c r="K979" s="120">
        <f t="shared" si="191"/>
        <v>0</v>
      </c>
    </row>
    <row r="980" spans="1:11" x14ac:dyDescent="0.3">
      <c r="A980" s="116" t="s">
        <v>275</v>
      </c>
      <c r="B980" s="129">
        <f>'Free Spins Symbol'!$V$18</f>
        <v>100</v>
      </c>
      <c r="C980" s="117">
        <f>VLOOKUP(MID($A980,4,2),'Free Spins Symbol'!$T$2:$Z$29,4,0)</f>
        <v>2</v>
      </c>
      <c r="D980" s="117">
        <f>VLOOKUP(MID($A980,7,2),'Free Spins Symbol'!$T$2:$Z$29,5,0)</f>
        <v>40</v>
      </c>
      <c r="E980" s="129">
        <f>'Free Spins Symbol'!$Y$18</f>
        <v>32</v>
      </c>
      <c r="F980" s="129">
        <f>'Free Spins Symbol'!$Z$18</f>
        <v>48</v>
      </c>
      <c r="G980" s="100">
        <f>(B980*C980-B979*C979)*(D980-D970)*E980*F980</f>
        <v>11673600</v>
      </c>
      <c r="H980" s="118">
        <f t="shared" si="186"/>
        <v>29.473684210526315</v>
      </c>
      <c r="I980" s="100">
        <v>5</v>
      </c>
      <c r="J980" s="119">
        <f t="shared" si="190"/>
        <v>0.16964285714285712</v>
      </c>
      <c r="K980" s="120">
        <f t="shared" si="191"/>
        <v>3.3928571428571426E-2</v>
      </c>
    </row>
    <row r="981" spans="1:11" x14ac:dyDescent="0.3">
      <c r="A981" s="116" t="s">
        <v>276</v>
      </c>
      <c r="B981" s="129">
        <f>'Free Spins Symbol'!$V$18</f>
        <v>100</v>
      </c>
      <c r="C981" s="117">
        <f>VLOOKUP(MID($A981,4,2),'Free Spins Symbol'!$T$2:$Z$29,4,0)</f>
        <v>2</v>
      </c>
      <c r="D981" s="117">
        <f>VLOOKUP(MID($A981,7,2),'Free Spins Symbol'!$T$2:$Z$29,5,0)</f>
        <v>40</v>
      </c>
      <c r="E981" s="129">
        <f>'Free Spins Symbol'!$Y$18</f>
        <v>32</v>
      </c>
      <c r="F981" s="129">
        <f>'Free Spins Symbol'!$Z$18</f>
        <v>48</v>
      </c>
      <c r="G981" s="100">
        <f>(B981*C981-B979*C979)*(D981-D971)*E981*F981</f>
        <v>11366400</v>
      </c>
      <c r="H981" s="118">
        <f t="shared" si="186"/>
        <v>30.27027027027027</v>
      </c>
      <c r="I981" s="100">
        <v>5</v>
      </c>
      <c r="J981" s="119">
        <f t="shared" si="190"/>
        <v>0.16517857142857142</v>
      </c>
      <c r="K981" s="120">
        <f t="shared" si="191"/>
        <v>3.3035714285714286E-2</v>
      </c>
    </row>
    <row r="982" spans="1:11" x14ac:dyDescent="0.3">
      <c r="A982" s="116" t="s">
        <v>277</v>
      </c>
      <c r="B982" s="129">
        <f>'Free Spins Symbol'!$V$18</f>
        <v>100</v>
      </c>
      <c r="C982" s="117">
        <f>VLOOKUP(MID($A982,4,2),'Free Spins Symbol'!$T$2:$Z$29,4,0)</f>
        <v>4</v>
      </c>
      <c r="D982" s="117">
        <f>VLOOKUP(MID($A982,7,2),'Free Spins Symbol'!$T$2:$Z$29,5,0)</f>
        <v>40</v>
      </c>
      <c r="E982" s="129">
        <f>'Free Spins Symbol'!$Y$18</f>
        <v>32</v>
      </c>
      <c r="F982" s="129">
        <f>'Free Spins Symbol'!$Z$18</f>
        <v>48</v>
      </c>
      <c r="G982" s="100">
        <f>(B982*C982-B979*C979)*(D982-D972)*E982*F982</f>
        <v>23347200</v>
      </c>
      <c r="H982" s="118">
        <f t="shared" si="186"/>
        <v>14.736842105263158</v>
      </c>
      <c r="I982" s="100">
        <v>5</v>
      </c>
      <c r="J982" s="119">
        <f t="shared" si="190"/>
        <v>0.33928571428571425</v>
      </c>
      <c r="K982" s="120">
        <f t="shared" si="191"/>
        <v>6.7857142857142852E-2</v>
      </c>
    </row>
    <row r="983" spans="1:11" x14ac:dyDescent="0.3">
      <c r="A983" s="116" t="s">
        <v>278</v>
      </c>
      <c r="B983" s="129">
        <f>'Free Spins Symbol'!$V$18</f>
        <v>100</v>
      </c>
      <c r="C983" s="117">
        <f>VLOOKUP(MID($A983,4,2),'Free Spins Symbol'!$T$2:$Z$29,4,0)</f>
        <v>4</v>
      </c>
      <c r="D983" s="117">
        <f>VLOOKUP(MID($A983,7,2),'Free Spins Symbol'!$T$2:$Z$29,5,0)</f>
        <v>40</v>
      </c>
      <c r="E983" s="129">
        <f>'Free Spins Symbol'!$Y$18</f>
        <v>32</v>
      </c>
      <c r="F983" s="129">
        <f>'Free Spins Symbol'!$Z$18</f>
        <v>48</v>
      </c>
      <c r="G983" s="100">
        <f>(B983*C983-B979*C979)*(D983-D973)*E983*F983</f>
        <v>23347200</v>
      </c>
      <c r="H983" s="118">
        <f t="shared" si="186"/>
        <v>14.736842105263158</v>
      </c>
      <c r="I983" s="100">
        <v>5</v>
      </c>
      <c r="J983" s="119">
        <f t="shared" si="190"/>
        <v>0.33928571428571425</v>
      </c>
      <c r="K983" s="120">
        <f t="shared" si="191"/>
        <v>6.7857142857142852E-2</v>
      </c>
    </row>
    <row r="984" spans="1:11" x14ac:dyDescent="0.3">
      <c r="A984" s="122" t="s">
        <v>279</v>
      </c>
      <c r="B984" s="117">
        <f>VLOOKUP(MID($A984,1,2),'Free Spins Symbol'!$T$2:$Z$29,3,0)</f>
        <v>100</v>
      </c>
      <c r="C984" s="117">
        <f>VLOOKUP(MID($A984,4,2),'Free Spins Symbol'!$T$2:$Z$29,4,0)</f>
        <v>8</v>
      </c>
      <c r="D984" s="117">
        <f>VLOOKUP(MID($A984,7,2),'Free Spins Symbol'!$T$2:$Z$29,5,0)</f>
        <v>4</v>
      </c>
      <c r="E984" s="117">
        <f>VLOOKUP(MID($A984,10,2),'Free Spins Symbol'!$T$2:$Z$29,6,0)</f>
        <v>16</v>
      </c>
      <c r="F984" s="117">
        <f>VLOOKUP(MID($A984,13,2),'Free Spins Symbol'!$T$2:$Z$29,7,0)</f>
        <v>48</v>
      </c>
      <c r="G984" s="100">
        <f>B984*C984*D984*E984*F984</f>
        <v>2457600</v>
      </c>
      <c r="H984" s="118">
        <f t="shared" si="186"/>
        <v>140</v>
      </c>
      <c r="I984" s="123">
        <v>2</v>
      </c>
      <c r="J984" s="124">
        <f t="shared" si="190"/>
        <v>1.4285714285714285E-2</v>
      </c>
      <c r="K984" s="120">
        <f t="shared" si="191"/>
        <v>7.1428571428571426E-3</v>
      </c>
    </row>
    <row r="986" spans="1:11" ht="16.8" thickBot="1" x14ac:dyDescent="0.35"/>
    <row r="987" spans="1:11" ht="16.8" thickBot="1" x14ac:dyDescent="0.35">
      <c r="A987" s="125" t="s">
        <v>316</v>
      </c>
    </row>
    <row r="988" spans="1:11" ht="16.8" thickBot="1" x14ac:dyDescent="0.35">
      <c r="A988" s="95" t="s">
        <v>280</v>
      </c>
      <c r="B988" s="142">
        <f>B2</f>
        <v>344064000</v>
      </c>
      <c r="C988" s="142"/>
      <c r="D988" s="142"/>
      <c r="E988" s="142"/>
      <c r="F988" s="142"/>
      <c r="G988" s="7"/>
      <c r="H988" s="106"/>
      <c r="I988" s="107" t="s">
        <v>281</v>
      </c>
      <c r="J988" s="108">
        <f>SUM(J990:J1024)</f>
        <v>31.822500000000002</v>
      </c>
      <c r="K988" s="126">
        <f>SUM(K990:K1025)</f>
        <v>0.43939285714285714</v>
      </c>
    </row>
    <row r="989" spans="1:11" ht="33" thickBot="1" x14ac:dyDescent="0.35">
      <c r="A989" s="109" t="s">
        <v>233</v>
      </c>
      <c r="B989" s="110" t="s">
        <v>234</v>
      </c>
      <c r="C989" s="110" t="s">
        <v>235</v>
      </c>
      <c r="D989" s="110" t="s">
        <v>236</v>
      </c>
      <c r="E989" s="110" t="s">
        <v>237</v>
      </c>
      <c r="F989" s="110" t="s">
        <v>238</v>
      </c>
      <c r="G989" s="111" t="s">
        <v>239</v>
      </c>
      <c r="H989" s="112" t="s">
        <v>240</v>
      </c>
      <c r="I989" s="113" t="s">
        <v>241</v>
      </c>
      <c r="J989" s="114" t="s">
        <v>242</v>
      </c>
      <c r="K989" s="115" t="s">
        <v>243</v>
      </c>
    </row>
    <row r="990" spans="1:11" x14ac:dyDescent="0.3">
      <c r="A990" s="116" t="s">
        <v>244</v>
      </c>
      <c r="B990" s="117">
        <f>VLOOKUP(MID($A990,1,2),'Free Spins Symbol'!$T$2:$Z$29,3,0)</f>
        <v>18</v>
      </c>
      <c r="C990" s="129">
        <f>'Free Spins Symbol'!$W$18</f>
        <v>56</v>
      </c>
      <c r="D990" s="117">
        <f>VLOOKUP(MID($A990,7,2),'Free Spins Symbol'!$T$2:$Z$29,5,0)</f>
        <v>0</v>
      </c>
      <c r="E990" s="129">
        <f>'Free Spins Symbol'!$Y$18</f>
        <v>32</v>
      </c>
      <c r="F990" s="129">
        <f>'Free Spins Symbol'!$Z$18</f>
        <v>48</v>
      </c>
      <c r="G990" s="100">
        <f>B990*C990*D990*E990*F990</f>
        <v>0</v>
      </c>
      <c r="H990" s="118" t="e">
        <f>B$2/G990</f>
        <v>#DIV/0!</v>
      </c>
      <c r="I990" s="100">
        <v>500</v>
      </c>
      <c r="J990" s="119">
        <f t="shared" ref="J990:J994" si="193">K990*I990</f>
        <v>0</v>
      </c>
      <c r="K990" s="120">
        <f>G990/B$2</f>
        <v>0</v>
      </c>
    </row>
    <row r="991" spans="1:11" x14ac:dyDescent="0.3">
      <c r="A991" s="116" t="s">
        <v>245</v>
      </c>
      <c r="B991" s="117">
        <f>VLOOKUP(MID($A991,1,2),'Free Spins Symbol'!$T$2:$Z$29,3,0)</f>
        <v>20</v>
      </c>
      <c r="C991" s="129">
        <f>'Free Spins Symbol'!$W$18</f>
        <v>56</v>
      </c>
      <c r="D991" s="117">
        <f>VLOOKUP(MID($A991,7,2),'Free Spins Symbol'!$T$2:$Z$29,5,0)</f>
        <v>2</v>
      </c>
      <c r="E991" s="129">
        <f>'Free Spins Symbol'!$Y$18</f>
        <v>32</v>
      </c>
      <c r="F991" s="129">
        <f>'Free Spins Symbol'!$Z$18</f>
        <v>48</v>
      </c>
      <c r="G991" s="100">
        <f>B991*C991*D991*E991*F991-G990</f>
        <v>3440640</v>
      </c>
      <c r="H991" s="118">
        <f t="shared" ref="H991:H1025" si="194">B$2/G991</f>
        <v>100</v>
      </c>
      <c r="I991" s="100">
        <v>250</v>
      </c>
      <c r="J991" s="119">
        <f t="shared" si="193"/>
        <v>2.5</v>
      </c>
      <c r="K991" s="120">
        <f t="shared" ref="K991:K994" si="195">G991/B$2</f>
        <v>0.01</v>
      </c>
    </row>
    <row r="992" spans="1:11" x14ac:dyDescent="0.3">
      <c r="A992" s="116" t="s">
        <v>246</v>
      </c>
      <c r="B992" s="117">
        <f>VLOOKUP(MID($A992,1,2),'Free Spins Symbol'!$T$2:$Z$29,3,0)</f>
        <v>22</v>
      </c>
      <c r="C992" s="129">
        <f>'Free Spins Symbol'!$W$18</f>
        <v>56</v>
      </c>
      <c r="D992" s="117">
        <f>VLOOKUP(MID($A992,7,2),'Free Spins Symbol'!$T$2:$Z$29,5,0)</f>
        <v>3</v>
      </c>
      <c r="E992" s="129">
        <f>'Free Spins Symbol'!$Y$18</f>
        <v>32</v>
      </c>
      <c r="F992" s="129">
        <f>'Free Spins Symbol'!$Z$18</f>
        <v>48</v>
      </c>
      <c r="G992" s="100">
        <f>B992*C992*D992*E992*F992-G990</f>
        <v>5677056</v>
      </c>
      <c r="H992" s="118">
        <f t="shared" si="194"/>
        <v>60.606060606060609</v>
      </c>
      <c r="I992" s="100">
        <v>250</v>
      </c>
      <c r="J992" s="119">
        <f t="shared" si="193"/>
        <v>4.125</v>
      </c>
      <c r="K992" s="120">
        <f t="shared" si="195"/>
        <v>1.6500000000000001E-2</v>
      </c>
    </row>
    <row r="993" spans="1:11" x14ac:dyDescent="0.3">
      <c r="A993" s="116" t="s">
        <v>247</v>
      </c>
      <c r="B993" s="117">
        <f>VLOOKUP(MID($A993,1,2),'Free Spins Symbol'!$T$2:$Z$29,3,0)</f>
        <v>24</v>
      </c>
      <c r="C993" s="129">
        <f>'Free Spins Symbol'!$W$18</f>
        <v>56</v>
      </c>
      <c r="D993" s="117">
        <f>VLOOKUP(MID($A993,7,2),'Free Spins Symbol'!$T$2:$Z$29,5,0)</f>
        <v>2</v>
      </c>
      <c r="E993" s="129">
        <f>'Free Spins Symbol'!$Y$18</f>
        <v>32</v>
      </c>
      <c r="F993" s="129">
        <f>'Free Spins Symbol'!$Z$18</f>
        <v>48</v>
      </c>
      <c r="G993" s="100">
        <f>B993*C993*D993*E993*F993-G990</f>
        <v>4128768</v>
      </c>
      <c r="H993" s="118">
        <f t="shared" si="194"/>
        <v>83.333333333333329</v>
      </c>
      <c r="I993" s="100">
        <v>150</v>
      </c>
      <c r="J993" s="119">
        <f t="shared" si="193"/>
        <v>1.8</v>
      </c>
      <c r="K993" s="120">
        <f t="shared" si="195"/>
        <v>1.2E-2</v>
      </c>
    </row>
    <row r="994" spans="1:11" x14ac:dyDescent="0.3">
      <c r="A994" s="116" t="s">
        <v>248</v>
      </c>
      <c r="B994" s="117">
        <f>VLOOKUP(MID($A994,1,2),'Free Spins Symbol'!$T$2:$Z$29,3,0)</f>
        <v>24</v>
      </c>
      <c r="C994" s="129">
        <f>'Free Spins Symbol'!$W$18</f>
        <v>56</v>
      </c>
      <c r="D994" s="117">
        <f>VLOOKUP(MID($A994,7,2),'Free Spins Symbol'!$T$2:$Z$29,5,0)</f>
        <v>2</v>
      </c>
      <c r="E994" s="129">
        <f>'Free Spins Symbol'!$Y$18</f>
        <v>32</v>
      </c>
      <c r="F994" s="129">
        <f>'Free Spins Symbol'!$Z$18</f>
        <v>48</v>
      </c>
      <c r="G994" s="100">
        <f>B994*C994*D994*E994*F994-G990</f>
        <v>4128768</v>
      </c>
      <c r="H994" s="118">
        <f t="shared" si="194"/>
        <v>83.333333333333329</v>
      </c>
      <c r="I994" s="100">
        <v>150</v>
      </c>
      <c r="J994" s="119">
        <f t="shared" si="193"/>
        <v>1.8</v>
      </c>
      <c r="K994" s="120">
        <f t="shared" si="195"/>
        <v>1.2E-2</v>
      </c>
    </row>
    <row r="995" spans="1:11" x14ac:dyDescent="0.3">
      <c r="A995" s="116" t="s">
        <v>254</v>
      </c>
      <c r="B995" s="117">
        <f>VLOOKUP(MID($A995,1,2),'Free Spins Symbol'!$T$2:$Z$29,3,0)</f>
        <v>18</v>
      </c>
      <c r="C995" s="129">
        <f>'Free Spins Symbol'!$W$18</f>
        <v>56</v>
      </c>
      <c r="D995" s="117">
        <f>VLOOKUP(MID($A995,7,2),'Free Spins Symbol'!$T$2:$Z$29,5,0)</f>
        <v>0</v>
      </c>
      <c r="E995" s="129">
        <f>'Free Spins Symbol'!$Y$18</f>
        <v>32</v>
      </c>
      <c r="F995" s="129">
        <f>'Free Spins Symbol'!$Z$18</f>
        <v>48</v>
      </c>
      <c r="G995" s="100">
        <f>B995*C995*D995*E995*(F995-F994-F993-F992-F991+3*F990)</f>
        <v>0</v>
      </c>
      <c r="H995" s="118" t="e">
        <f t="shared" si="194"/>
        <v>#DIV/0!</v>
      </c>
      <c r="I995" s="100">
        <v>100</v>
      </c>
      <c r="J995" s="119">
        <f>K995*I995</f>
        <v>0</v>
      </c>
      <c r="K995" s="120">
        <f>G995/B$2</f>
        <v>0</v>
      </c>
    </row>
    <row r="996" spans="1:11" x14ac:dyDescent="0.3">
      <c r="A996" s="116" t="s">
        <v>249</v>
      </c>
      <c r="B996" s="117">
        <f>VLOOKUP(MID($A996,1,2),'Free Spins Symbol'!$T$2:$Z$29,3,0)</f>
        <v>38</v>
      </c>
      <c r="C996" s="129">
        <f>'Free Spins Symbol'!$W$18</f>
        <v>56</v>
      </c>
      <c r="D996" s="117">
        <f>VLOOKUP(MID($A996,7,2),'Free Spins Symbol'!$T$2:$Z$29,5,0)</f>
        <v>1</v>
      </c>
      <c r="E996" s="129">
        <f>'Free Spins Symbol'!$Y$18</f>
        <v>32</v>
      </c>
      <c r="F996" s="129">
        <f>'Free Spins Symbol'!$Z$18</f>
        <v>48</v>
      </c>
      <c r="G996" s="100">
        <f>B996*C996*D996*E996*F996-G990</f>
        <v>3268608</v>
      </c>
      <c r="H996" s="118">
        <f t="shared" si="194"/>
        <v>105.26315789473684</v>
      </c>
      <c r="I996" s="100">
        <v>100</v>
      </c>
      <c r="J996" s="119">
        <f t="shared" ref="J996:J1004" si="196">K996*I996</f>
        <v>0.95</v>
      </c>
      <c r="K996" s="120">
        <f t="shared" ref="K996:K1004" si="197">G996/B$2</f>
        <v>9.4999999999999998E-3</v>
      </c>
    </row>
    <row r="997" spans="1:11" x14ac:dyDescent="0.3">
      <c r="A997" s="116" t="s">
        <v>250</v>
      </c>
      <c r="B997" s="117">
        <f>VLOOKUP(MID($A997,1,2),'Free Spins Symbol'!$T$2:$Z$29,3,0)</f>
        <v>35</v>
      </c>
      <c r="C997" s="129">
        <f>'Free Spins Symbol'!$W$18</f>
        <v>56</v>
      </c>
      <c r="D997" s="117">
        <f>VLOOKUP(MID($A997,7,2),'Free Spins Symbol'!$T$2:$Z$29,5,0)</f>
        <v>9</v>
      </c>
      <c r="E997" s="129">
        <f>'Free Spins Symbol'!$Y$18</f>
        <v>32</v>
      </c>
      <c r="F997" s="129">
        <f>'Free Spins Symbol'!$Z$18</f>
        <v>48</v>
      </c>
      <c r="G997" s="100">
        <f>B997*C997*D997*E997*F997-G990</f>
        <v>27095040</v>
      </c>
      <c r="H997" s="118">
        <f t="shared" si="194"/>
        <v>12.698412698412698</v>
      </c>
      <c r="I997" s="100">
        <v>100</v>
      </c>
      <c r="J997" s="119">
        <f t="shared" si="196"/>
        <v>7.875</v>
      </c>
      <c r="K997" s="120">
        <f t="shared" si="197"/>
        <v>7.8750000000000001E-2</v>
      </c>
    </row>
    <row r="998" spans="1:11" x14ac:dyDescent="0.3">
      <c r="A998" s="116" t="s">
        <v>251</v>
      </c>
      <c r="B998" s="117">
        <f>VLOOKUP(MID($A998,1,2),'Free Spins Symbol'!$T$2:$Z$29,3,0)</f>
        <v>28</v>
      </c>
      <c r="C998" s="129">
        <f>'Free Spins Symbol'!$W$18</f>
        <v>56</v>
      </c>
      <c r="D998" s="117">
        <f>VLOOKUP(MID($A998,7,2),'Free Spins Symbol'!$T$2:$Z$29,5,0)</f>
        <v>9</v>
      </c>
      <c r="E998" s="129">
        <f>'Free Spins Symbol'!$Y$18</f>
        <v>32</v>
      </c>
      <c r="F998" s="129">
        <f>'Free Spins Symbol'!$Z$18</f>
        <v>48</v>
      </c>
      <c r="G998" s="100">
        <f>B998*C998*D998*E998*F998-G990</f>
        <v>21676032</v>
      </c>
      <c r="H998" s="118">
        <f t="shared" si="194"/>
        <v>15.873015873015873</v>
      </c>
      <c r="I998" s="100">
        <v>100</v>
      </c>
      <c r="J998" s="119">
        <f t="shared" si="196"/>
        <v>6.3</v>
      </c>
      <c r="K998" s="120">
        <f t="shared" si="197"/>
        <v>6.3E-2</v>
      </c>
    </row>
    <row r="999" spans="1:11" x14ac:dyDescent="0.3">
      <c r="A999" s="116" t="s">
        <v>252</v>
      </c>
      <c r="B999" s="117">
        <f>VLOOKUP(MID($A999,1,2),'Free Spins Symbol'!$T$2:$Z$29,3,0)</f>
        <v>34</v>
      </c>
      <c r="C999" s="129">
        <f>'Free Spins Symbol'!$W$18</f>
        <v>56</v>
      </c>
      <c r="D999" s="117">
        <f>VLOOKUP(MID($A999,7,2),'Free Spins Symbol'!$T$2:$Z$29,5,0)</f>
        <v>1</v>
      </c>
      <c r="E999" s="129">
        <f>'Free Spins Symbol'!$Y$18</f>
        <v>32</v>
      </c>
      <c r="F999" s="129">
        <f>'Free Spins Symbol'!$Z$18</f>
        <v>48</v>
      </c>
      <c r="G999" s="100">
        <f>(B999*C999*D999*E999-B995*C995*D995*E995)*F999</f>
        <v>2924544</v>
      </c>
      <c r="H999" s="118">
        <f t="shared" si="194"/>
        <v>117.64705882352941</v>
      </c>
      <c r="I999" s="100">
        <v>100</v>
      </c>
      <c r="J999" s="119">
        <f t="shared" si="196"/>
        <v>0.85000000000000009</v>
      </c>
      <c r="K999" s="120">
        <f t="shared" si="197"/>
        <v>8.5000000000000006E-3</v>
      </c>
    </row>
    <row r="1000" spans="1:11" x14ac:dyDescent="0.3">
      <c r="A1000" s="116" t="s">
        <v>253</v>
      </c>
      <c r="B1000" s="117">
        <f>VLOOKUP(MID($A1000,1,2),'Free Spins Symbol'!$T$2:$Z$29,3,0)</f>
        <v>19</v>
      </c>
      <c r="C1000" s="129">
        <f>'Free Spins Symbol'!$W$18</f>
        <v>56</v>
      </c>
      <c r="D1000" s="117">
        <f>VLOOKUP(MID($A1000,7,2),'Free Spins Symbol'!$T$2:$Z$29,5,0)</f>
        <v>10</v>
      </c>
      <c r="E1000" s="129">
        <f>'Free Spins Symbol'!$Y$18</f>
        <v>32</v>
      </c>
      <c r="F1000" s="129">
        <f>'Free Spins Symbol'!$Z$18</f>
        <v>48</v>
      </c>
      <c r="G1000" s="100">
        <f>B1000*C1000*D1000*E1000*F1000-G990</f>
        <v>16343040</v>
      </c>
      <c r="H1000" s="118">
        <f t="shared" si="194"/>
        <v>21.05263157894737</v>
      </c>
      <c r="I1000" s="100">
        <v>100</v>
      </c>
      <c r="J1000" s="119">
        <f t="shared" si="196"/>
        <v>4.75</v>
      </c>
      <c r="K1000" s="120">
        <f t="shared" si="197"/>
        <v>4.7500000000000001E-2</v>
      </c>
    </row>
    <row r="1001" spans="1:11" x14ac:dyDescent="0.3">
      <c r="A1001" s="116" t="s">
        <v>255</v>
      </c>
      <c r="B1001" s="117">
        <f>VLOOKUP(MID($A1001,1,2),'Free Spins Symbol'!$T$2:$Z$29,3,0)</f>
        <v>20</v>
      </c>
      <c r="C1001" s="129">
        <f>'Free Spins Symbol'!$W$18</f>
        <v>56</v>
      </c>
      <c r="D1001" s="117">
        <f>VLOOKUP(MID($A1001,7,2),'Free Spins Symbol'!$T$2:$Z$29,5,0)</f>
        <v>2</v>
      </c>
      <c r="E1001" s="129">
        <f>'Free Spins Symbol'!$Y$18</f>
        <v>32</v>
      </c>
      <c r="F1001" s="129">
        <f>'Free Spins Symbol'!$Z$18</f>
        <v>48</v>
      </c>
      <c r="G1001" s="100">
        <f>(B1001*C1001*D1001*E1001-B995*C995*D995*E995)*(F1001-F991)</f>
        <v>0</v>
      </c>
      <c r="H1001" s="118" t="e">
        <f t="shared" si="194"/>
        <v>#DIV/0!</v>
      </c>
      <c r="I1001" s="100">
        <v>50</v>
      </c>
      <c r="J1001" s="119">
        <f t="shared" si="196"/>
        <v>0</v>
      </c>
      <c r="K1001" s="120">
        <f t="shared" si="197"/>
        <v>0</v>
      </c>
    </row>
    <row r="1002" spans="1:11" x14ac:dyDescent="0.3">
      <c r="A1002" s="116" t="s">
        <v>256</v>
      </c>
      <c r="B1002" s="117">
        <f>VLOOKUP(MID($A1002,1,2),'Free Spins Symbol'!$T$2:$Z$29,3,0)</f>
        <v>22</v>
      </c>
      <c r="C1002" s="129">
        <f>'Free Spins Symbol'!$W$18</f>
        <v>56</v>
      </c>
      <c r="D1002" s="117">
        <f>VLOOKUP(MID($A1002,7,2),'Free Spins Symbol'!$T$2:$Z$29,5,0)</f>
        <v>3</v>
      </c>
      <c r="E1002" s="129">
        <f>'Free Spins Symbol'!$Y$18</f>
        <v>32</v>
      </c>
      <c r="F1002" s="129">
        <f>'Free Spins Symbol'!$Z$18</f>
        <v>48</v>
      </c>
      <c r="G1002" s="100">
        <f>(B1002*C1002*D1002*E1002-B995*C995*D995*E995)*(F1002-F992)</f>
        <v>0</v>
      </c>
      <c r="H1002" s="118" t="e">
        <f t="shared" si="194"/>
        <v>#DIV/0!</v>
      </c>
      <c r="I1002" s="100">
        <v>50</v>
      </c>
      <c r="J1002" s="119">
        <f t="shared" si="196"/>
        <v>0</v>
      </c>
      <c r="K1002" s="120">
        <f t="shared" si="197"/>
        <v>0</v>
      </c>
    </row>
    <row r="1003" spans="1:11" x14ac:dyDescent="0.3">
      <c r="A1003" s="116" t="s">
        <v>257</v>
      </c>
      <c r="B1003" s="117">
        <f>VLOOKUP(MID($A1003,1,2),'Free Spins Symbol'!$T$2:$Z$29,3,0)</f>
        <v>24</v>
      </c>
      <c r="C1003" s="129">
        <f>'Free Spins Symbol'!$W$18</f>
        <v>56</v>
      </c>
      <c r="D1003" s="117">
        <f>VLOOKUP(MID($A1003,7,2),'Free Spins Symbol'!$T$2:$Z$29,5,0)</f>
        <v>2</v>
      </c>
      <c r="E1003" s="129">
        <f>'Free Spins Symbol'!$Y$18</f>
        <v>32</v>
      </c>
      <c r="F1003" s="129">
        <f>'Free Spins Symbol'!$Z$18</f>
        <v>48</v>
      </c>
      <c r="G1003" s="100">
        <f>(B1003*C1003*D1003*E1003-B995*C995*D995*E995)*(F1003-F993)</f>
        <v>0</v>
      </c>
      <c r="H1003" s="118" t="e">
        <f t="shared" si="194"/>
        <v>#DIV/0!</v>
      </c>
      <c r="I1003" s="100">
        <v>30</v>
      </c>
      <c r="J1003" s="119">
        <f t="shared" si="196"/>
        <v>0</v>
      </c>
      <c r="K1003" s="120">
        <f t="shared" si="197"/>
        <v>0</v>
      </c>
    </row>
    <row r="1004" spans="1:11" x14ac:dyDescent="0.3">
      <c r="A1004" s="116" t="s">
        <v>258</v>
      </c>
      <c r="B1004" s="117">
        <f>VLOOKUP(MID($A1004,1,2),'Free Spins Symbol'!$T$2:$Z$29,3,0)</f>
        <v>24</v>
      </c>
      <c r="C1004" s="129">
        <f>'Free Spins Symbol'!$W$18</f>
        <v>56</v>
      </c>
      <c r="D1004" s="117">
        <f>VLOOKUP(MID($A1004,7,2),'Free Spins Symbol'!$T$2:$Z$29,5,0)</f>
        <v>2</v>
      </c>
      <c r="E1004" s="129">
        <f>'Free Spins Symbol'!$Y$18</f>
        <v>32</v>
      </c>
      <c r="F1004" s="129">
        <f>'Free Spins Symbol'!$Z$18</f>
        <v>48</v>
      </c>
      <c r="G1004" s="100">
        <f>(B1004*C1004*D1004*E1004-B995*C995*D995*E995)*(F1004-F994)</f>
        <v>0</v>
      </c>
      <c r="H1004" s="118" t="e">
        <f t="shared" si="194"/>
        <v>#DIV/0!</v>
      </c>
      <c r="I1004" s="100">
        <v>30</v>
      </c>
      <c r="J1004" s="119">
        <f t="shared" si="196"/>
        <v>0</v>
      </c>
      <c r="K1004" s="120">
        <f t="shared" si="197"/>
        <v>0</v>
      </c>
    </row>
    <row r="1005" spans="1:11" x14ac:dyDescent="0.3">
      <c r="A1005" s="116" t="s">
        <v>264</v>
      </c>
      <c r="B1005" s="117">
        <f>VLOOKUP(MID($A1005,1,2),'Free Spins Symbol'!$T$2:$Z$29,3,0)</f>
        <v>18</v>
      </c>
      <c r="C1005" s="129">
        <f>'Free Spins Symbol'!$W$18</f>
        <v>56</v>
      </c>
      <c r="D1005" s="117">
        <f>VLOOKUP(MID($A1005,7,2),'Free Spins Symbol'!$T$2:$Z$29,5,0)</f>
        <v>0</v>
      </c>
      <c r="E1005" s="129">
        <f>'Free Spins Symbol'!$Y$18</f>
        <v>32</v>
      </c>
      <c r="F1005" s="129">
        <f>'Free Spins Symbol'!$Z$18</f>
        <v>48</v>
      </c>
      <c r="G1005" s="100">
        <f>(B1005*C1005*D1005)*(E1005*F1005-(E1004+E1003+E1002+E1001-3*E995)*F995-(E1000-E995)*F1000-(E999-E995)*F999-(E998-E995)*F998-(E997-E995)*F997-(E996-E995)*F996)</f>
        <v>0</v>
      </c>
      <c r="H1005" s="118" t="e">
        <f t="shared" si="194"/>
        <v>#DIV/0!</v>
      </c>
      <c r="I1005" s="100">
        <v>20</v>
      </c>
      <c r="J1005" s="119">
        <f>K1005*I1005</f>
        <v>0</v>
      </c>
      <c r="K1005" s="120">
        <f>G1005/B$2</f>
        <v>0</v>
      </c>
    </row>
    <row r="1006" spans="1:11" x14ac:dyDescent="0.3">
      <c r="A1006" s="116" t="s">
        <v>259</v>
      </c>
      <c r="B1006" s="117">
        <f>VLOOKUP(MID($A1006,1,2),'Free Spins Symbol'!$T$2:$Z$29,3,0)</f>
        <v>38</v>
      </c>
      <c r="C1006" s="129">
        <f>'Free Spins Symbol'!$W$18</f>
        <v>56</v>
      </c>
      <c r="D1006" s="117">
        <f>VLOOKUP(MID($A1006,7,2),'Free Spins Symbol'!$T$2:$Z$29,5,0)</f>
        <v>1</v>
      </c>
      <c r="E1006" s="129">
        <f>'Free Spins Symbol'!$Y$18</f>
        <v>32</v>
      </c>
      <c r="F1006" s="129">
        <f>'Free Spins Symbol'!$Z$18</f>
        <v>48</v>
      </c>
      <c r="G1006" s="100">
        <f>B1006*C1006*D1006*E1006*(F1006-F996)</f>
        <v>0</v>
      </c>
      <c r="H1006" s="118" t="e">
        <f t="shared" si="194"/>
        <v>#DIV/0!</v>
      </c>
      <c r="I1006" s="100">
        <v>20</v>
      </c>
      <c r="J1006" s="119">
        <f t="shared" ref="J1006:J1025" si="198">K1006*I1006</f>
        <v>0</v>
      </c>
      <c r="K1006" s="120">
        <f t="shared" ref="K1006:K1025" si="199">G1006/B$2</f>
        <v>0</v>
      </c>
    </row>
    <row r="1007" spans="1:11" x14ac:dyDescent="0.3">
      <c r="A1007" s="116" t="s">
        <v>260</v>
      </c>
      <c r="B1007" s="117">
        <f>VLOOKUP(MID($A1007,1,2),'Free Spins Symbol'!$T$2:$Z$29,3,0)</f>
        <v>35</v>
      </c>
      <c r="C1007" s="129">
        <f>'Free Spins Symbol'!$W$18</f>
        <v>56</v>
      </c>
      <c r="D1007" s="117">
        <f>VLOOKUP(MID($A1007,7,2),'Free Spins Symbol'!$T$2:$Z$29,5,0)</f>
        <v>9</v>
      </c>
      <c r="E1007" s="129">
        <f>'Free Spins Symbol'!$Y$18</f>
        <v>32</v>
      </c>
      <c r="F1007" s="129">
        <f>'Free Spins Symbol'!$Z$18</f>
        <v>48</v>
      </c>
      <c r="G1007" s="100">
        <f t="shared" ref="G1007:G1010" si="200">B1007*C1007*D1007*E1007*(F1007-F997)</f>
        <v>0</v>
      </c>
      <c r="H1007" s="118" t="e">
        <f t="shared" si="194"/>
        <v>#DIV/0!</v>
      </c>
      <c r="I1007" s="100">
        <v>20</v>
      </c>
      <c r="J1007" s="119">
        <f t="shared" si="198"/>
        <v>0</v>
      </c>
      <c r="K1007" s="120">
        <f t="shared" si="199"/>
        <v>0</v>
      </c>
    </row>
    <row r="1008" spans="1:11" x14ac:dyDescent="0.3">
      <c r="A1008" s="116" t="s">
        <v>261</v>
      </c>
      <c r="B1008" s="117">
        <f>VLOOKUP(MID($A1008,1,2),'Free Spins Symbol'!$T$2:$Z$29,3,0)</f>
        <v>28</v>
      </c>
      <c r="C1008" s="129">
        <f>'Free Spins Symbol'!$W$18</f>
        <v>56</v>
      </c>
      <c r="D1008" s="117">
        <f>VLOOKUP(MID($A1008,7,2),'Free Spins Symbol'!$T$2:$Z$29,5,0)</f>
        <v>9</v>
      </c>
      <c r="E1008" s="129">
        <f>'Free Spins Symbol'!$Y$18</f>
        <v>32</v>
      </c>
      <c r="F1008" s="129">
        <f>'Free Spins Symbol'!$Z$18</f>
        <v>48</v>
      </c>
      <c r="G1008" s="100">
        <f t="shared" si="200"/>
        <v>0</v>
      </c>
      <c r="H1008" s="118" t="e">
        <f t="shared" si="194"/>
        <v>#DIV/0!</v>
      </c>
      <c r="I1008" s="100">
        <v>20</v>
      </c>
      <c r="J1008" s="119">
        <f t="shared" si="198"/>
        <v>0</v>
      </c>
      <c r="K1008" s="120">
        <f t="shared" si="199"/>
        <v>0</v>
      </c>
    </row>
    <row r="1009" spans="1:11" x14ac:dyDescent="0.3">
      <c r="A1009" s="116" t="s">
        <v>262</v>
      </c>
      <c r="B1009" s="117">
        <f>VLOOKUP(MID($A1009,1,2),'Free Spins Symbol'!$T$2:$Z$29,3,0)</f>
        <v>34</v>
      </c>
      <c r="C1009" s="129">
        <f>'Free Spins Symbol'!$W$18</f>
        <v>56</v>
      </c>
      <c r="D1009" s="117">
        <f>VLOOKUP(MID($A1009,7,2),'Free Spins Symbol'!$T$2:$Z$29,5,0)</f>
        <v>1</v>
      </c>
      <c r="E1009" s="129">
        <f>'Free Spins Symbol'!$Y$18</f>
        <v>32</v>
      </c>
      <c r="F1009" s="129">
        <f>'Free Spins Symbol'!$Z$18</f>
        <v>48</v>
      </c>
      <c r="G1009" s="100">
        <f t="shared" si="200"/>
        <v>0</v>
      </c>
      <c r="H1009" s="118" t="e">
        <f t="shared" si="194"/>
        <v>#DIV/0!</v>
      </c>
      <c r="I1009" s="100">
        <v>20</v>
      </c>
      <c r="J1009" s="119">
        <f t="shared" si="198"/>
        <v>0</v>
      </c>
      <c r="K1009" s="120">
        <f t="shared" si="199"/>
        <v>0</v>
      </c>
    </row>
    <row r="1010" spans="1:11" x14ac:dyDescent="0.3">
      <c r="A1010" s="116" t="s">
        <v>263</v>
      </c>
      <c r="B1010" s="117">
        <f>VLOOKUP(MID($A1010,1,2),'Free Spins Symbol'!$T$2:$Z$29,3,0)</f>
        <v>19</v>
      </c>
      <c r="C1010" s="129">
        <f>'Free Spins Symbol'!$W$18</f>
        <v>56</v>
      </c>
      <c r="D1010" s="117">
        <f>VLOOKUP(MID($A1010,7,2),'Free Spins Symbol'!$T$2:$Z$29,5,0)</f>
        <v>10</v>
      </c>
      <c r="E1010" s="129">
        <f>'Free Spins Symbol'!$Y$18</f>
        <v>32</v>
      </c>
      <c r="F1010" s="129">
        <f>'Free Spins Symbol'!$Z$18</f>
        <v>48</v>
      </c>
      <c r="G1010" s="100">
        <f t="shared" si="200"/>
        <v>0</v>
      </c>
      <c r="H1010" s="118" t="e">
        <f t="shared" si="194"/>
        <v>#DIV/0!</v>
      </c>
      <c r="I1010" s="100">
        <v>20</v>
      </c>
      <c r="J1010" s="119">
        <f t="shared" si="198"/>
        <v>0</v>
      </c>
      <c r="K1010" s="120">
        <f t="shared" si="199"/>
        <v>0</v>
      </c>
    </row>
    <row r="1011" spans="1:11" x14ac:dyDescent="0.3">
      <c r="A1011" s="116" t="s">
        <v>265</v>
      </c>
      <c r="B1011" s="117">
        <f>VLOOKUP(MID($A1011,1,2),'Free Spins Symbol'!$T$2:$Z$29,3,0)</f>
        <v>20</v>
      </c>
      <c r="C1011" s="129">
        <f>'Free Spins Symbol'!$W$18</f>
        <v>56</v>
      </c>
      <c r="D1011" s="117">
        <f>VLOOKUP(MID($A1011,7,2),'Free Spins Symbol'!$T$2:$Z$29,5,0)</f>
        <v>2</v>
      </c>
      <c r="E1011" s="129">
        <f>'Free Spins Symbol'!$Y$18</f>
        <v>32</v>
      </c>
      <c r="F1011" s="129">
        <f>'Free Spins Symbol'!$Z$18</f>
        <v>48</v>
      </c>
      <c r="G1011" s="100">
        <f>(B1011*C1011*D1011)*(E1011-E1001)*F1011</f>
        <v>0</v>
      </c>
      <c r="H1011" s="118" t="e">
        <f t="shared" si="194"/>
        <v>#DIV/0!</v>
      </c>
      <c r="I1011" s="100">
        <v>20</v>
      </c>
      <c r="J1011" s="119">
        <f t="shared" si="198"/>
        <v>0</v>
      </c>
      <c r="K1011" s="120">
        <f t="shared" si="199"/>
        <v>0</v>
      </c>
    </row>
    <row r="1012" spans="1:11" x14ac:dyDescent="0.3">
      <c r="A1012" s="116" t="s">
        <v>266</v>
      </c>
      <c r="B1012" s="117">
        <f>VLOOKUP(MID($A1012,1,2),'Free Spins Symbol'!$T$2:$Z$29,3,0)</f>
        <v>22</v>
      </c>
      <c r="C1012" s="129">
        <f>'Free Spins Symbol'!$W$18</f>
        <v>56</v>
      </c>
      <c r="D1012" s="117">
        <f>VLOOKUP(MID($A1012,7,2),'Free Spins Symbol'!$T$2:$Z$29,5,0)</f>
        <v>3</v>
      </c>
      <c r="E1012" s="129">
        <f>'Free Spins Symbol'!$Y$18</f>
        <v>32</v>
      </c>
      <c r="F1012" s="129">
        <f>'Free Spins Symbol'!$Z$18</f>
        <v>48</v>
      </c>
      <c r="G1012" s="100">
        <f>(B1012*C1012*D1012)*(E1012-E1002)*F1012</f>
        <v>0</v>
      </c>
      <c r="H1012" s="118" t="e">
        <f t="shared" si="194"/>
        <v>#DIV/0!</v>
      </c>
      <c r="I1012" s="100">
        <v>20</v>
      </c>
      <c r="J1012" s="119">
        <f t="shared" si="198"/>
        <v>0</v>
      </c>
      <c r="K1012" s="120">
        <f t="shared" si="199"/>
        <v>0</v>
      </c>
    </row>
    <row r="1013" spans="1:11" x14ac:dyDescent="0.3">
      <c r="A1013" s="116" t="s">
        <v>267</v>
      </c>
      <c r="B1013" s="117">
        <f>VLOOKUP(MID($A1013,1,2),'Free Spins Symbol'!$T$2:$Z$29,3,0)</f>
        <v>24</v>
      </c>
      <c r="C1013" s="129">
        <f>'Free Spins Symbol'!$W$18</f>
        <v>56</v>
      </c>
      <c r="D1013" s="117">
        <f>VLOOKUP(MID($A1013,7,2),'Free Spins Symbol'!$T$2:$Z$29,5,0)</f>
        <v>2</v>
      </c>
      <c r="E1013" s="129">
        <f>'Free Spins Symbol'!$Y$18</f>
        <v>32</v>
      </c>
      <c r="F1013" s="129">
        <f>'Free Spins Symbol'!$Z$18</f>
        <v>48</v>
      </c>
      <c r="G1013" s="100">
        <f>(B1013*C1013*D1013-B1005*C1005*D1005)*(E1013-E1003)*F1013</f>
        <v>0</v>
      </c>
      <c r="H1013" s="118" t="e">
        <f t="shared" si="194"/>
        <v>#DIV/0!</v>
      </c>
      <c r="I1013" s="100">
        <v>10</v>
      </c>
      <c r="J1013" s="119">
        <f t="shared" si="198"/>
        <v>0</v>
      </c>
      <c r="K1013" s="120">
        <f t="shared" si="199"/>
        <v>0</v>
      </c>
    </row>
    <row r="1014" spans="1:11" x14ac:dyDescent="0.3">
      <c r="A1014" s="116" t="s">
        <v>268</v>
      </c>
      <c r="B1014" s="117">
        <f>VLOOKUP(MID($A1014,1,2),'Free Spins Symbol'!$T$2:$Z$29,3,0)</f>
        <v>24</v>
      </c>
      <c r="C1014" s="129">
        <f>'Free Spins Symbol'!$W$18</f>
        <v>56</v>
      </c>
      <c r="D1014" s="117">
        <f>VLOOKUP(MID($A1014,7,2),'Free Spins Symbol'!$T$2:$Z$29,5,0)</f>
        <v>2</v>
      </c>
      <c r="E1014" s="129">
        <f>'Free Spins Symbol'!$Y$18</f>
        <v>32</v>
      </c>
      <c r="F1014" s="129">
        <f>'Free Spins Symbol'!$Z$18</f>
        <v>48</v>
      </c>
      <c r="G1014" s="100">
        <f>(B1014*C1014*D1014-B1005*C1005*D1005)*(E1014-E1004)*F1014</f>
        <v>0</v>
      </c>
      <c r="H1014" s="118" t="e">
        <f t="shared" si="194"/>
        <v>#DIV/0!</v>
      </c>
      <c r="I1014" s="100">
        <v>10</v>
      </c>
      <c r="J1014" s="119">
        <f t="shared" si="198"/>
        <v>0</v>
      </c>
      <c r="K1014" s="120">
        <f t="shared" si="199"/>
        <v>0</v>
      </c>
    </row>
    <row r="1015" spans="1:11" x14ac:dyDescent="0.3">
      <c r="A1015" s="116" t="s">
        <v>269</v>
      </c>
      <c r="B1015" s="117">
        <f>VLOOKUP(MID($A1015,1,2),'Free Spins Symbol'!$T$2:$Z$29,3,0)</f>
        <v>38</v>
      </c>
      <c r="C1015" s="129">
        <f>'Free Spins Symbol'!$W$18</f>
        <v>56</v>
      </c>
      <c r="D1015" s="117">
        <f>VLOOKUP(MID($A1015,7,2),'Free Spins Symbol'!$T$2:$Z$29,5,0)</f>
        <v>1</v>
      </c>
      <c r="E1015" s="129">
        <f>'Free Spins Symbol'!$Y$18</f>
        <v>32</v>
      </c>
      <c r="F1015" s="129">
        <f>'Free Spins Symbol'!$Z$18</f>
        <v>48</v>
      </c>
      <c r="G1015" s="100">
        <f>(B1015*C1015*D1015-B1005*C1005*D1005)*(E1015-E1006)*F1015</f>
        <v>0</v>
      </c>
      <c r="H1015" s="118" t="e">
        <f t="shared" si="194"/>
        <v>#DIV/0!</v>
      </c>
      <c r="I1015" s="100">
        <v>5</v>
      </c>
      <c r="J1015" s="119">
        <f t="shared" si="198"/>
        <v>0</v>
      </c>
      <c r="K1015" s="120">
        <f t="shared" si="199"/>
        <v>0</v>
      </c>
    </row>
    <row r="1016" spans="1:11" x14ac:dyDescent="0.3">
      <c r="A1016" s="116" t="s">
        <v>270</v>
      </c>
      <c r="B1016" s="117">
        <f>VLOOKUP(MID($A1016,1,2),'Free Spins Symbol'!$T$2:$Z$29,3,0)</f>
        <v>35</v>
      </c>
      <c r="C1016" s="129">
        <f>'Free Spins Symbol'!$W$18</f>
        <v>56</v>
      </c>
      <c r="D1016" s="117">
        <f>VLOOKUP(MID($A1016,7,2),'Free Spins Symbol'!$T$2:$Z$29,5,0)</f>
        <v>9</v>
      </c>
      <c r="E1016" s="129">
        <f>'Free Spins Symbol'!$Y$18</f>
        <v>32</v>
      </c>
      <c r="F1016" s="129">
        <f>'Free Spins Symbol'!$Z$18</f>
        <v>48</v>
      </c>
      <c r="G1016" s="100">
        <f>(B1016*C1016*D1016-B1005*C1005*D1005)*(E1016-E1007)*F1016</f>
        <v>0</v>
      </c>
      <c r="H1016" s="118" t="e">
        <f t="shared" si="194"/>
        <v>#DIV/0!</v>
      </c>
      <c r="I1016" s="100">
        <v>5</v>
      </c>
      <c r="J1016" s="119">
        <f t="shared" si="198"/>
        <v>0</v>
      </c>
      <c r="K1016" s="120">
        <f t="shared" si="199"/>
        <v>0</v>
      </c>
    </row>
    <row r="1017" spans="1:11" x14ac:dyDescent="0.3">
      <c r="A1017" s="116" t="s">
        <v>271</v>
      </c>
      <c r="B1017" s="117">
        <f>VLOOKUP(MID($A1017,1,2),'Free Spins Symbol'!$T$2:$Z$29,3,0)</f>
        <v>28</v>
      </c>
      <c r="C1017" s="129">
        <f>'Free Spins Symbol'!$W$18</f>
        <v>56</v>
      </c>
      <c r="D1017" s="117">
        <f>VLOOKUP(MID($A1017,7,2),'Free Spins Symbol'!$T$2:$Z$29,5,0)</f>
        <v>9</v>
      </c>
      <c r="E1017" s="129">
        <f>'Free Spins Symbol'!$Y$18</f>
        <v>32</v>
      </c>
      <c r="F1017" s="129">
        <f>'Free Spins Symbol'!$Z$18</f>
        <v>48</v>
      </c>
      <c r="G1017" s="100">
        <f>(B1017*C1017*D1017-B1005*C1005*D1005)*(E1017-E1008)*F1017</f>
        <v>0</v>
      </c>
      <c r="H1017" s="118" t="e">
        <f t="shared" si="194"/>
        <v>#DIV/0!</v>
      </c>
      <c r="I1017" s="100">
        <v>5</v>
      </c>
      <c r="J1017" s="119">
        <f t="shared" si="198"/>
        <v>0</v>
      </c>
      <c r="K1017" s="120">
        <f t="shared" si="199"/>
        <v>0</v>
      </c>
    </row>
    <row r="1018" spans="1:11" x14ac:dyDescent="0.3">
      <c r="A1018" s="116" t="s">
        <v>272</v>
      </c>
      <c r="B1018" s="117">
        <f>VLOOKUP(MID($A1018,1,2),'Free Spins Symbol'!$T$2:$Z$29,3,0)</f>
        <v>34</v>
      </c>
      <c r="C1018" s="129">
        <f>'Free Spins Symbol'!$W$18</f>
        <v>56</v>
      </c>
      <c r="D1018" s="117">
        <f>VLOOKUP(MID($A1018,7,2),'Free Spins Symbol'!$T$2:$Z$29,5,0)</f>
        <v>1</v>
      </c>
      <c r="E1018" s="129">
        <f>'Free Spins Symbol'!$Y$18</f>
        <v>32</v>
      </c>
      <c r="F1018" s="129">
        <f>'Free Spins Symbol'!$Z$18</f>
        <v>48</v>
      </c>
      <c r="G1018" s="100">
        <f>(B1018*C1018*D1018-B1005*C1005*D1005)*(E1018-E1009)*F1018</f>
        <v>0</v>
      </c>
      <c r="H1018" s="118" t="e">
        <f t="shared" si="194"/>
        <v>#DIV/0!</v>
      </c>
      <c r="I1018" s="100">
        <v>5</v>
      </c>
      <c r="J1018" s="119">
        <f t="shared" si="198"/>
        <v>0</v>
      </c>
      <c r="K1018" s="120">
        <f t="shared" si="199"/>
        <v>0</v>
      </c>
    </row>
    <row r="1019" spans="1:11" x14ac:dyDescent="0.3">
      <c r="A1019" s="116" t="s">
        <v>273</v>
      </c>
      <c r="B1019" s="117">
        <f>VLOOKUP(MID($A1019,1,2),'Free Spins Symbol'!$T$2:$Z$29,3,0)</f>
        <v>19</v>
      </c>
      <c r="C1019" s="129">
        <f>'Free Spins Symbol'!$W$18</f>
        <v>56</v>
      </c>
      <c r="D1019" s="117">
        <f>VLOOKUP(MID($A1019,7,2),'Free Spins Symbol'!$T$2:$Z$29,5,0)</f>
        <v>10</v>
      </c>
      <c r="E1019" s="129">
        <f>'Free Spins Symbol'!$Y$18</f>
        <v>32</v>
      </c>
      <c r="F1019" s="129">
        <f>'Free Spins Symbol'!$Z$18</f>
        <v>48</v>
      </c>
      <c r="G1019" s="100">
        <f>(B1019*C1019*D1019-B1005*C1005*D1005)*(E1019-E1010)*F1019</f>
        <v>0</v>
      </c>
      <c r="H1019" s="118" t="e">
        <f t="shared" si="194"/>
        <v>#DIV/0!</v>
      </c>
      <c r="I1019" s="100">
        <v>5</v>
      </c>
      <c r="J1019" s="119">
        <f t="shared" si="198"/>
        <v>0</v>
      </c>
      <c r="K1019" s="120">
        <f t="shared" si="199"/>
        <v>0</v>
      </c>
    </row>
    <row r="1020" spans="1:11" x14ac:dyDescent="0.3">
      <c r="A1020" s="116" t="s">
        <v>274</v>
      </c>
      <c r="B1020" s="117">
        <f>VLOOKUP(MID($A1020,1,2),'Free Spins Symbol'!$T$2:$Z$29,3,0)</f>
        <v>18</v>
      </c>
      <c r="C1020" s="129">
        <f>'Free Spins Symbol'!$W$18</f>
        <v>56</v>
      </c>
      <c r="D1020" s="117">
        <f>VLOOKUP(MID($A1020,7,2),'Free Spins Symbol'!$T$2:$Z$29,5,0)</f>
        <v>40</v>
      </c>
      <c r="E1020" s="129">
        <f>'Free Spins Symbol'!$Y$18</f>
        <v>32</v>
      </c>
      <c r="F1020" s="129">
        <f>'Free Spins Symbol'!$Z$18</f>
        <v>48</v>
      </c>
      <c r="G1020" s="100">
        <f>B1020*C1020*(D1020-D1019-D1018-D1017-D1016-D1015-D1014-D1013-D1012-D1011+8*D1005)*E1020*F1020</f>
        <v>1548288</v>
      </c>
      <c r="H1020" s="118">
        <f t="shared" si="194"/>
        <v>222.22222222222223</v>
      </c>
      <c r="I1020" s="100">
        <v>5</v>
      </c>
      <c r="J1020" s="119">
        <f t="shared" si="198"/>
        <v>2.2499999999999999E-2</v>
      </c>
      <c r="K1020" s="120">
        <f t="shared" si="199"/>
        <v>4.4999999999999997E-3</v>
      </c>
    </row>
    <row r="1021" spans="1:11" x14ac:dyDescent="0.3">
      <c r="A1021" s="116" t="s">
        <v>275</v>
      </c>
      <c r="B1021" s="117">
        <f>VLOOKUP(MID($A1021,1,2),'Free Spins Symbol'!$T$2:$Z$29,3,0)</f>
        <v>20</v>
      </c>
      <c r="C1021" s="129">
        <f>'Free Spins Symbol'!$W$18</f>
        <v>56</v>
      </c>
      <c r="D1021" s="117">
        <f>VLOOKUP(MID($A1021,7,2),'Free Spins Symbol'!$T$2:$Z$29,5,0)</f>
        <v>40</v>
      </c>
      <c r="E1021" s="129">
        <f>'Free Spins Symbol'!$Y$18</f>
        <v>32</v>
      </c>
      <c r="F1021" s="129">
        <f>'Free Spins Symbol'!$Z$18</f>
        <v>48</v>
      </c>
      <c r="G1021" s="100">
        <f>(B1021*C1021-B1020*C1020)*(D1021-D1011)*E1021*F1021</f>
        <v>6537216</v>
      </c>
      <c r="H1021" s="118">
        <f t="shared" si="194"/>
        <v>52.631578947368418</v>
      </c>
      <c r="I1021" s="100">
        <v>5</v>
      </c>
      <c r="J1021" s="119">
        <f t="shared" si="198"/>
        <v>9.5000000000000001E-2</v>
      </c>
      <c r="K1021" s="120">
        <f t="shared" si="199"/>
        <v>1.9E-2</v>
      </c>
    </row>
    <row r="1022" spans="1:11" x14ac:dyDescent="0.3">
      <c r="A1022" s="116" t="s">
        <v>276</v>
      </c>
      <c r="B1022" s="117">
        <f>VLOOKUP(MID($A1022,1,2),'Free Spins Symbol'!$T$2:$Z$29,3,0)</f>
        <v>22</v>
      </c>
      <c r="C1022" s="129">
        <f>'Free Spins Symbol'!$W$18</f>
        <v>56</v>
      </c>
      <c r="D1022" s="117">
        <f>VLOOKUP(MID($A1022,7,2),'Free Spins Symbol'!$T$2:$Z$29,5,0)</f>
        <v>40</v>
      </c>
      <c r="E1022" s="129">
        <f>'Free Spins Symbol'!$Y$18</f>
        <v>32</v>
      </c>
      <c r="F1022" s="129">
        <f>'Free Spins Symbol'!$Z$18</f>
        <v>48</v>
      </c>
      <c r="G1022" s="100">
        <f>(B1022*C1022-B1020*C1020)*(D1022-D1012)*E1022*F1022</f>
        <v>12730368</v>
      </c>
      <c r="H1022" s="118">
        <f t="shared" si="194"/>
        <v>27.027027027027028</v>
      </c>
      <c r="I1022" s="100">
        <v>5</v>
      </c>
      <c r="J1022" s="119">
        <f t="shared" si="198"/>
        <v>0.185</v>
      </c>
      <c r="K1022" s="120">
        <f t="shared" si="199"/>
        <v>3.6999999999999998E-2</v>
      </c>
    </row>
    <row r="1023" spans="1:11" x14ac:dyDescent="0.3">
      <c r="A1023" s="116" t="s">
        <v>277</v>
      </c>
      <c r="B1023" s="117">
        <f>VLOOKUP(MID($A1023,1,2),'Free Spins Symbol'!$T$2:$Z$29,3,0)</f>
        <v>24</v>
      </c>
      <c r="C1023" s="129">
        <f>'Free Spins Symbol'!$W$18</f>
        <v>56</v>
      </c>
      <c r="D1023" s="117">
        <f>VLOOKUP(MID($A1023,7,2),'Free Spins Symbol'!$T$2:$Z$29,5,0)</f>
        <v>40</v>
      </c>
      <c r="E1023" s="129">
        <f>'Free Spins Symbol'!$Y$18</f>
        <v>32</v>
      </c>
      <c r="F1023" s="129">
        <f>'Free Spins Symbol'!$Z$18</f>
        <v>48</v>
      </c>
      <c r="G1023" s="100">
        <f>(B1023*C1023-B1020*C1020)*(D1023-D1013)*E1023*F1023</f>
        <v>19611648</v>
      </c>
      <c r="H1023" s="118">
        <f t="shared" si="194"/>
        <v>17.543859649122808</v>
      </c>
      <c r="I1023" s="100">
        <v>5</v>
      </c>
      <c r="J1023" s="119">
        <f t="shared" si="198"/>
        <v>0.28500000000000003</v>
      </c>
      <c r="K1023" s="120">
        <f t="shared" si="199"/>
        <v>5.7000000000000002E-2</v>
      </c>
    </row>
    <row r="1024" spans="1:11" x14ac:dyDescent="0.3">
      <c r="A1024" s="116" t="s">
        <v>278</v>
      </c>
      <c r="B1024" s="117">
        <f>VLOOKUP(MID($A1024,1,2),'Free Spins Symbol'!$T$2:$Z$29,3,0)</f>
        <v>24</v>
      </c>
      <c r="C1024" s="129">
        <f>'Free Spins Symbol'!$W$18</f>
        <v>56</v>
      </c>
      <c r="D1024" s="117">
        <f>VLOOKUP(MID($A1024,7,2),'Free Spins Symbol'!$T$2:$Z$29,5,0)</f>
        <v>40</v>
      </c>
      <c r="E1024" s="129">
        <f>'Free Spins Symbol'!$Y$18</f>
        <v>32</v>
      </c>
      <c r="F1024" s="129">
        <f>'Free Spins Symbol'!$Z$18</f>
        <v>48</v>
      </c>
      <c r="G1024" s="100">
        <f>(B1024*C1024-B1020*C1020)*(D1024-D1014)*E1024*F1024</f>
        <v>19611648</v>
      </c>
      <c r="H1024" s="118">
        <f t="shared" si="194"/>
        <v>17.543859649122808</v>
      </c>
      <c r="I1024" s="100">
        <v>5</v>
      </c>
      <c r="J1024" s="119">
        <f t="shared" si="198"/>
        <v>0.28500000000000003</v>
      </c>
      <c r="K1024" s="120">
        <f t="shared" si="199"/>
        <v>5.7000000000000002E-2</v>
      </c>
    </row>
    <row r="1025" spans="1:11" x14ac:dyDescent="0.3">
      <c r="A1025" s="122" t="s">
        <v>279</v>
      </c>
      <c r="B1025" s="117">
        <f>VLOOKUP(MID($A1025,1,2),'Free Spins Symbol'!$T$2:$Z$29,3,0)</f>
        <v>100</v>
      </c>
      <c r="C1025" s="117">
        <f>VLOOKUP(MID($A1025,4,2),'Free Spins Symbol'!$T$2:$Z$29,4,0)</f>
        <v>8</v>
      </c>
      <c r="D1025" s="117">
        <f>VLOOKUP(MID($A1025,7,2),'Free Spins Symbol'!$T$2:$Z$29,5,0)</f>
        <v>4</v>
      </c>
      <c r="E1025" s="117">
        <f>VLOOKUP(MID($A1025,10,2),'Free Spins Symbol'!$T$2:$Z$29,6,0)</f>
        <v>16</v>
      </c>
      <c r="F1025" s="117">
        <f>VLOOKUP(MID($A1025,13,2),'Free Spins Symbol'!$T$2:$Z$29,7,0)</f>
        <v>48</v>
      </c>
      <c r="G1025" s="100">
        <f>B1025*C1025*D1025*E1025*F1025</f>
        <v>2457600</v>
      </c>
      <c r="H1025" s="118">
        <f t="shared" si="194"/>
        <v>140</v>
      </c>
      <c r="I1025" s="123">
        <v>2</v>
      </c>
      <c r="J1025" s="124">
        <f t="shared" si="198"/>
        <v>1.4285714285714285E-2</v>
      </c>
      <c r="K1025" s="120">
        <f t="shared" si="199"/>
        <v>7.1428571428571426E-3</v>
      </c>
    </row>
    <row r="1027" spans="1:11" ht="16.8" thickBot="1" x14ac:dyDescent="0.35"/>
    <row r="1028" spans="1:11" ht="16.8" thickBot="1" x14ac:dyDescent="0.35">
      <c r="A1028" s="125" t="s">
        <v>317</v>
      </c>
    </row>
    <row r="1029" spans="1:11" ht="16.8" thickBot="1" x14ac:dyDescent="0.35">
      <c r="A1029" s="95" t="s">
        <v>280</v>
      </c>
      <c r="B1029" s="142">
        <f>B2</f>
        <v>344064000</v>
      </c>
      <c r="C1029" s="142"/>
      <c r="D1029" s="142"/>
      <c r="E1029" s="142"/>
      <c r="F1029" s="142"/>
      <c r="G1029" s="7"/>
      <c r="H1029" s="106"/>
      <c r="I1029" s="107" t="s">
        <v>281</v>
      </c>
      <c r="J1029" s="108">
        <f>SUM(J1031:J1065)</f>
        <v>33.410714285714292</v>
      </c>
      <c r="K1029" s="126">
        <f>SUM(K1031:K1066)</f>
        <v>0.30160714285714285</v>
      </c>
    </row>
    <row r="1030" spans="1:11" ht="33" thickBot="1" x14ac:dyDescent="0.35">
      <c r="A1030" s="109" t="s">
        <v>233</v>
      </c>
      <c r="B1030" s="110" t="s">
        <v>234</v>
      </c>
      <c r="C1030" s="110" t="s">
        <v>235</v>
      </c>
      <c r="D1030" s="110" t="s">
        <v>236</v>
      </c>
      <c r="E1030" s="110" t="s">
        <v>237</v>
      </c>
      <c r="F1030" s="110" t="s">
        <v>238</v>
      </c>
      <c r="G1030" s="111" t="s">
        <v>239</v>
      </c>
      <c r="H1030" s="112" t="s">
        <v>240</v>
      </c>
      <c r="I1030" s="113" t="s">
        <v>241</v>
      </c>
      <c r="J1030" s="114" t="s">
        <v>242</v>
      </c>
      <c r="K1030" s="115" t="s">
        <v>243</v>
      </c>
    </row>
    <row r="1031" spans="1:11" x14ac:dyDescent="0.3">
      <c r="A1031" s="116" t="s">
        <v>244</v>
      </c>
      <c r="B1031" s="117">
        <f>VLOOKUP(MID($A1031,1,2),'Free Spins Symbol'!$T$2:$Z$29,3,0)</f>
        <v>18</v>
      </c>
      <c r="C1031" s="117">
        <f>VLOOKUP(MID($A1031,4,2),'Free Spins Symbol'!$T$2:$Z$29,4,0)</f>
        <v>0</v>
      </c>
      <c r="D1031" s="129">
        <f>'Free Spins Symbol'!$X$18</f>
        <v>40</v>
      </c>
      <c r="E1031" s="129">
        <f>'Free Spins Symbol'!$Y$18</f>
        <v>32</v>
      </c>
      <c r="F1031" s="129">
        <f>'Free Spins Symbol'!$Z$18</f>
        <v>48</v>
      </c>
      <c r="G1031" s="100">
        <f>B1031*C1031*D1031*E1031*F1031</f>
        <v>0</v>
      </c>
      <c r="H1031" s="118" t="e">
        <f>B$2/G1031</f>
        <v>#DIV/0!</v>
      </c>
      <c r="I1031" s="100">
        <v>500</v>
      </c>
      <c r="J1031" s="119">
        <f t="shared" ref="J1031:J1035" si="201">K1031*I1031</f>
        <v>0</v>
      </c>
      <c r="K1031" s="120">
        <f>G1031/B$2</f>
        <v>0</v>
      </c>
    </row>
    <row r="1032" spans="1:11" x14ac:dyDescent="0.3">
      <c r="A1032" s="116" t="s">
        <v>245</v>
      </c>
      <c r="B1032" s="117">
        <f>VLOOKUP(MID($A1032,1,2),'Free Spins Symbol'!$T$2:$Z$29,3,0)</f>
        <v>20</v>
      </c>
      <c r="C1032" s="117">
        <f>VLOOKUP(MID($A1032,4,2),'Free Spins Symbol'!$T$2:$Z$29,4,0)</f>
        <v>2</v>
      </c>
      <c r="D1032" s="129">
        <f>'Free Spins Symbol'!$X$18</f>
        <v>40</v>
      </c>
      <c r="E1032" s="129">
        <f>'Free Spins Symbol'!$Y$18</f>
        <v>32</v>
      </c>
      <c r="F1032" s="129">
        <f>'Free Spins Symbol'!$Z$18</f>
        <v>48</v>
      </c>
      <c r="G1032" s="100">
        <f>B1032*C1032*D1032*E1032*F1032-G1031</f>
        <v>2457600</v>
      </c>
      <c r="H1032" s="118">
        <f t="shared" ref="H1032:H1065" si="202">B$2/G1032</f>
        <v>140</v>
      </c>
      <c r="I1032" s="100">
        <v>250</v>
      </c>
      <c r="J1032" s="119">
        <f t="shared" si="201"/>
        <v>1.7857142857142856</v>
      </c>
      <c r="K1032" s="120">
        <f t="shared" ref="K1032:K1035" si="203">G1032/B$2</f>
        <v>7.1428571428571426E-3</v>
      </c>
    </row>
    <row r="1033" spans="1:11" x14ac:dyDescent="0.3">
      <c r="A1033" s="116" t="s">
        <v>246</v>
      </c>
      <c r="B1033" s="117">
        <f>VLOOKUP(MID($A1033,1,2),'Free Spins Symbol'!$T$2:$Z$29,3,0)</f>
        <v>22</v>
      </c>
      <c r="C1033" s="117">
        <f>VLOOKUP(MID($A1033,4,2),'Free Spins Symbol'!$T$2:$Z$29,4,0)</f>
        <v>2</v>
      </c>
      <c r="D1033" s="129">
        <f>'Free Spins Symbol'!$X$18</f>
        <v>40</v>
      </c>
      <c r="E1033" s="129">
        <f>'Free Spins Symbol'!$Y$18</f>
        <v>32</v>
      </c>
      <c r="F1033" s="129">
        <f>'Free Spins Symbol'!$Z$18</f>
        <v>48</v>
      </c>
      <c r="G1033" s="100">
        <f>B1033*C1033*D1033*E1033*F1033-G1031</f>
        <v>2703360</v>
      </c>
      <c r="H1033" s="118">
        <f t="shared" si="202"/>
        <v>127.27272727272727</v>
      </c>
      <c r="I1033" s="100">
        <v>250</v>
      </c>
      <c r="J1033" s="119">
        <f t="shared" si="201"/>
        <v>1.9642857142857144</v>
      </c>
      <c r="K1033" s="120">
        <f t="shared" si="203"/>
        <v>7.8571428571428577E-3</v>
      </c>
    </row>
    <row r="1034" spans="1:11" x14ac:dyDescent="0.3">
      <c r="A1034" s="116" t="s">
        <v>247</v>
      </c>
      <c r="B1034" s="117">
        <f>VLOOKUP(MID($A1034,1,2),'Free Spins Symbol'!$T$2:$Z$29,3,0)</f>
        <v>24</v>
      </c>
      <c r="C1034" s="117">
        <f>VLOOKUP(MID($A1034,4,2),'Free Spins Symbol'!$T$2:$Z$29,4,0)</f>
        <v>4</v>
      </c>
      <c r="D1034" s="129">
        <f>'Free Spins Symbol'!$X$18</f>
        <v>40</v>
      </c>
      <c r="E1034" s="129">
        <f>'Free Spins Symbol'!$Y$18</f>
        <v>32</v>
      </c>
      <c r="F1034" s="129">
        <f>'Free Spins Symbol'!$Z$18</f>
        <v>48</v>
      </c>
      <c r="G1034" s="100">
        <f>B1034*C1034*D1034*E1034*F1034-G1031</f>
        <v>5898240</v>
      </c>
      <c r="H1034" s="118">
        <f t="shared" si="202"/>
        <v>58.333333333333336</v>
      </c>
      <c r="I1034" s="100">
        <v>150</v>
      </c>
      <c r="J1034" s="119">
        <f t="shared" si="201"/>
        <v>2.5714285714285716</v>
      </c>
      <c r="K1034" s="120">
        <f t="shared" si="203"/>
        <v>1.7142857142857144E-2</v>
      </c>
    </row>
    <row r="1035" spans="1:11" x14ac:dyDescent="0.3">
      <c r="A1035" s="116" t="s">
        <v>248</v>
      </c>
      <c r="B1035" s="117">
        <f>VLOOKUP(MID($A1035,1,2),'Free Spins Symbol'!$T$2:$Z$29,3,0)</f>
        <v>24</v>
      </c>
      <c r="C1035" s="117">
        <f>VLOOKUP(MID($A1035,4,2),'Free Spins Symbol'!$T$2:$Z$29,4,0)</f>
        <v>4</v>
      </c>
      <c r="D1035" s="129">
        <f>'Free Spins Symbol'!$X$18</f>
        <v>40</v>
      </c>
      <c r="E1035" s="129">
        <f>'Free Spins Symbol'!$Y$18</f>
        <v>32</v>
      </c>
      <c r="F1035" s="129">
        <f>'Free Spins Symbol'!$Z$18</f>
        <v>48</v>
      </c>
      <c r="G1035" s="100">
        <f>B1035*C1035*D1035*E1035*F1035-G1031</f>
        <v>5898240</v>
      </c>
      <c r="H1035" s="118">
        <f t="shared" si="202"/>
        <v>58.333333333333336</v>
      </c>
      <c r="I1035" s="100">
        <v>150</v>
      </c>
      <c r="J1035" s="119">
        <f t="shared" si="201"/>
        <v>2.5714285714285716</v>
      </c>
      <c r="K1035" s="120">
        <f t="shared" si="203"/>
        <v>1.7142857142857144E-2</v>
      </c>
    </row>
    <row r="1036" spans="1:11" x14ac:dyDescent="0.3">
      <c r="A1036" s="116" t="s">
        <v>254</v>
      </c>
      <c r="B1036" s="117">
        <f>VLOOKUP(MID($A1036,1,2),'Free Spins Symbol'!$T$2:$Z$29,3,0)</f>
        <v>18</v>
      </c>
      <c r="C1036" s="117">
        <f>VLOOKUP(MID($A1036,4,2),'Free Spins Symbol'!$T$2:$Z$29,4,0)</f>
        <v>0</v>
      </c>
      <c r="D1036" s="129">
        <f>'Free Spins Symbol'!$X$18</f>
        <v>40</v>
      </c>
      <c r="E1036" s="129">
        <f>'Free Spins Symbol'!$Y$18</f>
        <v>32</v>
      </c>
      <c r="F1036" s="129">
        <f>'Free Spins Symbol'!$Z$18</f>
        <v>48</v>
      </c>
      <c r="G1036" s="100">
        <f>B1036*C1036*D1036*E1036*(F1036-F1035-F1034-F1033-F1032+3*F1031)</f>
        <v>0</v>
      </c>
      <c r="H1036" s="118" t="e">
        <f t="shared" si="202"/>
        <v>#DIV/0!</v>
      </c>
      <c r="I1036" s="100">
        <v>100</v>
      </c>
      <c r="J1036" s="119">
        <f>K1036*I1036</f>
        <v>0</v>
      </c>
      <c r="K1036" s="120">
        <f>G1036/B$2</f>
        <v>0</v>
      </c>
    </row>
    <row r="1037" spans="1:11" x14ac:dyDescent="0.3">
      <c r="A1037" s="116" t="s">
        <v>249</v>
      </c>
      <c r="B1037" s="117">
        <f>VLOOKUP(MID($A1037,1,2),'Free Spins Symbol'!$T$2:$Z$29,3,0)</f>
        <v>38</v>
      </c>
      <c r="C1037" s="117">
        <f>VLOOKUP(MID($A1037,4,2),'Free Spins Symbol'!$T$2:$Z$29,4,0)</f>
        <v>13</v>
      </c>
      <c r="D1037" s="129">
        <f>'Free Spins Symbol'!$X$18</f>
        <v>40</v>
      </c>
      <c r="E1037" s="129">
        <f>'Free Spins Symbol'!$Y$18</f>
        <v>32</v>
      </c>
      <c r="F1037" s="129">
        <f>'Free Spins Symbol'!$Z$18</f>
        <v>48</v>
      </c>
      <c r="G1037" s="100">
        <f>B1037*C1037*D1037*E1037*F1037-G1031</f>
        <v>30351360</v>
      </c>
      <c r="H1037" s="118">
        <f t="shared" si="202"/>
        <v>11.336032388663968</v>
      </c>
      <c r="I1037" s="100">
        <v>100</v>
      </c>
      <c r="J1037" s="119">
        <f t="shared" ref="J1037:J1045" si="204">K1037*I1037</f>
        <v>8.8214285714285712</v>
      </c>
      <c r="K1037" s="120">
        <f t="shared" ref="K1037:K1045" si="205">G1037/B$2</f>
        <v>8.8214285714285717E-2</v>
      </c>
    </row>
    <row r="1038" spans="1:11" x14ac:dyDescent="0.3">
      <c r="A1038" s="116" t="s">
        <v>250</v>
      </c>
      <c r="B1038" s="117">
        <f>VLOOKUP(MID($A1038,1,2),'Free Spins Symbol'!$T$2:$Z$29,3,0)</f>
        <v>35</v>
      </c>
      <c r="C1038" s="117">
        <f>VLOOKUP(MID($A1038,4,2),'Free Spins Symbol'!$T$2:$Z$29,4,0)</f>
        <v>1</v>
      </c>
      <c r="D1038" s="129">
        <f>'Free Spins Symbol'!$X$18</f>
        <v>40</v>
      </c>
      <c r="E1038" s="129">
        <f>'Free Spins Symbol'!$Y$18</f>
        <v>32</v>
      </c>
      <c r="F1038" s="129">
        <f>'Free Spins Symbol'!$Z$18</f>
        <v>48</v>
      </c>
      <c r="G1038" s="100">
        <f>B1038*C1038*D1038*E1038*F1038-G1031</f>
        <v>2150400</v>
      </c>
      <c r="H1038" s="118">
        <f t="shared" si="202"/>
        <v>160</v>
      </c>
      <c r="I1038" s="100">
        <v>100</v>
      </c>
      <c r="J1038" s="119">
        <f t="shared" si="204"/>
        <v>0.625</v>
      </c>
      <c r="K1038" s="120">
        <f t="shared" si="205"/>
        <v>6.2500000000000003E-3</v>
      </c>
    </row>
    <row r="1039" spans="1:11" x14ac:dyDescent="0.3">
      <c r="A1039" s="116" t="s">
        <v>251</v>
      </c>
      <c r="B1039" s="117">
        <f>VLOOKUP(MID($A1039,1,2),'Free Spins Symbol'!$T$2:$Z$29,3,0)</f>
        <v>28</v>
      </c>
      <c r="C1039" s="117">
        <f>VLOOKUP(MID($A1039,4,2),'Free Spins Symbol'!$T$2:$Z$29,4,0)</f>
        <v>13</v>
      </c>
      <c r="D1039" s="129">
        <f>'Free Spins Symbol'!$X$18</f>
        <v>40</v>
      </c>
      <c r="E1039" s="129">
        <f>'Free Spins Symbol'!$Y$18</f>
        <v>32</v>
      </c>
      <c r="F1039" s="129">
        <f>'Free Spins Symbol'!$Z$18</f>
        <v>48</v>
      </c>
      <c r="G1039" s="100">
        <f>B1039*C1039*D1039*E1039*F1039-G1031</f>
        <v>22364160</v>
      </c>
      <c r="H1039" s="118">
        <f t="shared" si="202"/>
        <v>15.384615384615385</v>
      </c>
      <c r="I1039" s="100">
        <v>100</v>
      </c>
      <c r="J1039" s="119">
        <f t="shared" si="204"/>
        <v>6.5</v>
      </c>
      <c r="K1039" s="120">
        <f t="shared" si="205"/>
        <v>6.5000000000000002E-2</v>
      </c>
    </row>
    <row r="1040" spans="1:11" x14ac:dyDescent="0.3">
      <c r="A1040" s="116" t="s">
        <v>252</v>
      </c>
      <c r="B1040" s="117">
        <f>VLOOKUP(MID($A1040,1,2),'Free Spins Symbol'!$T$2:$Z$29,3,0)</f>
        <v>34</v>
      </c>
      <c r="C1040" s="117">
        <f>VLOOKUP(MID($A1040,4,2),'Free Spins Symbol'!$T$2:$Z$29,4,0)</f>
        <v>13</v>
      </c>
      <c r="D1040" s="129">
        <f>'Free Spins Symbol'!$X$18</f>
        <v>40</v>
      </c>
      <c r="E1040" s="129">
        <f>'Free Spins Symbol'!$Y$18</f>
        <v>32</v>
      </c>
      <c r="F1040" s="129">
        <f>'Free Spins Symbol'!$Z$18</f>
        <v>48</v>
      </c>
      <c r="G1040" s="100">
        <f>(B1040*C1040*D1040*E1040)*F1040-G1031</f>
        <v>27156480</v>
      </c>
      <c r="H1040" s="118">
        <f t="shared" si="202"/>
        <v>12.669683257918551</v>
      </c>
      <c r="I1040" s="100">
        <v>100</v>
      </c>
      <c r="J1040" s="119">
        <f t="shared" si="204"/>
        <v>7.8928571428571432</v>
      </c>
      <c r="K1040" s="120">
        <f t="shared" si="205"/>
        <v>7.8928571428571431E-2</v>
      </c>
    </row>
    <row r="1041" spans="1:11" x14ac:dyDescent="0.3">
      <c r="A1041" s="116" t="s">
        <v>253</v>
      </c>
      <c r="B1041" s="117">
        <f>VLOOKUP(MID($A1041,1,2),'Free Spins Symbol'!$T$2:$Z$29,3,0)</f>
        <v>19</v>
      </c>
      <c r="C1041" s="117">
        <f>VLOOKUP(MID($A1041,4,2),'Free Spins Symbol'!$T$2:$Z$29,4,0)</f>
        <v>2</v>
      </c>
      <c r="D1041" s="129">
        <f>'Free Spins Symbol'!$X$18</f>
        <v>40</v>
      </c>
      <c r="E1041" s="129">
        <f>'Free Spins Symbol'!$Y$18</f>
        <v>32</v>
      </c>
      <c r="F1041" s="129">
        <f>'Free Spins Symbol'!$Z$18</f>
        <v>48</v>
      </c>
      <c r="G1041" s="100">
        <f>B1041*C1041*D1041*E1041*F1041-G1031</f>
        <v>2334720</v>
      </c>
      <c r="H1041" s="118">
        <f t="shared" si="202"/>
        <v>147.36842105263159</v>
      </c>
      <c r="I1041" s="100">
        <v>100</v>
      </c>
      <c r="J1041" s="119">
        <f t="shared" si="204"/>
        <v>0.6785714285714286</v>
      </c>
      <c r="K1041" s="120">
        <f t="shared" si="205"/>
        <v>6.7857142857142855E-3</v>
      </c>
    </row>
    <row r="1042" spans="1:11" x14ac:dyDescent="0.3">
      <c r="A1042" s="116" t="s">
        <v>255</v>
      </c>
      <c r="B1042" s="117">
        <f>VLOOKUP(MID($A1042,1,2),'Free Spins Symbol'!$T$2:$Z$29,3,0)</f>
        <v>20</v>
      </c>
      <c r="C1042" s="117">
        <f>VLOOKUP(MID($A1042,4,2),'Free Spins Symbol'!$T$2:$Z$29,4,0)</f>
        <v>2</v>
      </c>
      <c r="D1042" s="129">
        <f>'Free Spins Symbol'!$X$18</f>
        <v>40</v>
      </c>
      <c r="E1042" s="129">
        <f>'Free Spins Symbol'!$Y$18</f>
        <v>32</v>
      </c>
      <c r="F1042" s="129">
        <f>'Free Spins Symbol'!$Z$18</f>
        <v>48</v>
      </c>
      <c r="G1042" s="100">
        <f>(B1042*C1042*D1042*E1042-B1036*C1036*D1036*E1036)*(F1042-F1032)</f>
        <v>0</v>
      </c>
      <c r="H1042" s="118" t="e">
        <f t="shared" si="202"/>
        <v>#DIV/0!</v>
      </c>
      <c r="I1042" s="100">
        <v>50</v>
      </c>
      <c r="J1042" s="119">
        <f t="shared" si="204"/>
        <v>0</v>
      </c>
      <c r="K1042" s="120">
        <f t="shared" si="205"/>
        <v>0</v>
      </c>
    </row>
    <row r="1043" spans="1:11" x14ac:dyDescent="0.3">
      <c r="A1043" s="116" t="s">
        <v>256</v>
      </c>
      <c r="B1043" s="117">
        <f>VLOOKUP(MID($A1043,1,2),'Free Spins Symbol'!$T$2:$Z$29,3,0)</f>
        <v>22</v>
      </c>
      <c r="C1043" s="117">
        <f>VLOOKUP(MID($A1043,4,2),'Free Spins Symbol'!$T$2:$Z$29,4,0)</f>
        <v>2</v>
      </c>
      <c r="D1043" s="129">
        <f>'Free Spins Symbol'!$X$18</f>
        <v>40</v>
      </c>
      <c r="E1043" s="129">
        <f>'Free Spins Symbol'!$Y$18</f>
        <v>32</v>
      </c>
      <c r="F1043" s="129">
        <f>'Free Spins Symbol'!$Z$18</f>
        <v>48</v>
      </c>
      <c r="G1043" s="100">
        <f>(B1043*C1043*D1043*E1043-B1036*C1036*D1036*E1036)*(F1043-F1033)</f>
        <v>0</v>
      </c>
      <c r="H1043" s="118" t="e">
        <f t="shared" si="202"/>
        <v>#DIV/0!</v>
      </c>
      <c r="I1043" s="100">
        <v>50</v>
      </c>
      <c r="J1043" s="119">
        <f t="shared" si="204"/>
        <v>0</v>
      </c>
      <c r="K1043" s="120">
        <f t="shared" si="205"/>
        <v>0</v>
      </c>
    </row>
    <row r="1044" spans="1:11" x14ac:dyDescent="0.3">
      <c r="A1044" s="116" t="s">
        <v>257</v>
      </c>
      <c r="B1044" s="117">
        <f>VLOOKUP(MID($A1044,1,2),'Free Spins Symbol'!$T$2:$Z$29,3,0)</f>
        <v>24</v>
      </c>
      <c r="C1044" s="117">
        <f>VLOOKUP(MID($A1044,4,2),'Free Spins Symbol'!$T$2:$Z$29,4,0)</f>
        <v>4</v>
      </c>
      <c r="D1044" s="129">
        <f>'Free Spins Symbol'!$X$18</f>
        <v>40</v>
      </c>
      <c r="E1044" s="129">
        <f>'Free Spins Symbol'!$Y$18</f>
        <v>32</v>
      </c>
      <c r="F1044" s="129">
        <f>'Free Spins Symbol'!$Z$18</f>
        <v>48</v>
      </c>
      <c r="G1044" s="100">
        <f>(B1044*C1044*D1044*E1044-B1036*C1036*D1036*E1036)*(F1044-F1034)</f>
        <v>0</v>
      </c>
      <c r="H1044" s="118" t="e">
        <f t="shared" si="202"/>
        <v>#DIV/0!</v>
      </c>
      <c r="I1044" s="100">
        <v>30</v>
      </c>
      <c r="J1044" s="119">
        <f t="shared" si="204"/>
        <v>0</v>
      </c>
      <c r="K1044" s="120">
        <f t="shared" si="205"/>
        <v>0</v>
      </c>
    </row>
    <row r="1045" spans="1:11" x14ac:dyDescent="0.3">
      <c r="A1045" s="116" t="s">
        <v>258</v>
      </c>
      <c r="B1045" s="117">
        <f>VLOOKUP(MID($A1045,1,2),'Free Spins Symbol'!$T$2:$Z$29,3,0)</f>
        <v>24</v>
      </c>
      <c r="C1045" s="117">
        <f>VLOOKUP(MID($A1045,4,2),'Free Spins Symbol'!$T$2:$Z$29,4,0)</f>
        <v>4</v>
      </c>
      <c r="D1045" s="129">
        <f>'Free Spins Symbol'!$X$18</f>
        <v>40</v>
      </c>
      <c r="E1045" s="129">
        <f>'Free Spins Symbol'!$Y$18</f>
        <v>32</v>
      </c>
      <c r="F1045" s="129">
        <f>'Free Spins Symbol'!$Z$18</f>
        <v>48</v>
      </c>
      <c r="G1045" s="100">
        <f>(B1045*C1045*D1045*E1045-B1036*C1036*D1036*E1036)*(F1045-F1035)</f>
        <v>0</v>
      </c>
      <c r="H1045" s="118" t="e">
        <f t="shared" si="202"/>
        <v>#DIV/0!</v>
      </c>
      <c r="I1045" s="100">
        <v>30</v>
      </c>
      <c r="J1045" s="119">
        <f t="shared" si="204"/>
        <v>0</v>
      </c>
      <c r="K1045" s="120">
        <f t="shared" si="205"/>
        <v>0</v>
      </c>
    </row>
    <row r="1046" spans="1:11" x14ac:dyDescent="0.3">
      <c r="A1046" s="116" t="s">
        <v>264</v>
      </c>
      <c r="B1046" s="117">
        <f>VLOOKUP(MID($A1046,1,2),'Free Spins Symbol'!$T$2:$Z$29,3,0)</f>
        <v>18</v>
      </c>
      <c r="C1046" s="117">
        <f>VLOOKUP(MID($A1046,4,2),'Free Spins Symbol'!$T$2:$Z$29,4,0)</f>
        <v>0</v>
      </c>
      <c r="D1046" s="129">
        <f>'Free Spins Symbol'!$X$18</f>
        <v>40</v>
      </c>
      <c r="E1046" s="129">
        <f>'Free Spins Symbol'!$Y$18</f>
        <v>32</v>
      </c>
      <c r="F1046" s="129">
        <f>'Free Spins Symbol'!$Z$18</f>
        <v>48</v>
      </c>
      <c r="G1046" s="100">
        <f>(B1046*C1046*D1046)*(E1046*F1046-(E1045+E1044+E1043+E1042-3*E1036)*F1036-(E1041-E1036)*F1041-(E1040-E1036)*F1040-(E1039-E1036)*F1039-(E1038-E1036)*F1038-(E1037-E1036)*F1037)</f>
        <v>0</v>
      </c>
      <c r="H1046" s="118" t="e">
        <f t="shared" si="202"/>
        <v>#DIV/0!</v>
      </c>
      <c r="I1046" s="100">
        <v>20</v>
      </c>
      <c r="J1046" s="119">
        <f>K1046*I1046</f>
        <v>0</v>
      </c>
      <c r="K1046" s="120">
        <f>G1046/B$2</f>
        <v>0</v>
      </c>
    </row>
    <row r="1047" spans="1:11" x14ac:dyDescent="0.3">
      <c r="A1047" s="116" t="s">
        <v>259</v>
      </c>
      <c r="B1047" s="117">
        <f>VLOOKUP(MID($A1047,1,2),'Free Spins Symbol'!$T$2:$Z$29,3,0)</f>
        <v>38</v>
      </c>
      <c r="C1047" s="117">
        <f>VLOOKUP(MID($A1047,4,2),'Free Spins Symbol'!$T$2:$Z$29,4,0)</f>
        <v>13</v>
      </c>
      <c r="D1047" s="129">
        <f>'Free Spins Symbol'!$X$18</f>
        <v>40</v>
      </c>
      <c r="E1047" s="129">
        <f>'Free Spins Symbol'!$Y$18</f>
        <v>32</v>
      </c>
      <c r="F1047" s="129">
        <f>'Free Spins Symbol'!$Z$18</f>
        <v>48</v>
      </c>
      <c r="G1047" s="100">
        <f>B1047*C1047*D1047*E1047*(F1047-F1037)</f>
        <v>0</v>
      </c>
      <c r="H1047" s="118" t="e">
        <f t="shared" si="202"/>
        <v>#DIV/0!</v>
      </c>
      <c r="I1047" s="100">
        <v>20</v>
      </c>
      <c r="J1047" s="119">
        <f t="shared" ref="J1047:J1066" si="206">K1047*I1047</f>
        <v>0</v>
      </c>
      <c r="K1047" s="120">
        <f t="shared" ref="K1047:K1066" si="207">G1047/B$2</f>
        <v>0</v>
      </c>
    </row>
    <row r="1048" spans="1:11" x14ac:dyDescent="0.3">
      <c r="A1048" s="116" t="s">
        <v>260</v>
      </c>
      <c r="B1048" s="117">
        <f>VLOOKUP(MID($A1048,1,2),'Free Spins Symbol'!$T$2:$Z$29,3,0)</f>
        <v>35</v>
      </c>
      <c r="C1048" s="117">
        <f>VLOOKUP(MID($A1048,4,2),'Free Spins Symbol'!$T$2:$Z$29,4,0)</f>
        <v>1</v>
      </c>
      <c r="D1048" s="129">
        <f>'Free Spins Symbol'!$X$18</f>
        <v>40</v>
      </c>
      <c r="E1048" s="129">
        <f>'Free Spins Symbol'!$Y$18</f>
        <v>32</v>
      </c>
      <c r="F1048" s="129">
        <f>'Free Spins Symbol'!$Z$18</f>
        <v>48</v>
      </c>
      <c r="G1048" s="100">
        <f t="shared" ref="G1048:G1051" si="208">B1048*C1048*D1048*E1048*(F1048-F1038)</f>
        <v>0</v>
      </c>
      <c r="H1048" s="118" t="e">
        <f t="shared" si="202"/>
        <v>#DIV/0!</v>
      </c>
      <c r="I1048" s="100">
        <v>20</v>
      </c>
      <c r="J1048" s="119">
        <f t="shared" si="206"/>
        <v>0</v>
      </c>
      <c r="K1048" s="120">
        <f t="shared" si="207"/>
        <v>0</v>
      </c>
    </row>
    <row r="1049" spans="1:11" x14ac:dyDescent="0.3">
      <c r="A1049" s="116" t="s">
        <v>261</v>
      </c>
      <c r="B1049" s="117">
        <f>VLOOKUP(MID($A1049,1,2),'Free Spins Symbol'!$T$2:$Z$29,3,0)</f>
        <v>28</v>
      </c>
      <c r="C1049" s="117">
        <f>VLOOKUP(MID($A1049,4,2),'Free Spins Symbol'!$T$2:$Z$29,4,0)</f>
        <v>13</v>
      </c>
      <c r="D1049" s="129">
        <f>'Free Spins Symbol'!$X$18</f>
        <v>40</v>
      </c>
      <c r="E1049" s="129">
        <f>'Free Spins Symbol'!$Y$18</f>
        <v>32</v>
      </c>
      <c r="F1049" s="129">
        <f>'Free Spins Symbol'!$Z$18</f>
        <v>48</v>
      </c>
      <c r="G1049" s="100">
        <f t="shared" si="208"/>
        <v>0</v>
      </c>
      <c r="H1049" s="118" t="e">
        <f t="shared" si="202"/>
        <v>#DIV/0!</v>
      </c>
      <c r="I1049" s="100">
        <v>20</v>
      </c>
      <c r="J1049" s="119">
        <f t="shared" si="206"/>
        <v>0</v>
      </c>
      <c r="K1049" s="120">
        <f t="shared" si="207"/>
        <v>0</v>
      </c>
    </row>
    <row r="1050" spans="1:11" x14ac:dyDescent="0.3">
      <c r="A1050" s="116" t="s">
        <v>262</v>
      </c>
      <c r="B1050" s="117">
        <f>VLOOKUP(MID($A1050,1,2),'Free Spins Symbol'!$T$2:$Z$29,3,0)</f>
        <v>34</v>
      </c>
      <c r="C1050" s="117">
        <f>VLOOKUP(MID($A1050,4,2),'Free Spins Symbol'!$T$2:$Z$29,4,0)</f>
        <v>13</v>
      </c>
      <c r="D1050" s="129">
        <f>'Free Spins Symbol'!$X$18</f>
        <v>40</v>
      </c>
      <c r="E1050" s="129">
        <f>'Free Spins Symbol'!$Y$18</f>
        <v>32</v>
      </c>
      <c r="F1050" s="129">
        <f>'Free Spins Symbol'!$Z$18</f>
        <v>48</v>
      </c>
      <c r="G1050" s="100">
        <f t="shared" si="208"/>
        <v>0</v>
      </c>
      <c r="H1050" s="118" t="e">
        <f t="shared" si="202"/>
        <v>#DIV/0!</v>
      </c>
      <c r="I1050" s="100">
        <v>20</v>
      </c>
      <c r="J1050" s="119">
        <f t="shared" si="206"/>
        <v>0</v>
      </c>
      <c r="K1050" s="120">
        <f t="shared" si="207"/>
        <v>0</v>
      </c>
    </row>
    <row r="1051" spans="1:11" x14ac:dyDescent="0.3">
      <c r="A1051" s="116" t="s">
        <v>263</v>
      </c>
      <c r="B1051" s="117">
        <f>VLOOKUP(MID($A1051,1,2),'Free Spins Symbol'!$T$2:$Z$29,3,0)</f>
        <v>19</v>
      </c>
      <c r="C1051" s="117">
        <f>VLOOKUP(MID($A1051,4,2),'Free Spins Symbol'!$T$2:$Z$29,4,0)</f>
        <v>2</v>
      </c>
      <c r="D1051" s="129">
        <f>'Free Spins Symbol'!$X$18</f>
        <v>40</v>
      </c>
      <c r="E1051" s="129">
        <f>'Free Spins Symbol'!$Y$18</f>
        <v>32</v>
      </c>
      <c r="F1051" s="129">
        <f>'Free Spins Symbol'!$Z$18</f>
        <v>48</v>
      </c>
      <c r="G1051" s="100">
        <f t="shared" si="208"/>
        <v>0</v>
      </c>
      <c r="H1051" s="118" t="e">
        <f t="shared" si="202"/>
        <v>#DIV/0!</v>
      </c>
      <c r="I1051" s="100">
        <v>20</v>
      </c>
      <c r="J1051" s="119">
        <f t="shared" si="206"/>
        <v>0</v>
      </c>
      <c r="K1051" s="120">
        <f t="shared" si="207"/>
        <v>0</v>
      </c>
    </row>
    <row r="1052" spans="1:11" x14ac:dyDescent="0.3">
      <c r="A1052" s="116" t="s">
        <v>265</v>
      </c>
      <c r="B1052" s="117">
        <f>VLOOKUP(MID($A1052,1,2),'Free Spins Symbol'!$T$2:$Z$29,3,0)</f>
        <v>20</v>
      </c>
      <c r="C1052" s="117">
        <f>VLOOKUP(MID($A1052,4,2),'Free Spins Symbol'!$T$2:$Z$29,4,0)</f>
        <v>2</v>
      </c>
      <c r="D1052" s="129">
        <f>'Free Spins Symbol'!$X$18</f>
        <v>40</v>
      </c>
      <c r="E1052" s="129">
        <f>'Free Spins Symbol'!$Y$18</f>
        <v>32</v>
      </c>
      <c r="F1052" s="129">
        <f>'Free Spins Symbol'!$Z$18</f>
        <v>48</v>
      </c>
      <c r="G1052" s="100">
        <f>(B1052*C1052*D1052)*(E1052-E1042)*F1052</f>
        <v>0</v>
      </c>
      <c r="H1052" s="118" t="e">
        <f t="shared" si="202"/>
        <v>#DIV/0!</v>
      </c>
      <c r="I1052" s="100">
        <v>20</v>
      </c>
      <c r="J1052" s="119">
        <f t="shared" si="206"/>
        <v>0</v>
      </c>
      <c r="K1052" s="120">
        <f t="shared" si="207"/>
        <v>0</v>
      </c>
    </row>
    <row r="1053" spans="1:11" x14ac:dyDescent="0.3">
      <c r="A1053" s="116" t="s">
        <v>266</v>
      </c>
      <c r="B1053" s="117">
        <f>VLOOKUP(MID($A1053,1,2),'Free Spins Symbol'!$T$2:$Z$29,3,0)</f>
        <v>22</v>
      </c>
      <c r="C1053" s="117">
        <f>VLOOKUP(MID($A1053,4,2),'Free Spins Symbol'!$T$2:$Z$29,4,0)</f>
        <v>2</v>
      </c>
      <c r="D1053" s="129">
        <f>'Free Spins Symbol'!$X$18</f>
        <v>40</v>
      </c>
      <c r="E1053" s="129">
        <f>'Free Spins Symbol'!$Y$18</f>
        <v>32</v>
      </c>
      <c r="F1053" s="129">
        <f>'Free Spins Symbol'!$Z$18</f>
        <v>48</v>
      </c>
      <c r="G1053" s="100">
        <f>(B1053*C1053*D1053)*(E1053-E1043)*F1053</f>
        <v>0</v>
      </c>
      <c r="H1053" s="118" t="e">
        <f t="shared" si="202"/>
        <v>#DIV/0!</v>
      </c>
      <c r="I1053" s="100">
        <v>20</v>
      </c>
      <c r="J1053" s="119">
        <f t="shared" si="206"/>
        <v>0</v>
      </c>
      <c r="K1053" s="120">
        <f t="shared" si="207"/>
        <v>0</v>
      </c>
    </row>
    <row r="1054" spans="1:11" x14ac:dyDescent="0.3">
      <c r="A1054" s="116" t="s">
        <v>267</v>
      </c>
      <c r="B1054" s="117">
        <f>VLOOKUP(MID($A1054,1,2),'Free Spins Symbol'!$T$2:$Z$29,3,0)</f>
        <v>24</v>
      </c>
      <c r="C1054" s="117">
        <f>VLOOKUP(MID($A1054,4,2),'Free Spins Symbol'!$T$2:$Z$29,4,0)</f>
        <v>4</v>
      </c>
      <c r="D1054" s="129">
        <f>'Free Spins Symbol'!$X$18</f>
        <v>40</v>
      </c>
      <c r="E1054" s="129">
        <f>'Free Spins Symbol'!$Y$18</f>
        <v>32</v>
      </c>
      <c r="F1054" s="129">
        <f>'Free Spins Symbol'!$Z$18</f>
        <v>48</v>
      </c>
      <c r="G1054" s="100">
        <f>(B1054*C1054*D1054-B1046*C1046*D1046)*(E1054-E1044)*F1054</f>
        <v>0</v>
      </c>
      <c r="H1054" s="118" t="e">
        <f t="shared" si="202"/>
        <v>#DIV/0!</v>
      </c>
      <c r="I1054" s="100">
        <v>10</v>
      </c>
      <c r="J1054" s="119">
        <f t="shared" si="206"/>
        <v>0</v>
      </c>
      <c r="K1054" s="120">
        <f t="shared" si="207"/>
        <v>0</v>
      </c>
    </row>
    <row r="1055" spans="1:11" x14ac:dyDescent="0.3">
      <c r="A1055" s="116" t="s">
        <v>268</v>
      </c>
      <c r="B1055" s="117">
        <f>VLOOKUP(MID($A1055,1,2),'Free Spins Symbol'!$T$2:$Z$29,3,0)</f>
        <v>24</v>
      </c>
      <c r="C1055" s="117">
        <f>VLOOKUP(MID($A1055,4,2),'Free Spins Symbol'!$T$2:$Z$29,4,0)</f>
        <v>4</v>
      </c>
      <c r="D1055" s="129">
        <f>'Free Spins Symbol'!$X$18</f>
        <v>40</v>
      </c>
      <c r="E1055" s="129">
        <f>'Free Spins Symbol'!$Y$18</f>
        <v>32</v>
      </c>
      <c r="F1055" s="129">
        <f>'Free Spins Symbol'!$Z$18</f>
        <v>48</v>
      </c>
      <c r="G1055" s="100">
        <f>(B1055*C1055*D1055-B1046*C1046*D1046)*(E1055-E1045)*F1055</f>
        <v>0</v>
      </c>
      <c r="H1055" s="118" t="e">
        <f t="shared" si="202"/>
        <v>#DIV/0!</v>
      </c>
      <c r="I1055" s="100">
        <v>10</v>
      </c>
      <c r="J1055" s="119">
        <f t="shared" si="206"/>
        <v>0</v>
      </c>
      <c r="K1055" s="120">
        <f t="shared" si="207"/>
        <v>0</v>
      </c>
    </row>
    <row r="1056" spans="1:11" x14ac:dyDescent="0.3">
      <c r="A1056" s="116" t="s">
        <v>269</v>
      </c>
      <c r="B1056" s="117">
        <f>VLOOKUP(MID($A1056,1,2),'Free Spins Symbol'!$T$2:$Z$29,3,0)</f>
        <v>38</v>
      </c>
      <c r="C1056" s="117">
        <f>VLOOKUP(MID($A1056,4,2),'Free Spins Symbol'!$T$2:$Z$29,4,0)</f>
        <v>13</v>
      </c>
      <c r="D1056" s="129">
        <f>'Free Spins Symbol'!$X$18</f>
        <v>40</v>
      </c>
      <c r="E1056" s="129">
        <f>'Free Spins Symbol'!$Y$18</f>
        <v>32</v>
      </c>
      <c r="F1056" s="129">
        <f>'Free Spins Symbol'!$Z$18</f>
        <v>48</v>
      </c>
      <c r="G1056" s="100">
        <f>(B1056*C1056*D1056-B1046*C1046*D1046)*(E1056-E1047)*F1056</f>
        <v>0</v>
      </c>
      <c r="H1056" s="118" t="e">
        <f t="shared" si="202"/>
        <v>#DIV/0!</v>
      </c>
      <c r="I1056" s="100">
        <v>5</v>
      </c>
      <c r="J1056" s="119">
        <f t="shared" si="206"/>
        <v>0</v>
      </c>
      <c r="K1056" s="120">
        <f t="shared" si="207"/>
        <v>0</v>
      </c>
    </row>
    <row r="1057" spans="1:11" x14ac:dyDescent="0.3">
      <c r="A1057" s="116" t="s">
        <v>270</v>
      </c>
      <c r="B1057" s="117">
        <f>VLOOKUP(MID($A1057,1,2),'Free Spins Symbol'!$T$2:$Z$29,3,0)</f>
        <v>35</v>
      </c>
      <c r="C1057" s="117">
        <f>VLOOKUP(MID($A1057,4,2),'Free Spins Symbol'!$T$2:$Z$29,4,0)</f>
        <v>1</v>
      </c>
      <c r="D1057" s="129">
        <f>'Free Spins Symbol'!$X$18</f>
        <v>40</v>
      </c>
      <c r="E1057" s="129">
        <f>'Free Spins Symbol'!$Y$18</f>
        <v>32</v>
      </c>
      <c r="F1057" s="129">
        <f>'Free Spins Symbol'!$Z$18</f>
        <v>48</v>
      </c>
      <c r="G1057" s="100">
        <f>(B1057*C1057*D1057-B1046*C1046*D1046)*(E1057-E1048)*F1057</f>
        <v>0</v>
      </c>
      <c r="H1057" s="118" t="e">
        <f t="shared" si="202"/>
        <v>#DIV/0!</v>
      </c>
      <c r="I1057" s="100">
        <v>5</v>
      </c>
      <c r="J1057" s="119">
        <f t="shared" si="206"/>
        <v>0</v>
      </c>
      <c r="K1057" s="120">
        <f t="shared" si="207"/>
        <v>0</v>
      </c>
    </row>
    <row r="1058" spans="1:11" x14ac:dyDescent="0.3">
      <c r="A1058" s="116" t="s">
        <v>271</v>
      </c>
      <c r="B1058" s="117">
        <f>VLOOKUP(MID($A1058,1,2),'Free Spins Symbol'!$T$2:$Z$29,3,0)</f>
        <v>28</v>
      </c>
      <c r="C1058" s="117">
        <f>VLOOKUP(MID($A1058,4,2),'Free Spins Symbol'!$T$2:$Z$29,4,0)</f>
        <v>13</v>
      </c>
      <c r="D1058" s="129">
        <f>'Free Spins Symbol'!$X$18</f>
        <v>40</v>
      </c>
      <c r="E1058" s="129">
        <f>'Free Spins Symbol'!$Y$18</f>
        <v>32</v>
      </c>
      <c r="F1058" s="129">
        <f>'Free Spins Symbol'!$Z$18</f>
        <v>48</v>
      </c>
      <c r="G1058" s="100">
        <f>(B1058*C1058*D1058-B1046*C1046*D1046)*(E1058-E1049)*F1058</f>
        <v>0</v>
      </c>
      <c r="H1058" s="118" t="e">
        <f t="shared" si="202"/>
        <v>#DIV/0!</v>
      </c>
      <c r="I1058" s="100">
        <v>5</v>
      </c>
      <c r="J1058" s="119">
        <f t="shared" si="206"/>
        <v>0</v>
      </c>
      <c r="K1058" s="120">
        <f t="shared" si="207"/>
        <v>0</v>
      </c>
    </row>
    <row r="1059" spans="1:11" x14ac:dyDescent="0.3">
      <c r="A1059" s="116" t="s">
        <v>272</v>
      </c>
      <c r="B1059" s="117">
        <f>VLOOKUP(MID($A1059,1,2),'Free Spins Symbol'!$T$2:$Z$29,3,0)</f>
        <v>34</v>
      </c>
      <c r="C1059" s="117">
        <f>VLOOKUP(MID($A1059,4,2),'Free Spins Symbol'!$T$2:$Z$29,4,0)</f>
        <v>13</v>
      </c>
      <c r="D1059" s="129">
        <f>'Free Spins Symbol'!$X$18</f>
        <v>40</v>
      </c>
      <c r="E1059" s="129">
        <f>'Free Spins Symbol'!$Y$18</f>
        <v>32</v>
      </c>
      <c r="F1059" s="129">
        <f>'Free Spins Symbol'!$Z$18</f>
        <v>48</v>
      </c>
      <c r="G1059" s="100">
        <f>(B1059*C1059*D1059-B1046*C1046*D1046)*(E1059-E1050)*F1059</f>
        <v>0</v>
      </c>
      <c r="H1059" s="118" t="e">
        <f t="shared" si="202"/>
        <v>#DIV/0!</v>
      </c>
      <c r="I1059" s="100">
        <v>5</v>
      </c>
      <c r="J1059" s="119">
        <f t="shared" si="206"/>
        <v>0</v>
      </c>
      <c r="K1059" s="120">
        <f t="shared" si="207"/>
        <v>0</v>
      </c>
    </row>
    <row r="1060" spans="1:11" x14ac:dyDescent="0.3">
      <c r="A1060" s="116" t="s">
        <v>273</v>
      </c>
      <c r="B1060" s="117">
        <f>VLOOKUP(MID($A1060,1,2),'Free Spins Symbol'!$T$2:$Z$29,3,0)</f>
        <v>19</v>
      </c>
      <c r="C1060" s="117">
        <f>VLOOKUP(MID($A1060,4,2),'Free Spins Symbol'!$T$2:$Z$29,4,0)</f>
        <v>2</v>
      </c>
      <c r="D1060" s="129">
        <f>'Free Spins Symbol'!$X$18</f>
        <v>40</v>
      </c>
      <c r="E1060" s="129">
        <f>'Free Spins Symbol'!$Y$18</f>
        <v>32</v>
      </c>
      <c r="F1060" s="129">
        <f>'Free Spins Symbol'!$Z$18</f>
        <v>48</v>
      </c>
      <c r="G1060" s="100">
        <f>(B1060*C1060*D1060-B1046*C1046*D1046)*(E1060-E1051)*F1060</f>
        <v>0</v>
      </c>
      <c r="H1060" s="118" t="e">
        <f t="shared" si="202"/>
        <v>#DIV/0!</v>
      </c>
      <c r="I1060" s="100">
        <v>5</v>
      </c>
      <c r="J1060" s="119">
        <f t="shared" si="206"/>
        <v>0</v>
      </c>
      <c r="K1060" s="120">
        <f t="shared" si="207"/>
        <v>0</v>
      </c>
    </row>
    <row r="1061" spans="1:11" x14ac:dyDescent="0.3">
      <c r="A1061" s="116" t="s">
        <v>274</v>
      </c>
      <c r="B1061" s="117">
        <f>VLOOKUP(MID($A1061,1,2),'Free Spins Symbol'!$T$2:$Z$29,3,0)</f>
        <v>18</v>
      </c>
      <c r="C1061" s="117">
        <f>VLOOKUP(MID($A1061,4,2),'Free Spins Symbol'!$T$2:$Z$29,4,0)</f>
        <v>0</v>
      </c>
      <c r="D1061" s="129">
        <f>'Free Spins Symbol'!$X$18</f>
        <v>40</v>
      </c>
      <c r="E1061" s="129">
        <f>'Free Spins Symbol'!$Y$18</f>
        <v>32</v>
      </c>
      <c r="F1061" s="129">
        <f>'Free Spins Symbol'!$Z$18</f>
        <v>48</v>
      </c>
      <c r="G1061" s="100">
        <f>B1061*C1061*(D1061-D1046)*E1061*F1061</f>
        <v>0</v>
      </c>
      <c r="H1061" s="118" t="e">
        <f t="shared" si="202"/>
        <v>#DIV/0!</v>
      </c>
      <c r="I1061" s="100">
        <v>5</v>
      </c>
      <c r="J1061" s="119">
        <f t="shared" si="206"/>
        <v>0</v>
      </c>
      <c r="K1061" s="120">
        <f t="shared" si="207"/>
        <v>0</v>
      </c>
    </row>
    <row r="1062" spans="1:11" x14ac:dyDescent="0.3">
      <c r="A1062" s="116" t="s">
        <v>275</v>
      </c>
      <c r="B1062" s="117">
        <f>VLOOKUP(MID($A1062,1,2),'Free Spins Symbol'!$T$2:$Z$29,3,0)</f>
        <v>20</v>
      </c>
      <c r="C1062" s="117">
        <f>VLOOKUP(MID($A1062,4,2),'Free Spins Symbol'!$T$2:$Z$29,4,0)</f>
        <v>2</v>
      </c>
      <c r="D1062" s="129">
        <f>'Free Spins Symbol'!$X$18</f>
        <v>40</v>
      </c>
      <c r="E1062" s="129">
        <f>'Free Spins Symbol'!$Y$18</f>
        <v>32</v>
      </c>
      <c r="F1062" s="129">
        <f>'Free Spins Symbol'!$Z$18</f>
        <v>48</v>
      </c>
      <c r="G1062" s="100">
        <f t="shared" ref="G1062:G1065" si="209">B1062*C1062*(D1062-D1052)*E1062*F1062</f>
        <v>0</v>
      </c>
      <c r="H1062" s="118" t="e">
        <f t="shared" si="202"/>
        <v>#DIV/0!</v>
      </c>
      <c r="I1062" s="100">
        <v>5</v>
      </c>
      <c r="J1062" s="119">
        <f t="shared" si="206"/>
        <v>0</v>
      </c>
      <c r="K1062" s="120">
        <f t="shared" si="207"/>
        <v>0</v>
      </c>
    </row>
    <row r="1063" spans="1:11" x14ac:dyDescent="0.3">
      <c r="A1063" s="116" t="s">
        <v>276</v>
      </c>
      <c r="B1063" s="117">
        <f>VLOOKUP(MID($A1063,1,2),'Free Spins Symbol'!$T$2:$Z$29,3,0)</f>
        <v>22</v>
      </c>
      <c r="C1063" s="117">
        <f>VLOOKUP(MID($A1063,4,2),'Free Spins Symbol'!$T$2:$Z$29,4,0)</f>
        <v>2</v>
      </c>
      <c r="D1063" s="129">
        <f>'Free Spins Symbol'!$X$18</f>
        <v>40</v>
      </c>
      <c r="E1063" s="129">
        <f>'Free Spins Symbol'!$Y$18</f>
        <v>32</v>
      </c>
      <c r="F1063" s="129">
        <f>'Free Spins Symbol'!$Z$18</f>
        <v>48</v>
      </c>
      <c r="G1063" s="100">
        <f t="shared" si="209"/>
        <v>0</v>
      </c>
      <c r="H1063" s="118" t="e">
        <f t="shared" si="202"/>
        <v>#DIV/0!</v>
      </c>
      <c r="I1063" s="100">
        <v>5</v>
      </c>
      <c r="J1063" s="119">
        <f t="shared" si="206"/>
        <v>0</v>
      </c>
      <c r="K1063" s="120">
        <f t="shared" si="207"/>
        <v>0</v>
      </c>
    </row>
    <row r="1064" spans="1:11" x14ac:dyDescent="0.3">
      <c r="A1064" s="116" t="s">
        <v>277</v>
      </c>
      <c r="B1064" s="117">
        <f>VLOOKUP(MID($A1064,1,2),'Free Spins Symbol'!$T$2:$Z$29,3,0)</f>
        <v>24</v>
      </c>
      <c r="C1064" s="117">
        <f>VLOOKUP(MID($A1064,4,2),'Free Spins Symbol'!$T$2:$Z$29,4,0)</f>
        <v>4</v>
      </c>
      <c r="D1064" s="129">
        <f>'Free Spins Symbol'!$X$18</f>
        <v>40</v>
      </c>
      <c r="E1064" s="129">
        <f>'Free Spins Symbol'!$Y$18</f>
        <v>32</v>
      </c>
      <c r="F1064" s="129">
        <f>'Free Spins Symbol'!$Z$18</f>
        <v>48</v>
      </c>
      <c r="G1064" s="100">
        <f t="shared" si="209"/>
        <v>0</v>
      </c>
      <c r="H1064" s="118" t="e">
        <f t="shared" si="202"/>
        <v>#DIV/0!</v>
      </c>
      <c r="I1064" s="100">
        <v>5</v>
      </c>
      <c r="J1064" s="119">
        <f t="shared" si="206"/>
        <v>0</v>
      </c>
      <c r="K1064" s="120">
        <f t="shared" si="207"/>
        <v>0</v>
      </c>
    </row>
    <row r="1065" spans="1:11" x14ac:dyDescent="0.3">
      <c r="A1065" s="116" t="s">
        <v>278</v>
      </c>
      <c r="B1065" s="117">
        <f>VLOOKUP(MID($A1065,1,2),'Free Spins Symbol'!$T$2:$Z$29,3,0)</f>
        <v>24</v>
      </c>
      <c r="C1065" s="117">
        <f>VLOOKUP(MID($A1065,4,2),'Free Spins Symbol'!$T$2:$Z$29,4,0)</f>
        <v>4</v>
      </c>
      <c r="D1065" s="129">
        <f>'Free Spins Symbol'!$X$18</f>
        <v>40</v>
      </c>
      <c r="E1065" s="129">
        <f>'Free Spins Symbol'!$Y$18</f>
        <v>32</v>
      </c>
      <c r="F1065" s="129">
        <f>'Free Spins Symbol'!$Z$18</f>
        <v>48</v>
      </c>
      <c r="G1065" s="100">
        <f t="shared" si="209"/>
        <v>0</v>
      </c>
      <c r="H1065" s="118" t="e">
        <f t="shared" si="202"/>
        <v>#DIV/0!</v>
      </c>
      <c r="I1065" s="100">
        <v>5</v>
      </c>
      <c r="J1065" s="119">
        <f t="shared" si="206"/>
        <v>0</v>
      </c>
      <c r="K1065" s="120">
        <f t="shared" si="207"/>
        <v>0</v>
      </c>
    </row>
    <row r="1066" spans="1:11" x14ac:dyDescent="0.3">
      <c r="A1066" s="122" t="s">
        <v>279</v>
      </c>
      <c r="B1066" s="117">
        <f>VLOOKUP(MID($A1066,1,2),'Free Spins Symbol'!$T$2:$Z$29,3,0)</f>
        <v>100</v>
      </c>
      <c r="C1066" s="117">
        <f>VLOOKUP(MID($A1066,4,2),'Free Spins Symbol'!$T$2:$Z$29,4,0)</f>
        <v>8</v>
      </c>
      <c r="D1066" s="117">
        <f>VLOOKUP(MID($A1066,7,2),'Free Spins Symbol'!$T$2:$Z$29,5,0)</f>
        <v>4</v>
      </c>
      <c r="E1066" s="117">
        <f>VLOOKUP(MID($A1066,10,2),'Free Spins Symbol'!$T$2:$Z$29,6,0)</f>
        <v>16</v>
      </c>
      <c r="F1066" s="117">
        <f>VLOOKUP(MID($A1066,13,2),'Free Spins Symbol'!$T$2:$Z$29,7,0)</f>
        <v>48</v>
      </c>
      <c r="G1066" s="100">
        <f>B1066*C1066*D1066*E1066*F1066</f>
        <v>2457600</v>
      </c>
      <c r="H1066" s="121">
        <f t="shared" ref="H1066" si="210">B$1/G1066</f>
        <v>0</v>
      </c>
      <c r="I1066" s="123">
        <v>2</v>
      </c>
      <c r="J1066" s="124">
        <f t="shared" si="206"/>
        <v>1.4285714285714285E-2</v>
      </c>
      <c r="K1066" s="120">
        <f t="shared" si="207"/>
        <v>7.1428571428571426E-3</v>
      </c>
    </row>
    <row r="1068" spans="1:11" ht="16.8" thickBot="1" x14ac:dyDescent="0.35"/>
    <row r="1069" spans="1:11" ht="16.8" thickBot="1" x14ac:dyDescent="0.35">
      <c r="A1069" s="125" t="s">
        <v>318</v>
      </c>
    </row>
    <row r="1070" spans="1:11" ht="16.8" thickBot="1" x14ac:dyDescent="0.35">
      <c r="A1070" s="95" t="s">
        <v>280</v>
      </c>
      <c r="B1070" s="142">
        <f>B2</f>
        <v>344064000</v>
      </c>
      <c r="C1070" s="142"/>
      <c r="D1070" s="142"/>
      <c r="E1070" s="142"/>
      <c r="F1070" s="142"/>
      <c r="G1070" s="7"/>
      <c r="H1070" s="106"/>
      <c r="I1070" s="107" t="s">
        <v>281</v>
      </c>
      <c r="J1070" s="108">
        <f>SUM(J1072:J1106)</f>
        <v>116.66666666666666</v>
      </c>
      <c r="K1070" s="126">
        <f>SUM(K1072:K1107)</f>
        <v>1.0071428571428571</v>
      </c>
    </row>
    <row r="1071" spans="1:11" ht="33" thickBot="1" x14ac:dyDescent="0.35">
      <c r="A1071" s="109" t="s">
        <v>233</v>
      </c>
      <c r="B1071" s="110" t="s">
        <v>234</v>
      </c>
      <c r="C1071" s="110" t="s">
        <v>235</v>
      </c>
      <c r="D1071" s="110" t="s">
        <v>236</v>
      </c>
      <c r="E1071" s="110" t="s">
        <v>237</v>
      </c>
      <c r="F1071" s="110" t="s">
        <v>238</v>
      </c>
      <c r="G1071" s="111" t="s">
        <v>239</v>
      </c>
      <c r="H1071" s="112" t="s">
        <v>240</v>
      </c>
      <c r="I1071" s="113" t="s">
        <v>241</v>
      </c>
      <c r="J1071" s="114" t="s">
        <v>242</v>
      </c>
      <c r="K1071" s="115" t="s">
        <v>243</v>
      </c>
    </row>
    <row r="1072" spans="1:11" x14ac:dyDescent="0.3">
      <c r="A1072" s="116" t="s">
        <v>244</v>
      </c>
      <c r="B1072" s="129">
        <f>'Free Spins Symbol'!$V$18</f>
        <v>100</v>
      </c>
      <c r="C1072" s="129">
        <f>'Free Spins Symbol'!$W$18</f>
        <v>56</v>
      </c>
      <c r="D1072" s="129">
        <f>'Free Spins Symbol'!$X$18</f>
        <v>40</v>
      </c>
      <c r="E1072" s="129">
        <f>'Free Spins Symbol'!$Y$18</f>
        <v>32</v>
      </c>
      <c r="F1072" s="117">
        <f>VLOOKUP(MID($A1072,13,2),'Free Spins Symbol'!$T$2:$Z$29,7,0)</f>
        <v>0</v>
      </c>
      <c r="G1072" s="100">
        <f>B1072*C1072*D1072*E1072*F1072</f>
        <v>0</v>
      </c>
      <c r="H1072" s="118" t="e">
        <f>B$2/G1072</f>
        <v>#DIV/0!</v>
      </c>
      <c r="I1072" s="100">
        <v>500</v>
      </c>
      <c r="J1072" s="119">
        <f t="shared" ref="J1072:J1076" si="211">K1072*I1072</f>
        <v>0</v>
      </c>
      <c r="K1072" s="120">
        <f>G1072/B$2</f>
        <v>0</v>
      </c>
    </row>
    <row r="1073" spans="1:11" x14ac:dyDescent="0.3">
      <c r="A1073" s="116" t="s">
        <v>245</v>
      </c>
      <c r="B1073" s="129">
        <f>'Free Spins Symbol'!$V$18</f>
        <v>100</v>
      </c>
      <c r="C1073" s="129">
        <f>'Free Spins Symbol'!$W$18</f>
        <v>56</v>
      </c>
      <c r="D1073" s="129">
        <f>'Free Spins Symbol'!$X$18</f>
        <v>40</v>
      </c>
      <c r="E1073" s="129">
        <f>'Free Spins Symbol'!$Y$18</f>
        <v>32</v>
      </c>
      <c r="F1073" s="117">
        <f>VLOOKUP(MID($A1073,13,2),'Free Spins Symbol'!$T$2:$Z$29,7,0)</f>
        <v>1</v>
      </c>
      <c r="G1073" s="100">
        <f>B1073*C1073*D1073*E1073*F1073-G1072</f>
        <v>7168000</v>
      </c>
      <c r="H1073" s="118">
        <f t="shared" ref="H1073:H1107" si="212">B$2/G1073</f>
        <v>48</v>
      </c>
      <c r="I1073" s="100">
        <v>250</v>
      </c>
      <c r="J1073" s="119">
        <f t="shared" si="211"/>
        <v>5.208333333333333</v>
      </c>
      <c r="K1073" s="120">
        <f t="shared" ref="K1073:K1076" si="213">G1073/B$2</f>
        <v>2.0833333333333332E-2</v>
      </c>
    </row>
    <row r="1074" spans="1:11" x14ac:dyDescent="0.3">
      <c r="A1074" s="116" t="s">
        <v>246</v>
      </c>
      <c r="B1074" s="129">
        <f>'Free Spins Symbol'!$V$18</f>
        <v>100</v>
      </c>
      <c r="C1074" s="129">
        <f>'Free Spins Symbol'!$W$18</f>
        <v>56</v>
      </c>
      <c r="D1074" s="129">
        <f>'Free Spins Symbol'!$X$18</f>
        <v>40</v>
      </c>
      <c r="E1074" s="129">
        <f>'Free Spins Symbol'!$Y$18</f>
        <v>32</v>
      </c>
      <c r="F1074" s="117">
        <f>VLOOKUP(MID($A1074,13,2),'Free Spins Symbol'!$T$2:$Z$29,7,0)</f>
        <v>1</v>
      </c>
      <c r="G1074" s="100">
        <f>B1074*C1074*D1074*E1074*F1074-G1072</f>
        <v>7168000</v>
      </c>
      <c r="H1074" s="118">
        <f t="shared" si="212"/>
        <v>48</v>
      </c>
      <c r="I1074" s="100">
        <v>250</v>
      </c>
      <c r="J1074" s="119">
        <f t="shared" si="211"/>
        <v>5.208333333333333</v>
      </c>
      <c r="K1074" s="120">
        <f t="shared" si="213"/>
        <v>2.0833333333333332E-2</v>
      </c>
    </row>
    <row r="1075" spans="1:11" x14ac:dyDescent="0.3">
      <c r="A1075" s="116" t="s">
        <v>247</v>
      </c>
      <c r="B1075" s="129">
        <f>'Free Spins Symbol'!$V$18</f>
        <v>100</v>
      </c>
      <c r="C1075" s="129">
        <f>'Free Spins Symbol'!$W$18</f>
        <v>56</v>
      </c>
      <c r="D1075" s="129">
        <f>'Free Spins Symbol'!$X$18</f>
        <v>40</v>
      </c>
      <c r="E1075" s="129">
        <f>'Free Spins Symbol'!$Y$18</f>
        <v>32</v>
      </c>
      <c r="F1075" s="117">
        <f>VLOOKUP(MID($A1075,13,2),'Free Spins Symbol'!$T$2:$Z$29,7,0)</f>
        <v>5</v>
      </c>
      <c r="G1075" s="100">
        <f>B1075*C1075*D1075*E1075*F1075-G1072</f>
        <v>35840000</v>
      </c>
      <c r="H1075" s="118">
        <f t="shared" si="212"/>
        <v>9.6</v>
      </c>
      <c r="I1075" s="100">
        <v>150</v>
      </c>
      <c r="J1075" s="119">
        <f t="shared" si="211"/>
        <v>15.625</v>
      </c>
      <c r="K1075" s="120">
        <f t="shared" si="213"/>
        <v>0.10416666666666667</v>
      </c>
    </row>
    <row r="1076" spans="1:11" x14ac:dyDescent="0.3">
      <c r="A1076" s="116" t="s">
        <v>248</v>
      </c>
      <c r="B1076" s="129">
        <f>'Free Spins Symbol'!$V$18</f>
        <v>100</v>
      </c>
      <c r="C1076" s="129">
        <f>'Free Spins Symbol'!$W$18</f>
        <v>56</v>
      </c>
      <c r="D1076" s="129">
        <f>'Free Spins Symbol'!$X$18</f>
        <v>40</v>
      </c>
      <c r="E1076" s="129">
        <f>'Free Spins Symbol'!$Y$18</f>
        <v>32</v>
      </c>
      <c r="F1076" s="117">
        <f>VLOOKUP(MID($A1076,13,2),'Free Spins Symbol'!$T$2:$Z$29,7,0)</f>
        <v>5</v>
      </c>
      <c r="G1076" s="100">
        <f>B1076*C1076*D1076*E1076*F1076-G1072</f>
        <v>35840000</v>
      </c>
      <c r="H1076" s="118">
        <f t="shared" si="212"/>
        <v>9.6</v>
      </c>
      <c r="I1076" s="100">
        <v>150</v>
      </c>
      <c r="J1076" s="119">
        <f t="shared" si="211"/>
        <v>15.625</v>
      </c>
      <c r="K1076" s="120">
        <f t="shared" si="213"/>
        <v>0.10416666666666667</v>
      </c>
    </row>
    <row r="1077" spans="1:11" x14ac:dyDescent="0.3">
      <c r="A1077" s="116" t="s">
        <v>254</v>
      </c>
      <c r="B1077" s="129">
        <f>'Free Spins Symbol'!$V$18</f>
        <v>100</v>
      </c>
      <c r="C1077" s="129">
        <f>'Free Spins Symbol'!$W$18</f>
        <v>56</v>
      </c>
      <c r="D1077" s="129">
        <f>'Free Spins Symbol'!$X$18</f>
        <v>40</v>
      </c>
      <c r="E1077" s="129">
        <f>'Free Spins Symbol'!$Y$18</f>
        <v>32</v>
      </c>
      <c r="F1077" s="117">
        <f>VLOOKUP(MID($A1077,13,2),'Free Spins Symbol'!$T$2:$Z$29,7,0)</f>
        <v>48</v>
      </c>
      <c r="G1077" s="100">
        <v>0</v>
      </c>
      <c r="H1077" s="118" t="e">
        <f t="shared" si="212"/>
        <v>#DIV/0!</v>
      </c>
      <c r="I1077" s="100">
        <v>100</v>
      </c>
      <c r="J1077" s="119">
        <f>K1077*I1077</f>
        <v>0</v>
      </c>
      <c r="K1077" s="120">
        <f>G1077/B$2</f>
        <v>0</v>
      </c>
    </row>
    <row r="1078" spans="1:11" x14ac:dyDescent="0.3">
      <c r="A1078" s="116" t="s">
        <v>249</v>
      </c>
      <c r="B1078" s="129">
        <f>'Free Spins Symbol'!$V$18</f>
        <v>100</v>
      </c>
      <c r="C1078" s="129">
        <f>'Free Spins Symbol'!$W$18</f>
        <v>56</v>
      </c>
      <c r="D1078" s="129">
        <f>'Free Spins Symbol'!$X$18</f>
        <v>40</v>
      </c>
      <c r="E1078" s="129">
        <f>'Free Spins Symbol'!$Y$18</f>
        <v>32</v>
      </c>
      <c r="F1078" s="117">
        <f>VLOOKUP(MID($A1078,13,2),'Free Spins Symbol'!$T$2:$Z$29,7,0)</f>
        <v>2</v>
      </c>
      <c r="G1078" s="100">
        <f>B1078*C1078*D1078*E1078*F1078-G1072</f>
        <v>14336000</v>
      </c>
      <c r="H1078" s="118">
        <f t="shared" si="212"/>
        <v>24</v>
      </c>
      <c r="I1078" s="100">
        <v>100</v>
      </c>
      <c r="J1078" s="119">
        <f t="shared" ref="J1078:J1086" si="214">K1078*I1078</f>
        <v>4.1666666666666661</v>
      </c>
      <c r="K1078" s="120">
        <f t="shared" ref="K1078:K1086" si="215">G1078/B$2</f>
        <v>4.1666666666666664E-2</v>
      </c>
    </row>
    <row r="1079" spans="1:11" x14ac:dyDescent="0.3">
      <c r="A1079" s="116" t="s">
        <v>250</v>
      </c>
      <c r="B1079" s="129">
        <f>'Free Spins Symbol'!$V$18</f>
        <v>100</v>
      </c>
      <c r="C1079" s="129">
        <f>'Free Spins Symbol'!$W$18</f>
        <v>56</v>
      </c>
      <c r="D1079" s="129">
        <f>'Free Spins Symbol'!$X$18</f>
        <v>40</v>
      </c>
      <c r="E1079" s="129">
        <f>'Free Spins Symbol'!$Y$18</f>
        <v>32</v>
      </c>
      <c r="F1079" s="117">
        <f>VLOOKUP(MID($A1079,13,2),'Free Spins Symbol'!$T$2:$Z$29,7,0)</f>
        <v>11</v>
      </c>
      <c r="G1079" s="100">
        <f>B1079*C1079*D1079*E1079*F1079-G1072</f>
        <v>78848000</v>
      </c>
      <c r="H1079" s="118">
        <f t="shared" si="212"/>
        <v>4.3636363636363633</v>
      </c>
      <c r="I1079" s="100">
        <v>100</v>
      </c>
      <c r="J1079" s="119">
        <f t="shared" si="214"/>
        <v>22.916666666666664</v>
      </c>
      <c r="K1079" s="120">
        <f t="shared" si="215"/>
        <v>0.22916666666666666</v>
      </c>
    </row>
    <row r="1080" spans="1:11" x14ac:dyDescent="0.3">
      <c r="A1080" s="116" t="s">
        <v>251</v>
      </c>
      <c r="B1080" s="129">
        <f>'Free Spins Symbol'!$V$18</f>
        <v>100</v>
      </c>
      <c r="C1080" s="129">
        <f>'Free Spins Symbol'!$W$18</f>
        <v>56</v>
      </c>
      <c r="D1080" s="129">
        <f>'Free Spins Symbol'!$X$18</f>
        <v>40</v>
      </c>
      <c r="E1080" s="129">
        <f>'Free Spins Symbol'!$Y$18</f>
        <v>32</v>
      </c>
      <c r="F1080" s="117">
        <f>VLOOKUP(MID($A1080,13,2),'Free Spins Symbol'!$T$2:$Z$29,7,0)</f>
        <v>1</v>
      </c>
      <c r="G1080" s="100">
        <f>B1080*C1080*D1080*E1080*F1080-G1072</f>
        <v>7168000</v>
      </c>
      <c r="H1080" s="118">
        <f t="shared" si="212"/>
        <v>48</v>
      </c>
      <c r="I1080" s="100">
        <v>100</v>
      </c>
      <c r="J1080" s="119">
        <f t="shared" si="214"/>
        <v>2.083333333333333</v>
      </c>
      <c r="K1080" s="120">
        <f t="shared" si="215"/>
        <v>2.0833333333333332E-2</v>
      </c>
    </row>
    <row r="1081" spans="1:11" x14ac:dyDescent="0.3">
      <c r="A1081" s="116" t="s">
        <v>252</v>
      </c>
      <c r="B1081" s="129">
        <f>'Free Spins Symbol'!$V$18</f>
        <v>100</v>
      </c>
      <c r="C1081" s="129">
        <f>'Free Spins Symbol'!$W$18</f>
        <v>56</v>
      </c>
      <c r="D1081" s="129">
        <f>'Free Spins Symbol'!$X$18</f>
        <v>40</v>
      </c>
      <c r="E1081" s="129">
        <f>'Free Spins Symbol'!$Y$18</f>
        <v>32</v>
      </c>
      <c r="F1081" s="117">
        <f>VLOOKUP(MID($A1081,13,2),'Free Spins Symbol'!$T$2:$Z$29,7,0)</f>
        <v>11</v>
      </c>
      <c r="G1081" s="100">
        <f>(B1081*C1081*D1081*E1081)*F1081-G1072</f>
        <v>78848000</v>
      </c>
      <c r="H1081" s="118">
        <f t="shared" si="212"/>
        <v>4.3636363636363633</v>
      </c>
      <c r="I1081" s="100">
        <v>100</v>
      </c>
      <c r="J1081" s="119">
        <f t="shared" si="214"/>
        <v>22.916666666666664</v>
      </c>
      <c r="K1081" s="120">
        <f t="shared" si="215"/>
        <v>0.22916666666666666</v>
      </c>
    </row>
    <row r="1082" spans="1:11" x14ac:dyDescent="0.3">
      <c r="A1082" s="116" t="s">
        <v>253</v>
      </c>
      <c r="B1082" s="129">
        <f>'Free Spins Symbol'!$V$18</f>
        <v>100</v>
      </c>
      <c r="C1082" s="129">
        <f>'Free Spins Symbol'!$W$18</f>
        <v>56</v>
      </c>
      <c r="D1082" s="129">
        <f>'Free Spins Symbol'!$X$18</f>
        <v>40</v>
      </c>
      <c r="E1082" s="129">
        <f>'Free Spins Symbol'!$Y$18</f>
        <v>32</v>
      </c>
      <c r="F1082" s="117">
        <f>VLOOKUP(MID($A1082,13,2),'Free Spins Symbol'!$T$2:$Z$29,7,0)</f>
        <v>11</v>
      </c>
      <c r="G1082" s="100">
        <f>B1082*C1082*D1082*E1082*F1082-G1072</f>
        <v>78848000</v>
      </c>
      <c r="H1082" s="118">
        <f t="shared" si="212"/>
        <v>4.3636363636363633</v>
      </c>
      <c r="I1082" s="100">
        <v>100</v>
      </c>
      <c r="J1082" s="119">
        <f t="shared" si="214"/>
        <v>22.916666666666664</v>
      </c>
      <c r="K1082" s="120">
        <f t="shared" si="215"/>
        <v>0.22916666666666666</v>
      </c>
    </row>
    <row r="1083" spans="1:11" x14ac:dyDescent="0.3">
      <c r="A1083" s="116" t="s">
        <v>255</v>
      </c>
      <c r="B1083" s="129">
        <f>'Free Spins Symbol'!$V$18</f>
        <v>100</v>
      </c>
      <c r="C1083" s="129">
        <f>'Free Spins Symbol'!$W$18</f>
        <v>56</v>
      </c>
      <c r="D1083" s="129">
        <f>'Free Spins Symbol'!$X$18</f>
        <v>40</v>
      </c>
      <c r="E1083" s="129">
        <f>'Free Spins Symbol'!$Y$18</f>
        <v>32</v>
      </c>
      <c r="F1083" s="117">
        <f>VLOOKUP(MID($A1083,13,2),'Free Spins Symbol'!$T$2:$Z$29,7,0)</f>
        <v>48</v>
      </c>
      <c r="G1083" s="100">
        <f>(B1083*C1083*D1083*E1083-B1077*C1077*D1077*E1077)*(F1083-F1073)</f>
        <v>0</v>
      </c>
      <c r="H1083" s="118" t="e">
        <f t="shared" si="212"/>
        <v>#DIV/0!</v>
      </c>
      <c r="I1083" s="100">
        <v>50</v>
      </c>
      <c r="J1083" s="119">
        <f t="shared" si="214"/>
        <v>0</v>
      </c>
      <c r="K1083" s="120">
        <f t="shared" si="215"/>
        <v>0</v>
      </c>
    </row>
    <row r="1084" spans="1:11" x14ac:dyDescent="0.3">
      <c r="A1084" s="116" t="s">
        <v>256</v>
      </c>
      <c r="B1084" s="129">
        <f>'Free Spins Symbol'!$V$18</f>
        <v>100</v>
      </c>
      <c r="C1084" s="129">
        <f>'Free Spins Symbol'!$W$18</f>
        <v>56</v>
      </c>
      <c r="D1084" s="129">
        <f>'Free Spins Symbol'!$X$18</f>
        <v>40</v>
      </c>
      <c r="E1084" s="129">
        <f>'Free Spins Symbol'!$Y$18</f>
        <v>32</v>
      </c>
      <c r="F1084" s="117">
        <f>VLOOKUP(MID($A1084,13,2),'Free Spins Symbol'!$T$2:$Z$29,7,0)</f>
        <v>48</v>
      </c>
      <c r="G1084" s="100">
        <f>(B1084*C1084*D1084*E1084-B1077*C1077*D1077*E1077)*(F1084-F1074)</f>
        <v>0</v>
      </c>
      <c r="H1084" s="118" t="e">
        <f t="shared" si="212"/>
        <v>#DIV/0!</v>
      </c>
      <c r="I1084" s="100">
        <v>50</v>
      </c>
      <c r="J1084" s="119">
        <f t="shared" si="214"/>
        <v>0</v>
      </c>
      <c r="K1084" s="120">
        <f t="shared" si="215"/>
        <v>0</v>
      </c>
    </row>
    <row r="1085" spans="1:11" x14ac:dyDescent="0.3">
      <c r="A1085" s="116" t="s">
        <v>257</v>
      </c>
      <c r="B1085" s="129">
        <f>'Free Spins Symbol'!$V$18</f>
        <v>100</v>
      </c>
      <c r="C1085" s="129">
        <f>'Free Spins Symbol'!$W$18</f>
        <v>56</v>
      </c>
      <c r="D1085" s="129">
        <f>'Free Spins Symbol'!$X$18</f>
        <v>40</v>
      </c>
      <c r="E1085" s="129">
        <f>'Free Spins Symbol'!$Y$18</f>
        <v>32</v>
      </c>
      <c r="F1085" s="117">
        <f>VLOOKUP(MID($A1085,13,2),'Free Spins Symbol'!$T$2:$Z$29,7,0)</f>
        <v>48</v>
      </c>
      <c r="G1085" s="100">
        <f>(B1085*C1085*D1085*E1085-B1077*C1077*D1077*E1077)*(F1085-F1075)</f>
        <v>0</v>
      </c>
      <c r="H1085" s="118" t="e">
        <f t="shared" si="212"/>
        <v>#DIV/0!</v>
      </c>
      <c r="I1085" s="100">
        <v>30</v>
      </c>
      <c r="J1085" s="119">
        <f t="shared" si="214"/>
        <v>0</v>
      </c>
      <c r="K1085" s="120">
        <f t="shared" si="215"/>
        <v>0</v>
      </c>
    </row>
    <row r="1086" spans="1:11" x14ac:dyDescent="0.3">
      <c r="A1086" s="116" t="s">
        <v>258</v>
      </c>
      <c r="B1086" s="129">
        <f>'Free Spins Symbol'!$V$18</f>
        <v>100</v>
      </c>
      <c r="C1086" s="129">
        <f>'Free Spins Symbol'!$W$18</f>
        <v>56</v>
      </c>
      <c r="D1086" s="129">
        <f>'Free Spins Symbol'!$X$18</f>
        <v>40</v>
      </c>
      <c r="E1086" s="129">
        <f>'Free Spins Symbol'!$Y$18</f>
        <v>32</v>
      </c>
      <c r="F1086" s="117">
        <f>VLOOKUP(MID($A1086,13,2),'Free Spins Symbol'!$T$2:$Z$29,7,0)</f>
        <v>48</v>
      </c>
      <c r="G1086" s="100">
        <f>(B1086*C1086*D1086*E1086-B1077*C1077*D1077*E1077)*(F1086-F1076)</f>
        <v>0</v>
      </c>
      <c r="H1086" s="118" t="e">
        <f t="shared" si="212"/>
        <v>#DIV/0!</v>
      </c>
      <c r="I1086" s="100">
        <v>30</v>
      </c>
      <c r="J1086" s="119">
        <f t="shared" si="214"/>
        <v>0</v>
      </c>
      <c r="K1086" s="120">
        <f t="shared" si="215"/>
        <v>0</v>
      </c>
    </row>
    <row r="1087" spans="1:11" x14ac:dyDescent="0.3">
      <c r="A1087" s="116" t="s">
        <v>264</v>
      </c>
      <c r="B1087" s="129">
        <f>'Free Spins Symbol'!$V$18</f>
        <v>100</v>
      </c>
      <c r="C1087" s="129">
        <f>'Free Spins Symbol'!$W$18</f>
        <v>56</v>
      </c>
      <c r="D1087" s="129">
        <f>'Free Spins Symbol'!$X$18</f>
        <v>40</v>
      </c>
      <c r="E1087" s="129">
        <f>'Free Spins Symbol'!$Y$18</f>
        <v>32</v>
      </c>
      <c r="F1087" s="117">
        <f>VLOOKUP(MID($A1087,13,2),'Free Spins Symbol'!$T$2:$Z$29,7,0)</f>
        <v>48</v>
      </c>
      <c r="G1087" s="100">
        <f>(B1087*C1087*D1087)*(E1087*F1087-(E1086+E1085+E1084+E1083-3*E1077)*F1077-(E1082-E1077)*F1082-(E1081-E1077)*F1081-(E1080-E1077)*F1080-(E1079-E1077)*F1079-(E1078-E1077)*F1078)</f>
        <v>0</v>
      </c>
      <c r="H1087" s="118" t="e">
        <f t="shared" si="212"/>
        <v>#DIV/0!</v>
      </c>
      <c r="I1087" s="100">
        <v>20</v>
      </c>
      <c r="J1087" s="119">
        <f>K1087*I1087</f>
        <v>0</v>
      </c>
      <c r="K1087" s="120">
        <f>G1087/B$2</f>
        <v>0</v>
      </c>
    </row>
    <row r="1088" spans="1:11" x14ac:dyDescent="0.3">
      <c r="A1088" s="116" t="s">
        <v>259</v>
      </c>
      <c r="B1088" s="129">
        <f>'Free Spins Symbol'!$V$18</f>
        <v>100</v>
      </c>
      <c r="C1088" s="129">
        <f>'Free Spins Symbol'!$W$18</f>
        <v>56</v>
      </c>
      <c r="D1088" s="129">
        <f>'Free Spins Symbol'!$X$18</f>
        <v>40</v>
      </c>
      <c r="E1088" s="129">
        <f>'Free Spins Symbol'!$Y$18</f>
        <v>32</v>
      </c>
      <c r="F1088" s="117">
        <f>VLOOKUP(MID($A1088,13,2),'Free Spins Symbol'!$T$2:$Z$29,7,0)</f>
        <v>48</v>
      </c>
      <c r="G1088" s="100">
        <v>0</v>
      </c>
      <c r="H1088" s="118" t="e">
        <f t="shared" si="212"/>
        <v>#DIV/0!</v>
      </c>
      <c r="I1088" s="100">
        <v>20</v>
      </c>
      <c r="J1088" s="119">
        <f t="shared" ref="J1088:J1107" si="216">K1088*I1088</f>
        <v>0</v>
      </c>
      <c r="K1088" s="120">
        <f t="shared" ref="K1088:K1107" si="217">G1088/B$2</f>
        <v>0</v>
      </c>
    </row>
    <row r="1089" spans="1:11" x14ac:dyDescent="0.3">
      <c r="A1089" s="116" t="s">
        <v>260</v>
      </c>
      <c r="B1089" s="129">
        <f>'Free Spins Symbol'!$V$18</f>
        <v>100</v>
      </c>
      <c r="C1089" s="129">
        <f>'Free Spins Symbol'!$W$18</f>
        <v>56</v>
      </c>
      <c r="D1089" s="129">
        <f>'Free Spins Symbol'!$X$18</f>
        <v>40</v>
      </c>
      <c r="E1089" s="129">
        <f>'Free Spins Symbol'!$Y$18</f>
        <v>32</v>
      </c>
      <c r="F1089" s="117">
        <f>VLOOKUP(MID($A1089,13,2),'Free Spins Symbol'!$T$2:$Z$29,7,0)</f>
        <v>48</v>
      </c>
      <c r="G1089" s="100">
        <v>0</v>
      </c>
      <c r="H1089" s="118" t="e">
        <f t="shared" si="212"/>
        <v>#DIV/0!</v>
      </c>
      <c r="I1089" s="100">
        <v>20</v>
      </c>
      <c r="J1089" s="119">
        <f t="shared" si="216"/>
        <v>0</v>
      </c>
      <c r="K1089" s="120">
        <f t="shared" si="217"/>
        <v>0</v>
      </c>
    </row>
    <row r="1090" spans="1:11" x14ac:dyDescent="0.3">
      <c r="A1090" s="116" t="s">
        <v>261</v>
      </c>
      <c r="B1090" s="129">
        <f>'Free Spins Symbol'!$V$18</f>
        <v>100</v>
      </c>
      <c r="C1090" s="129">
        <f>'Free Spins Symbol'!$W$18</f>
        <v>56</v>
      </c>
      <c r="D1090" s="129">
        <f>'Free Spins Symbol'!$X$18</f>
        <v>40</v>
      </c>
      <c r="E1090" s="129">
        <f>'Free Spins Symbol'!$Y$18</f>
        <v>32</v>
      </c>
      <c r="F1090" s="117">
        <f>VLOOKUP(MID($A1090,13,2),'Free Spins Symbol'!$T$2:$Z$29,7,0)</f>
        <v>48</v>
      </c>
      <c r="G1090" s="100">
        <v>0</v>
      </c>
      <c r="H1090" s="118" t="e">
        <f t="shared" si="212"/>
        <v>#DIV/0!</v>
      </c>
      <c r="I1090" s="100">
        <v>20</v>
      </c>
      <c r="J1090" s="119">
        <f t="shared" si="216"/>
        <v>0</v>
      </c>
      <c r="K1090" s="120">
        <f t="shared" si="217"/>
        <v>0</v>
      </c>
    </row>
    <row r="1091" spans="1:11" x14ac:dyDescent="0.3">
      <c r="A1091" s="116" t="s">
        <v>262</v>
      </c>
      <c r="B1091" s="129">
        <f>'Free Spins Symbol'!$V$18</f>
        <v>100</v>
      </c>
      <c r="C1091" s="129">
        <f>'Free Spins Symbol'!$W$18</f>
        <v>56</v>
      </c>
      <c r="D1091" s="129">
        <f>'Free Spins Symbol'!$X$18</f>
        <v>40</v>
      </c>
      <c r="E1091" s="129">
        <f>'Free Spins Symbol'!$Y$18</f>
        <v>32</v>
      </c>
      <c r="F1091" s="117">
        <f>VLOOKUP(MID($A1091,13,2),'Free Spins Symbol'!$T$2:$Z$29,7,0)</f>
        <v>48</v>
      </c>
      <c r="G1091" s="100">
        <v>0</v>
      </c>
      <c r="H1091" s="118" t="e">
        <f t="shared" si="212"/>
        <v>#DIV/0!</v>
      </c>
      <c r="I1091" s="100">
        <v>20</v>
      </c>
      <c r="J1091" s="119">
        <f t="shared" si="216"/>
        <v>0</v>
      </c>
      <c r="K1091" s="120">
        <f t="shared" si="217"/>
        <v>0</v>
      </c>
    </row>
    <row r="1092" spans="1:11" x14ac:dyDescent="0.3">
      <c r="A1092" s="116" t="s">
        <v>263</v>
      </c>
      <c r="B1092" s="129">
        <f>'Free Spins Symbol'!$V$18</f>
        <v>100</v>
      </c>
      <c r="C1092" s="129">
        <f>'Free Spins Symbol'!$W$18</f>
        <v>56</v>
      </c>
      <c r="D1092" s="129">
        <f>'Free Spins Symbol'!$X$18</f>
        <v>40</v>
      </c>
      <c r="E1092" s="129">
        <f>'Free Spins Symbol'!$Y$18</f>
        <v>32</v>
      </c>
      <c r="F1092" s="117">
        <f>VLOOKUP(MID($A1092,13,2),'Free Spins Symbol'!$T$2:$Z$29,7,0)</f>
        <v>48</v>
      </c>
      <c r="G1092" s="100">
        <v>0</v>
      </c>
      <c r="H1092" s="118" t="e">
        <f t="shared" si="212"/>
        <v>#DIV/0!</v>
      </c>
      <c r="I1092" s="100">
        <v>20</v>
      </c>
      <c r="J1092" s="119">
        <f t="shared" si="216"/>
        <v>0</v>
      </c>
      <c r="K1092" s="120">
        <f t="shared" si="217"/>
        <v>0</v>
      </c>
    </row>
    <row r="1093" spans="1:11" x14ac:dyDescent="0.3">
      <c r="A1093" s="116" t="s">
        <v>265</v>
      </c>
      <c r="B1093" s="129">
        <f>'Free Spins Symbol'!$V$18</f>
        <v>100</v>
      </c>
      <c r="C1093" s="129">
        <f>'Free Spins Symbol'!$W$18</f>
        <v>56</v>
      </c>
      <c r="D1093" s="129">
        <f>'Free Spins Symbol'!$X$18</f>
        <v>40</v>
      </c>
      <c r="E1093" s="129">
        <f>'Free Spins Symbol'!$Y$18</f>
        <v>32</v>
      </c>
      <c r="F1093" s="117">
        <f>VLOOKUP(MID($A1093,13,2),'Free Spins Symbol'!$T$2:$Z$29,7,0)</f>
        <v>48</v>
      </c>
      <c r="G1093" s="100">
        <f>(B1093*C1093*D1093)*(E1093-E1083)*F1093</f>
        <v>0</v>
      </c>
      <c r="H1093" s="118" t="e">
        <f t="shared" si="212"/>
        <v>#DIV/0!</v>
      </c>
      <c r="I1093" s="100">
        <v>20</v>
      </c>
      <c r="J1093" s="119">
        <f t="shared" si="216"/>
        <v>0</v>
      </c>
      <c r="K1093" s="120">
        <f t="shared" si="217"/>
        <v>0</v>
      </c>
    </row>
    <row r="1094" spans="1:11" x14ac:dyDescent="0.3">
      <c r="A1094" s="116" t="s">
        <v>266</v>
      </c>
      <c r="B1094" s="129">
        <f>'Free Spins Symbol'!$V$18</f>
        <v>100</v>
      </c>
      <c r="C1094" s="129">
        <f>'Free Spins Symbol'!$W$18</f>
        <v>56</v>
      </c>
      <c r="D1094" s="129">
        <f>'Free Spins Symbol'!$X$18</f>
        <v>40</v>
      </c>
      <c r="E1094" s="129">
        <f>'Free Spins Symbol'!$Y$18</f>
        <v>32</v>
      </c>
      <c r="F1094" s="117">
        <f>VLOOKUP(MID($A1094,13,2),'Free Spins Symbol'!$T$2:$Z$29,7,0)</f>
        <v>48</v>
      </c>
      <c r="G1094" s="100">
        <f>(B1094*C1094*D1094)*(E1094-E1084)*F1094</f>
        <v>0</v>
      </c>
      <c r="H1094" s="118" t="e">
        <f t="shared" si="212"/>
        <v>#DIV/0!</v>
      </c>
      <c r="I1094" s="100">
        <v>20</v>
      </c>
      <c r="J1094" s="119">
        <f t="shared" si="216"/>
        <v>0</v>
      </c>
      <c r="K1094" s="120">
        <f t="shared" si="217"/>
        <v>0</v>
      </c>
    </row>
    <row r="1095" spans="1:11" x14ac:dyDescent="0.3">
      <c r="A1095" s="116" t="s">
        <v>267</v>
      </c>
      <c r="B1095" s="129">
        <f>'Free Spins Symbol'!$V$18</f>
        <v>100</v>
      </c>
      <c r="C1095" s="129">
        <f>'Free Spins Symbol'!$W$18</f>
        <v>56</v>
      </c>
      <c r="D1095" s="129">
        <f>'Free Spins Symbol'!$X$18</f>
        <v>40</v>
      </c>
      <c r="E1095" s="129">
        <f>'Free Spins Symbol'!$Y$18</f>
        <v>32</v>
      </c>
      <c r="F1095" s="117">
        <f>VLOOKUP(MID($A1095,13,2),'Free Spins Symbol'!$T$2:$Z$29,7,0)</f>
        <v>48</v>
      </c>
      <c r="G1095" s="100">
        <f>(B1095*C1095*D1095-B1087*C1087*D1087)*(E1095-E1085)*F1095</f>
        <v>0</v>
      </c>
      <c r="H1095" s="118" t="e">
        <f t="shared" si="212"/>
        <v>#DIV/0!</v>
      </c>
      <c r="I1095" s="100">
        <v>10</v>
      </c>
      <c r="J1095" s="119">
        <f t="shared" si="216"/>
        <v>0</v>
      </c>
      <c r="K1095" s="120">
        <f t="shared" si="217"/>
        <v>0</v>
      </c>
    </row>
    <row r="1096" spans="1:11" x14ac:dyDescent="0.3">
      <c r="A1096" s="116" t="s">
        <v>268</v>
      </c>
      <c r="B1096" s="129">
        <f>'Free Spins Symbol'!$V$18</f>
        <v>100</v>
      </c>
      <c r="C1096" s="129">
        <f>'Free Spins Symbol'!$W$18</f>
        <v>56</v>
      </c>
      <c r="D1096" s="129">
        <f>'Free Spins Symbol'!$X$18</f>
        <v>40</v>
      </c>
      <c r="E1096" s="129">
        <f>'Free Spins Symbol'!$Y$18</f>
        <v>32</v>
      </c>
      <c r="F1096" s="117">
        <f>VLOOKUP(MID($A1096,13,2),'Free Spins Symbol'!$T$2:$Z$29,7,0)</f>
        <v>48</v>
      </c>
      <c r="G1096" s="100">
        <f>(B1096*C1096*D1096-B1087*C1087*D1087)*(E1096-E1086)*F1096</f>
        <v>0</v>
      </c>
      <c r="H1096" s="118" t="e">
        <f t="shared" si="212"/>
        <v>#DIV/0!</v>
      </c>
      <c r="I1096" s="100">
        <v>10</v>
      </c>
      <c r="J1096" s="119">
        <f t="shared" si="216"/>
        <v>0</v>
      </c>
      <c r="K1096" s="120">
        <f t="shared" si="217"/>
        <v>0</v>
      </c>
    </row>
    <row r="1097" spans="1:11" x14ac:dyDescent="0.3">
      <c r="A1097" s="116" t="s">
        <v>269</v>
      </c>
      <c r="B1097" s="129">
        <f>'Free Spins Symbol'!$V$18</f>
        <v>100</v>
      </c>
      <c r="C1097" s="129">
        <f>'Free Spins Symbol'!$W$18</f>
        <v>56</v>
      </c>
      <c r="D1097" s="129">
        <f>'Free Spins Symbol'!$X$18</f>
        <v>40</v>
      </c>
      <c r="E1097" s="129">
        <f>'Free Spins Symbol'!$Y$18</f>
        <v>32</v>
      </c>
      <c r="F1097" s="117">
        <f>VLOOKUP(MID($A1097,13,2),'Free Spins Symbol'!$T$2:$Z$29,7,0)</f>
        <v>48</v>
      </c>
      <c r="G1097" s="100">
        <f>(B1097*C1097*D1097-B1087*C1087*D1087)*(E1097-E1088)*F1097</f>
        <v>0</v>
      </c>
      <c r="H1097" s="118" t="e">
        <f t="shared" si="212"/>
        <v>#DIV/0!</v>
      </c>
      <c r="I1097" s="100">
        <v>5</v>
      </c>
      <c r="J1097" s="119">
        <f t="shared" si="216"/>
        <v>0</v>
      </c>
      <c r="K1097" s="120">
        <f t="shared" si="217"/>
        <v>0</v>
      </c>
    </row>
    <row r="1098" spans="1:11" x14ac:dyDescent="0.3">
      <c r="A1098" s="116" t="s">
        <v>270</v>
      </c>
      <c r="B1098" s="129">
        <f>'Free Spins Symbol'!$V$18</f>
        <v>100</v>
      </c>
      <c r="C1098" s="129">
        <f>'Free Spins Symbol'!$W$18</f>
        <v>56</v>
      </c>
      <c r="D1098" s="129">
        <f>'Free Spins Symbol'!$X$18</f>
        <v>40</v>
      </c>
      <c r="E1098" s="129">
        <f>'Free Spins Symbol'!$Y$18</f>
        <v>32</v>
      </c>
      <c r="F1098" s="117">
        <f>VLOOKUP(MID($A1098,13,2),'Free Spins Symbol'!$T$2:$Z$29,7,0)</f>
        <v>48</v>
      </c>
      <c r="G1098" s="100">
        <f>(B1098*C1098*D1098-B1087*C1087*D1087)*(E1098-E1089)*F1098</f>
        <v>0</v>
      </c>
      <c r="H1098" s="118" t="e">
        <f t="shared" si="212"/>
        <v>#DIV/0!</v>
      </c>
      <c r="I1098" s="100">
        <v>5</v>
      </c>
      <c r="J1098" s="119">
        <f t="shared" si="216"/>
        <v>0</v>
      </c>
      <c r="K1098" s="120">
        <f t="shared" si="217"/>
        <v>0</v>
      </c>
    </row>
    <row r="1099" spans="1:11" x14ac:dyDescent="0.3">
      <c r="A1099" s="116" t="s">
        <v>271</v>
      </c>
      <c r="B1099" s="129">
        <f>'Free Spins Symbol'!$V$18</f>
        <v>100</v>
      </c>
      <c r="C1099" s="129">
        <f>'Free Spins Symbol'!$W$18</f>
        <v>56</v>
      </c>
      <c r="D1099" s="129">
        <f>'Free Spins Symbol'!$X$18</f>
        <v>40</v>
      </c>
      <c r="E1099" s="129">
        <f>'Free Spins Symbol'!$Y$18</f>
        <v>32</v>
      </c>
      <c r="F1099" s="117">
        <f>VLOOKUP(MID($A1099,13,2),'Free Spins Symbol'!$T$2:$Z$29,7,0)</f>
        <v>48</v>
      </c>
      <c r="G1099" s="100">
        <f>(B1099*C1099*D1099-B1087*C1087*D1087)*(E1099-E1090)*F1099</f>
        <v>0</v>
      </c>
      <c r="H1099" s="118" t="e">
        <f t="shared" si="212"/>
        <v>#DIV/0!</v>
      </c>
      <c r="I1099" s="100">
        <v>5</v>
      </c>
      <c r="J1099" s="119">
        <f t="shared" si="216"/>
        <v>0</v>
      </c>
      <c r="K1099" s="120">
        <f t="shared" si="217"/>
        <v>0</v>
      </c>
    </row>
    <row r="1100" spans="1:11" x14ac:dyDescent="0.3">
      <c r="A1100" s="116" t="s">
        <v>272</v>
      </c>
      <c r="B1100" s="129">
        <f>'Free Spins Symbol'!$V$18</f>
        <v>100</v>
      </c>
      <c r="C1100" s="129">
        <f>'Free Spins Symbol'!$W$18</f>
        <v>56</v>
      </c>
      <c r="D1100" s="129">
        <f>'Free Spins Symbol'!$X$18</f>
        <v>40</v>
      </c>
      <c r="E1100" s="129">
        <f>'Free Spins Symbol'!$Y$18</f>
        <v>32</v>
      </c>
      <c r="F1100" s="117">
        <f>VLOOKUP(MID($A1100,13,2),'Free Spins Symbol'!$T$2:$Z$29,7,0)</f>
        <v>48</v>
      </c>
      <c r="G1100" s="100">
        <f>(B1100*C1100*D1100-B1087*C1087*D1087)*(E1100-E1091)*F1100</f>
        <v>0</v>
      </c>
      <c r="H1100" s="118" t="e">
        <f t="shared" si="212"/>
        <v>#DIV/0!</v>
      </c>
      <c r="I1100" s="100">
        <v>5</v>
      </c>
      <c r="J1100" s="119">
        <f t="shared" si="216"/>
        <v>0</v>
      </c>
      <c r="K1100" s="120">
        <f t="shared" si="217"/>
        <v>0</v>
      </c>
    </row>
    <row r="1101" spans="1:11" x14ac:dyDescent="0.3">
      <c r="A1101" s="116" t="s">
        <v>273</v>
      </c>
      <c r="B1101" s="129">
        <f>'Free Spins Symbol'!$V$18</f>
        <v>100</v>
      </c>
      <c r="C1101" s="129">
        <f>'Free Spins Symbol'!$W$18</f>
        <v>56</v>
      </c>
      <c r="D1101" s="129">
        <f>'Free Spins Symbol'!$X$18</f>
        <v>40</v>
      </c>
      <c r="E1101" s="129">
        <f>'Free Spins Symbol'!$Y$18</f>
        <v>32</v>
      </c>
      <c r="F1101" s="117">
        <f>VLOOKUP(MID($A1101,13,2),'Free Spins Symbol'!$T$2:$Z$29,7,0)</f>
        <v>48</v>
      </c>
      <c r="G1101" s="100">
        <f>(B1101*C1101*D1101-B1087*C1087*D1087)*(E1101-E1092)*F1101</f>
        <v>0</v>
      </c>
      <c r="H1101" s="118" t="e">
        <f t="shared" si="212"/>
        <v>#DIV/0!</v>
      </c>
      <c r="I1101" s="100">
        <v>5</v>
      </c>
      <c r="J1101" s="119">
        <f t="shared" si="216"/>
        <v>0</v>
      </c>
      <c r="K1101" s="120">
        <f t="shared" si="217"/>
        <v>0</v>
      </c>
    </row>
    <row r="1102" spans="1:11" x14ac:dyDescent="0.3">
      <c r="A1102" s="116" t="s">
        <v>274</v>
      </c>
      <c r="B1102" s="129">
        <f>'Free Spins Symbol'!$V$18</f>
        <v>100</v>
      </c>
      <c r="C1102" s="129">
        <f>'Free Spins Symbol'!$W$18</f>
        <v>56</v>
      </c>
      <c r="D1102" s="129">
        <f>'Free Spins Symbol'!$X$18</f>
        <v>40</v>
      </c>
      <c r="E1102" s="129">
        <f>'Free Spins Symbol'!$Y$18</f>
        <v>32</v>
      </c>
      <c r="F1102" s="117">
        <f>VLOOKUP(MID($A1102,13,2),'Free Spins Symbol'!$T$2:$Z$29,7,0)</f>
        <v>48</v>
      </c>
      <c r="G1102" s="100">
        <f>B1102*C1102*(D1102-D1087)*E1102*F1102</f>
        <v>0</v>
      </c>
      <c r="H1102" s="118" t="e">
        <f t="shared" si="212"/>
        <v>#DIV/0!</v>
      </c>
      <c r="I1102" s="100">
        <v>5</v>
      </c>
      <c r="J1102" s="119">
        <f t="shared" si="216"/>
        <v>0</v>
      </c>
      <c r="K1102" s="120">
        <f t="shared" si="217"/>
        <v>0</v>
      </c>
    </row>
    <row r="1103" spans="1:11" x14ac:dyDescent="0.3">
      <c r="A1103" s="116" t="s">
        <v>275</v>
      </c>
      <c r="B1103" s="129">
        <f>'Free Spins Symbol'!$V$18</f>
        <v>100</v>
      </c>
      <c r="C1103" s="129">
        <f>'Free Spins Symbol'!$W$18</f>
        <v>56</v>
      </c>
      <c r="D1103" s="129">
        <f>'Free Spins Symbol'!$X$18</f>
        <v>40</v>
      </c>
      <c r="E1103" s="129">
        <f>'Free Spins Symbol'!$Y$18</f>
        <v>32</v>
      </c>
      <c r="F1103" s="117">
        <f>VLOOKUP(MID($A1103,13,2),'Free Spins Symbol'!$T$2:$Z$29,7,0)</f>
        <v>48</v>
      </c>
      <c r="G1103" s="100">
        <f t="shared" ref="G1103:G1106" si="218">B1103*C1103*(D1103-D1093)*E1103*F1103</f>
        <v>0</v>
      </c>
      <c r="H1103" s="118" t="e">
        <f t="shared" si="212"/>
        <v>#DIV/0!</v>
      </c>
      <c r="I1103" s="100">
        <v>5</v>
      </c>
      <c r="J1103" s="119">
        <f t="shared" si="216"/>
        <v>0</v>
      </c>
      <c r="K1103" s="120">
        <f t="shared" si="217"/>
        <v>0</v>
      </c>
    </row>
    <row r="1104" spans="1:11" x14ac:dyDescent="0.3">
      <c r="A1104" s="116" t="s">
        <v>276</v>
      </c>
      <c r="B1104" s="129">
        <f>'Free Spins Symbol'!$V$18</f>
        <v>100</v>
      </c>
      <c r="C1104" s="129">
        <f>'Free Spins Symbol'!$W$18</f>
        <v>56</v>
      </c>
      <c r="D1104" s="129">
        <f>'Free Spins Symbol'!$X$18</f>
        <v>40</v>
      </c>
      <c r="E1104" s="129">
        <f>'Free Spins Symbol'!$Y$18</f>
        <v>32</v>
      </c>
      <c r="F1104" s="117">
        <f>VLOOKUP(MID($A1104,13,2),'Free Spins Symbol'!$T$2:$Z$29,7,0)</f>
        <v>48</v>
      </c>
      <c r="G1104" s="100">
        <f t="shared" si="218"/>
        <v>0</v>
      </c>
      <c r="H1104" s="118" t="e">
        <f t="shared" si="212"/>
        <v>#DIV/0!</v>
      </c>
      <c r="I1104" s="100">
        <v>5</v>
      </c>
      <c r="J1104" s="119">
        <f t="shared" si="216"/>
        <v>0</v>
      </c>
      <c r="K1104" s="120">
        <f t="shared" si="217"/>
        <v>0</v>
      </c>
    </row>
    <row r="1105" spans="1:11" x14ac:dyDescent="0.3">
      <c r="A1105" s="116" t="s">
        <v>277</v>
      </c>
      <c r="B1105" s="129">
        <f>'Free Spins Symbol'!$V$18</f>
        <v>100</v>
      </c>
      <c r="C1105" s="129">
        <f>'Free Spins Symbol'!$W$18</f>
        <v>56</v>
      </c>
      <c r="D1105" s="129">
        <f>'Free Spins Symbol'!$X$18</f>
        <v>40</v>
      </c>
      <c r="E1105" s="129">
        <f>'Free Spins Symbol'!$Y$18</f>
        <v>32</v>
      </c>
      <c r="F1105" s="117">
        <f>VLOOKUP(MID($A1105,13,2),'Free Spins Symbol'!$T$2:$Z$29,7,0)</f>
        <v>48</v>
      </c>
      <c r="G1105" s="100">
        <f t="shared" si="218"/>
        <v>0</v>
      </c>
      <c r="H1105" s="118" t="e">
        <f t="shared" si="212"/>
        <v>#DIV/0!</v>
      </c>
      <c r="I1105" s="100">
        <v>5</v>
      </c>
      <c r="J1105" s="119">
        <f t="shared" si="216"/>
        <v>0</v>
      </c>
      <c r="K1105" s="120">
        <f t="shared" si="217"/>
        <v>0</v>
      </c>
    </row>
    <row r="1106" spans="1:11" x14ac:dyDescent="0.3">
      <c r="A1106" s="116" t="s">
        <v>278</v>
      </c>
      <c r="B1106" s="129">
        <f>'Free Spins Symbol'!$V$18</f>
        <v>100</v>
      </c>
      <c r="C1106" s="129">
        <f>'Free Spins Symbol'!$W$18</f>
        <v>56</v>
      </c>
      <c r="D1106" s="129">
        <f>'Free Spins Symbol'!$X$18</f>
        <v>40</v>
      </c>
      <c r="E1106" s="129">
        <f>'Free Spins Symbol'!$Y$18</f>
        <v>32</v>
      </c>
      <c r="F1106" s="117">
        <f>VLOOKUP(MID($A1106,13,2),'Free Spins Symbol'!$T$2:$Z$29,7,0)</f>
        <v>48</v>
      </c>
      <c r="G1106" s="100">
        <f t="shared" si="218"/>
        <v>0</v>
      </c>
      <c r="H1106" s="118" t="e">
        <f t="shared" si="212"/>
        <v>#DIV/0!</v>
      </c>
      <c r="I1106" s="100">
        <v>5</v>
      </c>
      <c r="J1106" s="119">
        <f t="shared" si="216"/>
        <v>0</v>
      </c>
      <c r="K1106" s="120">
        <f t="shared" si="217"/>
        <v>0</v>
      </c>
    </row>
    <row r="1107" spans="1:11" x14ac:dyDescent="0.3">
      <c r="A1107" s="122" t="s">
        <v>279</v>
      </c>
      <c r="B1107" s="117">
        <f>VLOOKUP(MID($A1107,1,2),'Free Spins Symbol'!$T$2:$Z$29,3,0)</f>
        <v>100</v>
      </c>
      <c r="C1107" s="117">
        <f>VLOOKUP(MID($A1107,4,2),'Free Spins Symbol'!$T$2:$Z$29,4,0)</f>
        <v>8</v>
      </c>
      <c r="D1107" s="117">
        <f>VLOOKUP(MID($A1107,7,2),'Free Spins Symbol'!$T$2:$Z$29,5,0)</f>
        <v>4</v>
      </c>
      <c r="E1107" s="117">
        <f>VLOOKUP(MID($A1107,10,2),'Free Spins Symbol'!$T$2:$Z$29,6,0)</f>
        <v>16</v>
      </c>
      <c r="F1107" s="117">
        <f>VLOOKUP(MID($A1107,13,2),'Free Spins Symbol'!$T$2:$Z$29,7,0)</f>
        <v>48</v>
      </c>
      <c r="G1107" s="100">
        <f>B1107*C1107*D1107*E1107*F1107</f>
        <v>2457600</v>
      </c>
      <c r="H1107" s="118">
        <f t="shared" si="212"/>
        <v>140</v>
      </c>
      <c r="I1107" s="123">
        <v>2</v>
      </c>
      <c r="J1107" s="124">
        <f t="shared" si="216"/>
        <v>1.4285714285714285E-2</v>
      </c>
      <c r="K1107" s="120">
        <f t="shared" si="217"/>
        <v>7.1428571428571426E-3</v>
      </c>
    </row>
    <row r="1109" spans="1:11" ht="16.8" thickBot="1" x14ac:dyDescent="0.35"/>
    <row r="1110" spans="1:11" ht="16.8" thickBot="1" x14ac:dyDescent="0.35">
      <c r="A1110" s="125" t="s">
        <v>319</v>
      </c>
    </row>
    <row r="1111" spans="1:11" ht="16.8" thickBot="1" x14ac:dyDescent="0.35">
      <c r="A1111" s="95" t="s">
        <v>280</v>
      </c>
      <c r="B1111" s="142">
        <f>B2</f>
        <v>344064000</v>
      </c>
      <c r="C1111" s="142"/>
      <c r="D1111" s="142"/>
      <c r="E1111" s="142"/>
      <c r="F1111" s="142"/>
      <c r="G1111" s="7"/>
      <c r="H1111" s="106"/>
      <c r="I1111" s="107" t="s">
        <v>281</v>
      </c>
      <c r="J1111" s="108">
        <f>SUM(J1113:J1147)</f>
        <v>102.5</v>
      </c>
      <c r="K1111" s="126">
        <f>SUM(K1113:K1148)</f>
        <v>1.0071428571428571</v>
      </c>
    </row>
    <row r="1112" spans="1:11" ht="33" thickBot="1" x14ac:dyDescent="0.35">
      <c r="A1112" s="109" t="s">
        <v>233</v>
      </c>
      <c r="B1112" s="110" t="s">
        <v>234</v>
      </c>
      <c r="C1112" s="110" t="s">
        <v>235</v>
      </c>
      <c r="D1112" s="110" t="s">
        <v>236</v>
      </c>
      <c r="E1112" s="110" t="s">
        <v>237</v>
      </c>
      <c r="F1112" s="110" t="s">
        <v>238</v>
      </c>
      <c r="G1112" s="111" t="s">
        <v>239</v>
      </c>
      <c r="H1112" s="112" t="s">
        <v>240</v>
      </c>
      <c r="I1112" s="113" t="s">
        <v>241</v>
      </c>
      <c r="J1112" s="114" t="s">
        <v>242</v>
      </c>
      <c r="K1112" s="115" t="s">
        <v>243</v>
      </c>
    </row>
    <row r="1113" spans="1:11" x14ac:dyDescent="0.3">
      <c r="A1113" s="116" t="s">
        <v>244</v>
      </c>
      <c r="B1113" s="129">
        <f>'Free Spins Symbol'!$V$18</f>
        <v>100</v>
      </c>
      <c r="C1113" s="129">
        <f>'Free Spins Symbol'!$W$18</f>
        <v>56</v>
      </c>
      <c r="D1113" s="129">
        <f>'Free Spins Symbol'!$X$18</f>
        <v>40</v>
      </c>
      <c r="E1113" s="117">
        <f>VLOOKUP(MID($A1113,10,2),'Free Spins Symbol'!$T$2:$Z$29,6,0)</f>
        <v>0</v>
      </c>
      <c r="F1113" s="129">
        <f>'Free Spins Symbol'!$Z$18</f>
        <v>48</v>
      </c>
      <c r="G1113" s="100">
        <f>B1113*C1113*D1113*E1113*F1113</f>
        <v>0</v>
      </c>
      <c r="H1113" s="118" t="e">
        <f>B$2/G1113</f>
        <v>#DIV/0!</v>
      </c>
      <c r="I1113" s="100">
        <v>500</v>
      </c>
      <c r="J1113" s="119">
        <f t="shared" ref="J1113:J1117" si="219">K1113*I1113</f>
        <v>0</v>
      </c>
      <c r="K1113" s="120">
        <f>G1113/B$2</f>
        <v>0</v>
      </c>
    </row>
    <row r="1114" spans="1:11" x14ac:dyDescent="0.3">
      <c r="A1114" s="116" t="s">
        <v>245</v>
      </c>
      <c r="B1114" s="129">
        <f>'Free Spins Symbol'!$V$18</f>
        <v>100</v>
      </c>
      <c r="C1114" s="129">
        <f>'Free Spins Symbol'!$W$18</f>
        <v>56</v>
      </c>
      <c r="D1114" s="129">
        <f>'Free Spins Symbol'!$X$18</f>
        <v>40</v>
      </c>
      <c r="E1114" s="117">
        <f>VLOOKUP(MID($A1114,10,2),'Free Spins Symbol'!$T$2:$Z$29,6,0)</f>
        <v>1</v>
      </c>
      <c r="F1114" s="129">
        <f>'Free Spins Symbol'!$Z$18</f>
        <v>48</v>
      </c>
      <c r="G1114" s="100">
        <f>B1114*C1114*D1114*E1114*F1114-G1113</f>
        <v>10752000</v>
      </c>
      <c r="H1114" s="118">
        <f t="shared" ref="H1114:H1148" si="220">B$2/G1114</f>
        <v>32</v>
      </c>
      <c r="I1114" s="100">
        <v>250</v>
      </c>
      <c r="J1114" s="119">
        <f t="shared" si="219"/>
        <v>7.8125</v>
      </c>
      <c r="K1114" s="120">
        <f t="shared" ref="K1114:K1117" si="221">G1114/B$2</f>
        <v>3.125E-2</v>
      </c>
    </row>
    <row r="1115" spans="1:11" x14ac:dyDescent="0.3">
      <c r="A1115" s="116" t="s">
        <v>246</v>
      </c>
      <c r="B1115" s="129">
        <f>'Free Spins Symbol'!$V$18</f>
        <v>100</v>
      </c>
      <c r="C1115" s="129">
        <f>'Free Spins Symbol'!$W$18</f>
        <v>56</v>
      </c>
      <c r="D1115" s="129">
        <f>'Free Spins Symbol'!$X$18</f>
        <v>40</v>
      </c>
      <c r="E1115" s="117">
        <f>VLOOKUP(MID($A1115,10,2),'Free Spins Symbol'!$T$2:$Z$29,6,0)</f>
        <v>1</v>
      </c>
      <c r="F1115" s="129">
        <f>'Free Spins Symbol'!$Z$18</f>
        <v>48</v>
      </c>
      <c r="G1115" s="100">
        <f>B1115*C1115*D1115*E1115*F1115-G1113</f>
        <v>10752000</v>
      </c>
      <c r="H1115" s="118">
        <f t="shared" si="220"/>
        <v>32</v>
      </c>
      <c r="I1115" s="100">
        <v>250</v>
      </c>
      <c r="J1115" s="119">
        <f t="shared" si="219"/>
        <v>7.8125</v>
      </c>
      <c r="K1115" s="120">
        <f t="shared" si="221"/>
        <v>3.125E-2</v>
      </c>
    </row>
    <row r="1116" spans="1:11" x14ac:dyDescent="0.3">
      <c r="A1116" s="116" t="s">
        <v>247</v>
      </c>
      <c r="B1116" s="129">
        <f>'Free Spins Symbol'!$V$18</f>
        <v>100</v>
      </c>
      <c r="C1116" s="129">
        <f>'Free Spins Symbol'!$W$18</f>
        <v>56</v>
      </c>
      <c r="D1116" s="129">
        <f>'Free Spins Symbol'!$X$18</f>
        <v>40</v>
      </c>
      <c r="E1116" s="117">
        <f>VLOOKUP(MID($A1116,10,2),'Free Spins Symbol'!$T$2:$Z$29,6,0)</f>
        <v>1</v>
      </c>
      <c r="F1116" s="129">
        <f>'Free Spins Symbol'!$Z$18</f>
        <v>48</v>
      </c>
      <c r="G1116" s="100">
        <f>B1116*C1116*D1116*E1116*F1116-G1113</f>
        <v>10752000</v>
      </c>
      <c r="H1116" s="118">
        <f t="shared" si="220"/>
        <v>32</v>
      </c>
      <c r="I1116" s="100">
        <v>150</v>
      </c>
      <c r="J1116" s="119">
        <f t="shared" si="219"/>
        <v>4.6875</v>
      </c>
      <c r="K1116" s="120">
        <f t="shared" si="221"/>
        <v>3.125E-2</v>
      </c>
    </row>
    <row r="1117" spans="1:11" x14ac:dyDescent="0.3">
      <c r="A1117" s="116" t="s">
        <v>248</v>
      </c>
      <c r="B1117" s="129">
        <f>'Free Spins Symbol'!$V$18</f>
        <v>100</v>
      </c>
      <c r="C1117" s="129">
        <f>'Free Spins Symbol'!$W$18</f>
        <v>56</v>
      </c>
      <c r="D1117" s="129">
        <f>'Free Spins Symbol'!$X$18</f>
        <v>40</v>
      </c>
      <c r="E1117" s="117">
        <f>VLOOKUP(MID($A1117,10,2),'Free Spins Symbol'!$T$2:$Z$29,6,0)</f>
        <v>1</v>
      </c>
      <c r="F1117" s="129">
        <f>'Free Spins Symbol'!$Z$18</f>
        <v>48</v>
      </c>
      <c r="G1117" s="100">
        <f>B1117*C1117*D1117*E1117*F1117-G1113</f>
        <v>10752000</v>
      </c>
      <c r="H1117" s="118">
        <f t="shared" si="220"/>
        <v>32</v>
      </c>
      <c r="I1117" s="100">
        <v>150</v>
      </c>
      <c r="J1117" s="119">
        <f t="shared" si="219"/>
        <v>4.6875</v>
      </c>
      <c r="K1117" s="120">
        <f t="shared" si="221"/>
        <v>3.125E-2</v>
      </c>
    </row>
    <row r="1118" spans="1:11" x14ac:dyDescent="0.3">
      <c r="A1118" s="116" t="s">
        <v>254</v>
      </c>
      <c r="B1118" s="129">
        <f>'Free Spins Symbol'!$V$18</f>
        <v>100</v>
      </c>
      <c r="C1118" s="129">
        <f>'Free Spins Symbol'!$W$18</f>
        <v>56</v>
      </c>
      <c r="D1118" s="129">
        <f>'Free Spins Symbol'!$X$18</f>
        <v>40</v>
      </c>
      <c r="E1118" s="117">
        <f>VLOOKUP(MID($A1118,10,2),'Free Spins Symbol'!$T$2:$Z$29,6,0)</f>
        <v>0</v>
      </c>
      <c r="F1118" s="129">
        <f>'Free Spins Symbol'!$Z$18</f>
        <v>48</v>
      </c>
      <c r="G1118" s="100">
        <f>B1118*C1118*D1118*E1118*(F1118-F1117-F1116-F1115-F1114+3*F1113)</f>
        <v>0</v>
      </c>
      <c r="H1118" s="118" t="e">
        <f t="shared" si="220"/>
        <v>#DIV/0!</v>
      </c>
      <c r="I1118" s="100">
        <v>100</v>
      </c>
      <c r="J1118" s="119">
        <f>K1118*I1118</f>
        <v>0</v>
      </c>
      <c r="K1118" s="120">
        <f>G1118/B$2</f>
        <v>0</v>
      </c>
    </row>
    <row r="1119" spans="1:11" x14ac:dyDescent="0.3">
      <c r="A1119" s="116" t="s">
        <v>249</v>
      </c>
      <c r="B1119" s="129">
        <f>'Free Spins Symbol'!$V$18</f>
        <v>100</v>
      </c>
      <c r="C1119" s="129">
        <f>'Free Spins Symbol'!$W$18</f>
        <v>56</v>
      </c>
      <c r="D1119" s="129">
        <f>'Free Spins Symbol'!$X$18</f>
        <v>40</v>
      </c>
      <c r="E1119" s="117">
        <f>VLOOKUP(MID($A1119,10,2),'Free Spins Symbol'!$T$2:$Z$29,6,0)</f>
        <v>7</v>
      </c>
      <c r="F1119" s="129">
        <f>'Free Spins Symbol'!$Z$18</f>
        <v>48</v>
      </c>
      <c r="G1119" s="100">
        <f>B1119*C1119*D1119*E1119*F1119-G1113</f>
        <v>75264000</v>
      </c>
      <c r="H1119" s="118">
        <f t="shared" si="220"/>
        <v>4.5714285714285712</v>
      </c>
      <c r="I1119" s="100">
        <v>100</v>
      </c>
      <c r="J1119" s="119">
        <f t="shared" ref="J1119:J1127" si="222">K1119*I1119</f>
        <v>21.875</v>
      </c>
      <c r="K1119" s="120">
        <f t="shared" ref="K1119:K1127" si="223">G1119/B$2</f>
        <v>0.21875</v>
      </c>
    </row>
    <row r="1120" spans="1:11" x14ac:dyDescent="0.3">
      <c r="A1120" s="116" t="s">
        <v>250</v>
      </c>
      <c r="B1120" s="129">
        <f>'Free Spins Symbol'!$V$18</f>
        <v>100</v>
      </c>
      <c r="C1120" s="129">
        <f>'Free Spins Symbol'!$W$18</f>
        <v>56</v>
      </c>
      <c r="D1120" s="129">
        <f>'Free Spins Symbol'!$X$18</f>
        <v>40</v>
      </c>
      <c r="E1120" s="117">
        <f>VLOOKUP(MID($A1120,10,2),'Free Spins Symbol'!$T$2:$Z$29,6,0)</f>
        <v>1</v>
      </c>
      <c r="F1120" s="129">
        <f>'Free Spins Symbol'!$Z$18</f>
        <v>48</v>
      </c>
      <c r="G1120" s="100">
        <f>B1120*C1120*D1120*E1120*F1120-G1113</f>
        <v>10752000</v>
      </c>
      <c r="H1120" s="118">
        <f t="shared" si="220"/>
        <v>32</v>
      </c>
      <c r="I1120" s="100">
        <v>100</v>
      </c>
      <c r="J1120" s="119">
        <f t="shared" si="222"/>
        <v>3.125</v>
      </c>
      <c r="K1120" s="120">
        <f t="shared" si="223"/>
        <v>3.125E-2</v>
      </c>
    </row>
    <row r="1121" spans="1:11" x14ac:dyDescent="0.3">
      <c r="A1121" s="116" t="s">
        <v>251</v>
      </c>
      <c r="B1121" s="129">
        <f>'Free Spins Symbol'!$V$18</f>
        <v>100</v>
      </c>
      <c r="C1121" s="129">
        <f>'Free Spins Symbol'!$W$18</f>
        <v>56</v>
      </c>
      <c r="D1121" s="129">
        <f>'Free Spins Symbol'!$X$18</f>
        <v>40</v>
      </c>
      <c r="E1121" s="117">
        <f>VLOOKUP(MID($A1121,10,2),'Free Spins Symbol'!$T$2:$Z$29,6,0)</f>
        <v>1</v>
      </c>
      <c r="F1121" s="129">
        <f>'Free Spins Symbol'!$Z$18</f>
        <v>48</v>
      </c>
      <c r="G1121" s="100">
        <f>B1121*C1121*D1121*E1121*F1121-G1113</f>
        <v>10752000</v>
      </c>
      <c r="H1121" s="118">
        <f t="shared" si="220"/>
        <v>32</v>
      </c>
      <c r="I1121" s="100">
        <v>100</v>
      </c>
      <c r="J1121" s="119">
        <f t="shared" si="222"/>
        <v>3.125</v>
      </c>
      <c r="K1121" s="120">
        <f t="shared" si="223"/>
        <v>3.125E-2</v>
      </c>
    </row>
    <row r="1122" spans="1:11" x14ac:dyDescent="0.3">
      <c r="A1122" s="116" t="s">
        <v>252</v>
      </c>
      <c r="B1122" s="129">
        <f>'Free Spins Symbol'!$V$18</f>
        <v>100</v>
      </c>
      <c r="C1122" s="129">
        <f>'Free Spins Symbol'!$W$18</f>
        <v>56</v>
      </c>
      <c r="D1122" s="129">
        <f>'Free Spins Symbol'!$X$18</f>
        <v>40</v>
      </c>
      <c r="E1122" s="117">
        <f>VLOOKUP(MID($A1122,10,2),'Free Spins Symbol'!$T$2:$Z$29,6,0)</f>
        <v>8</v>
      </c>
      <c r="F1122" s="129">
        <f>'Free Spins Symbol'!$Z$18</f>
        <v>48</v>
      </c>
      <c r="G1122" s="100">
        <f>(B1122*C1122*D1122*E1122-B1118*C1118*D1118*E1118)*F1122</f>
        <v>86016000</v>
      </c>
      <c r="H1122" s="118">
        <f t="shared" si="220"/>
        <v>4</v>
      </c>
      <c r="I1122" s="100">
        <v>100</v>
      </c>
      <c r="J1122" s="119">
        <f t="shared" si="222"/>
        <v>25</v>
      </c>
      <c r="K1122" s="120">
        <f t="shared" si="223"/>
        <v>0.25</v>
      </c>
    </row>
    <row r="1123" spans="1:11" x14ac:dyDescent="0.3">
      <c r="A1123" s="116" t="s">
        <v>253</v>
      </c>
      <c r="B1123" s="129">
        <f>'Free Spins Symbol'!$V$18</f>
        <v>100</v>
      </c>
      <c r="C1123" s="129">
        <f>'Free Spins Symbol'!$W$18</f>
        <v>56</v>
      </c>
      <c r="D1123" s="129">
        <f>'Free Spins Symbol'!$X$18</f>
        <v>40</v>
      </c>
      <c r="E1123" s="117">
        <f>VLOOKUP(MID($A1123,10,2),'Free Spins Symbol'!$T$2:$Z$29,6,0)</f>
        <v>7</v>
      </c>
      <c r="F1123" s="129">
        <f>'Free Spins Symbol'!$Z$18</f>
        <v>48</v>
      </c>
      <c r="G1123" s="100">
        <f>B1123*C1123*D1123*E1123*F1123-G1113</f>
        <v>75264000</v>
      </c>
      <c r="H1123" s="118">
        <f t="shared" si="220"/>
        <v>4.5714285714285712</v>
      </c>
      <c r="I1123" s="100">
        <v>100</v>
      </c>
      <c r="J1123" s="119">
        <f t="shared" si="222"/>
        <v>21.875</v>
      </c>
      <c r="K1123" s="120">
        <f t="shared" si="223"/>
        <v>0.21875</v>
      </c>
    </row>
    <row r="1124" spans="1:11" x14ac:dyDescent="0.3">
      <c r="A1124" s="116" t="s">
        <v>255</v>
      </c>
      <c r="B1124" s="129">
        <f>'Free Spins Symbol'!$V$18</f>
        <v>100</v>
      </c>
      <c r="C1124" s="129">
        <f>'Free Spins Symbol'!$W$18</f>
        <v>56</v>
      </c>
      <c r="D1124" s="129">
        <f>'Free Spins Symbol'!$X$18</f>
        <v>40</v>
      </c>
      <c r="E1124" s="117">
        <f>VLOOKUP(MID($A1124,10,2),'Free Spins Symbol'!$T$2:$Z$29,6,0)</f>
        <v>1</v>
      </c>
      <c r="F1124" s="129">
        <f>'Free Spins Symbol'!$Z$18</f>
        <v>48</v>
      </c>
      <c r="G1124" s="100">
        <f>(B1124*C1124*D1124*E1124-B1118*C1118*D1118*E1118)*(F1124-F1114)</f>
        <v>0</v>
      </c>
      <c r="H1124" s="118" t="e">
        <f t="shared" si="220"/>
        <v>#DIV/0!</v>
      </c>
      <c r="I1124" s="100">
        <v>50</v>
      </c>
      <c r="J1124" s="119">
        <f t="shared" si="222"/>
        <v>0</v>
      </c>
      <c r="K1124" s="120">
        <f t="shared" si="223"/>
        <v>0</v>
      </c>
    </row>
    <row r="1125" spans="1:11" x14ac:dyDescent="0.3">
      <c r="A1125" s="116" t="s">
        <v>256</v>
      </c>
      <c r="B1125" s="129">
        <f>'Free Spins Symbol'!$V$18</f>
        <v>100</v>
      </c>
      <c r="C1125" s="129">
        <f>'Free Spins Symbol'!$W$18</f>
        <v>56</v>
      </c>
      <c r="D1125" s="129">
        <f>'Free Spins Symbol'!$X$18</f>
        <v>40</v>
      </c>
      <c r="E1125" s="117">
        <f>VLOOKUP(MID($A1125,10,2),'Free Spins Symbol'!$T$2:$Z$29,6,0)</f>
        <v>1</v>
      </c>
      <c r="F1125" s="129">
        <f>'Free Spins Symbol'!$Z$18</f>
        <v>48</v>
      </c>
      <c r="G1125" s="100">
        <f>(B1125*C1125*D1125*E1125-B1118*C1118*D1118*E1118)*(F1125-F1115)</f>
        <v>0</v>
      </c>
      <c r="H1125" s="118" t="e">
        <f t="shared" si="220"/>
        <v>#DIV/0!</v>
      </c>
      <c r="I1125" s="100">
        <v>50</v>
      </c>
      <c r="J1125" s="119">
        <f t="shared" si="222"/>
        <v>0</v>
      </c>
      <c r="K1125" s="120">
        <f t="shared" si="223"/>
        <v>0</v>
      </c>
    </row>
    <row r="1126" spans="1:11" x14ac:dyDescent="0.3">
      <c r="A1126" s="116" t="s">
        <v>257</v>
      </c>
      <c r="B1126" s="129">
        <f>'Free Spins Symbol'!$V$18</f>
        <v>100</v>
      </c>
      <c r="C1126" s="129">
        <f>'Free Spins Symbol'!$W$18</f>
        <v>56</v>
      </c>
      <c r="D1126" s="129">
        <f>'Free Spins Symbol'!$X$18</f>
        <v>40</v>
      </c>
      <c r="E1126" s="117">
        <f>VLOOKUP(MID($A1126,10,2),'Free Spins Symbol'!$T$2:$Z$29,6,0)</f>
        <v>1</v>
      </c>
      <c r="F1126" s="129">
        <f>'Free Spins Symbol'!$Z$18</f>
        <v>48</v>
      </c>
      <c r="G1126" s="100">
        <f>(B1126*C1126*D1126*E1126-B1118*C1118*D1118*E1118)*(F1126-F1116)</f>
        <v>0</v>
      </c>
      <c r="H1126" s="118" t="e">
        <f t="shared" si="220"/>
        <v>#DIV/0!</v>
      </c>
      <c r="I1126" s="100">
        <v>30</v>
      </c>
      <c r="J1126" s="119">
        <f t="shared" si="222"/>
        <v>0</v>
      </c>
      <c r="K1126" s="120">
        <f t="shared" si="223"/>
        <v>0</v>
      </c>
    </row>
    <row r="1127" spans="1:11" x14ac:dyDescent="0.3">
      <c r="A1127" s="116" t="s">
        <v>258</v>
      </c>
      <c r="B1127" s="129">
        <f>'Free Spins Symbol'!$V$18</f>
        <v>100</v>
      </c>
      <c r="C1127" s="129">
        <f>'Free Spins Symbol'!$W$18</f>
        <v>56</v>
      </c>
      <c r="D1127" s="129">
        <f>'Free Spins Symbol'!$X$18</f>
        <v>40</v>
      </c>
      <c r="E1127" s="117">
        <f>VLOOKUP(MID($A1127,10,2),'Free Spins Symbol'!$T$2:$Z$29,6,0)</f>
        <v>1</v>
      </c>
      <c r="F1127" s="129">
        <f>'Free Spins Symbol'!$Z$18</f>
        <v>48</v>
      </c>
      <c r="G1127" s="100">
        <f>(B1127*C1127*D1127*E1127-B1118*C1118*D1118*E1118)*(F1127-F1117)</f>
        <v>0</v>
      </c>
      <c r="H1127" s="118" t="e">
        <f t="shared" si="220"/>
        <v>#DIV/0!</v>
      </c>
      <c r="I1127" s="100">
        <v>30</v>
      </c>
      <c r="J1127" s="119">
        <f t="shared" si="222"/>
        <v>0</v>
      </c>
      <c r="K1127" s="120">
        <f t="shared" si="223"/>
        <v>0</v>
      </c>
    </row>
    <row r="1128" spans="1:11" x14ac:dyDescent="0.3">
      <c r="A1128" s="116" t="s">
        <v>264</v>
      </c>
      <c r="B1128" s="129">
        <f>'Free Spins Symbol'!$V$18</f>
        <v>100</v>
      </c>
      <c r="C1128" s="129">
        <f>'Free Spins Symbol'!$W$18</f>
        <v>56</v>
      </c>
      <c r="D1128" s="129">
        <f>'Free Spins Symbol'!$X$18</f>
        <v>40</v>
      </c>
      <c r="E1128" s="117">
        <f>VLOOKUP(MID($A1128,10,2),'Free Spins Symbol'!$T$2:$Z$29,6,0)</f>
        <v>32</v>
      </c>
      <c r="F1128" s="129">
        <f>'Free Spins Symbol'!$Z$18</f>
        <v>48</v>
      </c>
      <c r="G1128" s="100">
        <f>(B1128*C1128*D1128)*(E1128*F1128-(E1127+E1126+E1125+E1124-3*E1118)*F1118-(E1123-E1118)*F1123-(E1122-E1118)*F1122-(E1121-E1118)*F1121-(E1120-E1118)*F1120-(E1119-E1118)*F1119)</f>
        <v>43008000</v>
      </c>
      <c r="H1128" s="118">
        <f t="shared" si="220"/>
        <v>8</v>
      </c>
      <c r="I1128" s="100">
        <v>20</v>
      </c>
      <c r="J1128" s="119">
        <f>K1128*I1128</f>
        <v>2.5</v>
      </c>
      <c r="K1128" s="120">
        <f>G1128/B$2</f>
        <v>0.125</v>
      </c>
    </row>
    <row r="1129" spans="1:11" x14ac:dyDescent="0.3">
      <c r="A1129" s="116" t="s">
        <v>259</v>
      </c>
      <c r="B1129" s="129">
        <f>'Free Spins Symbol'!$V$18</f>
        <v>100</v>
      </c>
      <c r="C1129" s="129">
        <f>'Free Spins Symbol'!$W$18</f>
        <v>56</v>
      </c>
      <c r="D1129" s="129">
        <f>'Free Spins Symbol'!$X$18</f>
        <v>40</v>
      </c>
      <c r="E1129" s="117">
        <f>VLOOKUP(MID($A1129,10,2),'Free Spins Symbol'!$T$2:$Z$29,6,0)</f>
        <v>7</v>
      </c>
      <c r="F1129" s="129">
        <f>'Free Spins Symbol'!$Z$18</f>
        <v>48</v>
      </c>
      <c r="G1129" s="100">
        <f>B1129*C1129*D1129*E1129*(F1129-F1119)</f>
        <v>0</v>
      </c>
      <c r="H1129" s="118" t="e">
        <f t="shared" si="220"/>
        <v>#DIV/0!</v>
      </c>
      <c r="I1129" s="100">
        <v>20</v>
      </c>
      <c r="J1129" s="119">
        <f t="shared" ref="J1129:J1148" si="224">K1129*I1129</f>
        <v>0</v>
      </c>
      <c r="K1129" s="120">
        <f t="shared" ref="K1129:K1148" si="225">G1129/B$2</f>
        <v>0</v>
      </c>
    </row>
    <row r="1130" spans="1:11" x14ac:dyDescent="0.3">
      <c r="A1130" s="116" t="s">
        <v>260</v>
      </c>
      <c r="B1130" s="129">
        <f>'Free Spins Symbol'!$V$18</f>
        <v>100</v>
      </c>
      <c r="C1130" s="129">
        <f>'Free Spins Symbol'!$W$18</f>
        <v>56</v>
      </c>
      <c r="D1130" s="129">
        <f>'Free Spins Symbol'!$X$18</f>
        <v>40</v>
      </c>
      <c r="E1130" s="117">
        <f>VLOOKUP(MID($A1130,10,2),'Free Spins Symbol'!$T$2:$Z$29,6,0)</f>
        <v>1</v>
      </c>
      <c r="F1130" s="129">
        <f>'Free Spins Symbol'!$Z$18</f>
        <v>48</v>
      </c>
      <c r="G1130" s="100">
        <f t="shared" ref="G1130:G1133" si="226">B1130*C1130*D1130*E1130*(F1130-F1120)</f>
        <v>0</v>
      </c>
      <c r="H1130" s="118" t="e">
        <f t="shared" si="220"/>
        <v>#DIV/0!</v>
      </c>
      <c r="I1130" s="100">
        <v>20</v>
      </c>
      <c r="J1130" s="119">
        <f t="shared" si="224"/>
        <v>0</v>
      </c>
      <c r="K1130" s="120">
        <f t="shared" si="225"/>
        <v>0</v>
      </c>
    </row>
    <row r="1131" spans="1:11" x14ac:dyDescent="0.3">
      <c r="A1131" s="116" t="s">
        <v>261</v>
      </c>
      <c r="B1131" s="129">
        <f>'Free Spins Symbol'!$V$18</f>
        <v>100</v>
      </c>
      <c r="C1131" s="129">
        <f>'Free Spins Symbol'!$W$18</f>
        <v>56</v>
      </c>
      <c r="D1131" s="129">
        <f>'Free Spins Symbol'!$X$18</f>
        <v>40</v>
      </c>
      <c r="E1131" s="117">
        <f>VLOOKUP(MID($A1131,10,2),'Free Spins Symbol'!$T$2:$Z$29,6,0)</f>
        <v>1</v>
      </c>
      <c r="F1131" s="129">
        <f>'Free Spins Symbol'!$Z$18</f>
        <v>48</v>
      </c>
      <c r="G1131" s="100">
        <f t="shared" si="226"/>
        <v>0</v>
      </c>
      <c r="H1131" s="118" t="e">
        <f t="shared" si="220"/>
        <v>#DIV/0!</v>
      </c>
      <c r="I1131" s="100">
        <v>20</v>
      </c>
      <c r="J1131" s="119">
        <f t="shared" si="224"/>
        <v>0</v>
      </c>
      <c r="K1131" s="120">
        <f t="shared" si="225"/>
        <v>0</v>
      </c>
    </row>
    <row r="1132" spans="1:11" x14ac:dyDescent="0.3">
      <c r="A1132" s="116" t="s">
        <v>262</v>
      </c>
      <c r="B1132" s="129">
        <f>'Free Spins Symbol'!$V$18</f>
        <v>100</v>
      </c>
      <c r="C1132" s="129">
        <f>'Free Spins Symbol'!$W$18</f>
        <v>56</v>
      </c>
      <c r="D1132" s="129">
        <f>'Free Spins Symbol'!$X$18</f>
        <v>40</v>
      </c>
      <c r="E1132" s="117">
        <f>VLOOKUP(MID($A1132,10,2),'Free Spins Symbol'!$T$2:$Z$29,6,0)</f>
        <v>8</v>
      </c>
      <c r="F1132" s="129">
        <f>'Free Spins Symbol'!$Z$18</f>
        <v>48</v>
      </c>
      <c r="G1132" s="100">
        <f t="shared" si="226"/>
        <v>0</v>
      </c>
      <c r="H1132" s="118" t="e">
        <f t="shared" si="220"/>
        <v>#DIV/0!</v>
      </c>
      <c r="I1132" s="100">
        <v>20</v>
      </c>
      <c r="J1132" s="119">
        <f t="shared" si="224"/>
        <v>0</v>
      </c>
      <c r="K1132" s="120">
        <f t="shared" si="225"/>
        <v>0</v>
      </c>
    </row>
    <row r="1133" spans="1:11" x14ac:dyDescent="0.3">
      <c r="A1133" s="116" t="s">
        <v>263</v>
      </c>
      <c r="B1133" s="129">
        <f>'Free Spins Symbol'!$V$18</f>
        <v>100</v>
      </c>
      <c r="C1133" s="129">
        <f>'Free Spins Symbol'!$W$18</f>
        <v>56</v>
      </c>
      <c r="D1133" s="129">
        <f>'Free Spins Symbol'!$X$18</f>
        <v>40</v>
      </c>
      <c r="E1133" s="117">
        <f>VLOOKUP(MID($A1133,10,2),'Free Spins Symbol'!$T$2:$Z$29,6,0)</f>
        <v>7</v>
      </c>
      <c r="F1133" s="129">
        <f>'Free Spins Symbol'!$Z$18</f>
        <v>48</v>
      </c>
      <c r="G1133" s="100">
        <f t="shared" si="226"/>
        <v>0</v>
      </c>
      <c r="H1133" s="118" t="e">
        <f t="shared" si="220"/>
        <v>#DIV/0!</v>
      </c>
      <c r="I1133" s="100">
        <v>20</v>
      </c>
      <c r="J1133" s="119">
        <f t="shared" si="224"/>
        <v>0</v>
      </c>
      <c r="K1133" s="120">
        <f t="shared" si="225"/>
        <v>0</v>
      </c>
    </row>
    <row r="1134" spans="1:11" x14ac:dyDescent="0.3">
      <c r="A1134" s="116" t="s">
        <v>265</v>
      </c>
      <c r="B1134" s="129">
        <f>'Free Spins Symbol'!$V$18</f>
        <v>100</v>
      </c>
      <c r="C1134" s="129">
        <f>'Free Spins Symbol'!$W$18</f>
        <v>56</v>
      </c>
      <c r="D1134" s="129">
        <f>'Free Spins Symbol'!$X$18</f>
        <v>40</v>
      </c>
      <c r="E1134" s="117">
        <f>VLOOKUP(MID($A1134,10,2),'Free Spins Symbol'!$T$2:$Z$29,6,0)</f>
        <v>32</v>
      </c>
      <c r="F1134" s="129">
        <f>'Free Spins Symbol'!$Z$18</f>
        <v>48</v>
      </c>
      <c r="G1134" s="100">
        <f>(B1134*C1134*D1134-B1128*C1128*D1128)*(E1134-E1124)*F1134</f>
        <v>0</v>
      </c>
      <c r="H1134" s="118" t="e">
        <f t="shared" si="220"/>
        <v>#DIV/0!</v>
      </c>
      <c r="I1134" s="100">
        <v>20</v>
      </c>
      <c r="J1134" s="119">
        <f t="shared" si="224"/>
        <v>0</v>
      </c>
      <c r="K1134" s="120">
        <f t="shared" si="225"/>
        <v>0</v>
      </c>
    </row>
    <row r="1135" spans="1:11" x14ac:dyDescent="0.3">
      <c r="A1135" s="116" t="s">
        <v>266</v>
      </c>
      <c r="B1135" s="129">
        <f>'Free Spins Symbol'!$V$18</f>
        <v>100</v>
      </c>
      <c r="C1135" s="129">
        <f>'Free Spins Symbol'!$W$18</f>
        <v>56</v>
      </c>
      <c r="D1135" s="129">
        <f>'Free Spins Symbol'!$X$18</f>
        <v>40</v>
      </c>
      <c r="E1135" s="117">
        <f>VLOOKUP(MID($A1135,10,2),'Free Spins Symbol'!$T$2:$Z$29,6,0)</f>
        <v>32</v>
      </c>
      <c r="F1135" s="129">
        <f>'Free Spins Symbol'!$Z$18</f>
        <v>48</v>
      </c>
      <c r="G1135" s="100">
        <f>(B1135*C1135*D1135-B1128*C1128*D1128)*(E1135-E1125)*F1135</f>
        <v>0</v>
      </c>
      <c r="H1135" s="118" t="e">
        <f t="shared" si="220"/>
        <v>#DIV/0!</v>
      </c>
      <c r="I1135" s="100">
        <v>20</v>
      </c>
      <c r="J1135" s="119">
        <f t="shared" si="224"/>
        <v>0</v>
      </c>
      <c r="K1135" s="120">
        <f t="shared" si="225"/>
        <v>0</v>
      </c>
    </row>
    <row r="1136" spans="1:11" x14ac:dyDescent="0.3">
      <c r="A1136" s="116" t="s">
        <v>267</v>
      </c>
      <c r="B1136" s="129">
        <f>'Free Spins Symbol'!$V$18</f>
        <v>100</v>
      </c>
      <c r="C1136" s="129">
        <f>'Free Spins Symbol'!$W$18</f>
        <v>56</v>
      </c>
      <c r="D1136" s="129">
        <f>'Free Spins Symbol'!$X$18</f>
        <v>40</v>
      </c>
      <c r="E1136" s="117">
        <f>VLOOKUP(MID($A1136,10,2),'Free Spins Symbol'!$T$2:$Z$29,6,0)</f>
        <v>32</v>
      </c>
      <c r="F1136" s="129">
        <f>'Free Spins Symbol'!$Z$18</f>
        <v>48</v>
      </c>
      <c r="G1136" s="100">
        <f>(B1136*C1136*D1136-B1128*C1128*D1128)*(E1136-E1126)*F1136</f>
        <v>0</v>
      </c>
      <c r="H1136" s="118" t="e">
        <f t="shared" si="220"/>
        <v>#DIV/0!</v>
      </c>
      <c r="I1136" s="100">
        <v>10</v>
      </c>
      <c r="J1136" s="119">
        <f t="shared" si="224"/>
        <v>0</v>
      </c>
      <c r="K1136" s="120">
        <f t="shared" si="225"/>
        <v>0</v>
      </c>
    </row>
    <row r="1137" spans="1:11" x14ac:dyDescent="0.3">
      <c r="A1137" s="116" t="s">
        <v>268</v>
      </c>
      <c r="B1137" s="129">
        <f>'Free Spins Symbol'!$V$18</f>
        <v>100</v>
      </c>
      <c r="C1137" s="129">
        <f>'Free Spins Symbol'!$W$18</f>
        <v>56</v>
      </c>
      <c r="D1137" s="129">
        <f>'Free Spins Symbol'!$X$18</f>
        <v>40</v>
      </c>
      <c r="E1137" s="117">
        <f>VLOOKUP(MID($A1137,10,2),'Free Spins Symbol'!$T$2:$Z$29,6,0)</f>
        <v>32</v>
      </c>
      <c r="F1137" s="129">
        <f>'Free Spins Symbol'!$Z$18</f>
        <v>48</v>
      </c>
      <c r="G1137" s="100">
        <f>(B1137*C1137*D1137-B1128*C1128*D1128)*(E1137-E1127)*F1137</f>
        <v>0</v>
      </c>
      <c r="H1137" s="118" t="e">
        <f t="shared" si="220"/>
        <v>#DIV/0!</v>
      </c>
      <c r="I1137" s="100">
        <v>10</v>
      </c>
      <c r="J1137" s="119">
        <f t="shared" si="224"/>
        <v>0</v>
      </c>
      <c r="K1137" s="120">
        <f t="shared" si="225"/>
        <v>0</v>
      </c>
    </row>
    <row r="1138" spans="1:11" x14ac:dyDescent="0.3">
      <c r="A1138" s="116" t="s">
        <v>269</v>
      </c>
      <c r="B1138" s="129">
        <f>'Free Spins Symbol'!$V$18</f>
        <v>100</v>
      </c>
      <c r="C1138" s="129">
        <f>'Free Spins Symbol'!$W$18</f>
        <v>56</v>
      </c>
      <c r="D1138" s="129">
        <f>'Free Spins Symbol'!$X$18</f>
        <v>40</v>
      </c>
      <c r="E1138" s="117">
        <f>VLOOKUP(MID($A1138,10,2),'Free Spins Symbol'!$T$2:$Z$29,6,0)</f>
        <v>32</v>
      </c>
      <c r="F1138" s="129">
        <f>'Free Spins Symbol'!$Z$18</f>
        <v>48</v>
      </c>
      <c r="G1138" s="100">
        <f>(B1138*C1138*D1138-B1128*C1128*D1128)*(E1138-E1129)*F1138</f>
        <v>0</v>
      </c>
      <c r="H1138" s="118" t="e">
        <f t="shared" si="220"/>
        <v>#DIV/0!</v>
      </c>
      <c r="I1138" s="100">
        <v>5</v>
      </c>
      <c r="J1138" s="119">
        <f t="shared" si="224"/>
        <v>0</v>
      </c>
      <c r="K1138" s="120">
        <f t="shared" si="225"/>
        <v>0</v>
      </c>
    </row>
    <row r="1139" spans="1:11" x14ac:dyDescent="0.3">
      <c r="A1139" s="116" t="s">
        <v>270</v>
      </c>
      <c r="B1139" s="129">
        <f>'Free Spins Symbol'!$V$18</f>
        <v>100</v>
      </c>
      <c r="C1139" s="129">
        <f>'Free Spins Symbol'!$W$18</f>
        <v>56</v>
      </c>
      <c r="D1139" s="129">
        <f>'Free Spins Symbol'!$X$18</f>
        <v>40</v>
      </c>
      <c r="E1139" s="117">
        <f>VLOOKUP(MID($A1139,10,2),'Free Spins Symbol'!$T$2:$Z$29,6,0)</f>
        <v>32</v>
      </c>
      <c r="F1139" s="129">
        <f>'Free Spins Symbol'!$Z$18</f>
        <v>48</v>
      </c>
      <c r="G1139" s="100">
        <f>(B1139*C1139*D1139-B1128*C1128*D1128)*(E1139-E1130)*F1139</f>
        <v>0</v>
      </c>
      <c r="H1139" s="118" t="e">
        <f t="shared" si="220"/>
        <v>#DIV/0!</v>
      </c>
      <c r="I1139" s="100">
        <v>5</v>
      </c>
      <c r="J1139" s="119">
        <f t="shared" si="224"/>
        <v>0</v>
      </c>
      <c r="K1139" s="120">
        <f t="shared" si="225"/>
        <v>0</v>
      </c>
    </row>
    <row r="1140" spans="1:11" x14ac:dyDescent="0.3">
      <c r="A1140" s="116" t="s">
        <v>271</v>
      </c>
      <c r="B1140" s="129">
        <f>'Free Spins Symbol'!$V$18</f>
        <v>100</v>
      </c>
      <c r="C1140" s="129">
        <f>'Free Spins Symbol'!$W$18</f>
        <v>56</v>
      </c>
      <c r="D1140" s="129">
        <f>'Free Spins Symbol'!$X$18</f>
        <v>40</v>
      </c>
      <c r="E1140" s="117">
        <f>VLOOKUP(MID($A1140,10,2),'Free Spins Symbol'!$T$2:$Z$29,6,0)</f>
        <v>32</v>
      </c>
      <c r="F1140" s="129">
        <f>'Free Spins Symbol'!$Z$18</f>
        <v>48</v>
      </c>
      <c r="G1140" s="100">
        <f>(B1140*C1140*D1140-B1128*C1128*D1128)*(E1140-E1131)*F1140</f>
        <v>0</v>
      </c>
      <c r="H1140" s="118" t="e">
        <f t="shared" si="220"/>
        <v>#DIV/0!</v>
      </c>
      <c r="I1140" s="100">
        <v>5</v>
      </c>
      <c r="J1140" s="119">
        <f t="shared" si="224"/>
        <v>0</v>
      </c>
      <c r="K1140" s="120">
        <f t="shared" si="225"/>
        <v>0</v>
      </c>
    </row>
    <row r="1141" spans="1:11" x14ac:dyDescent="0.3">
      <c r="A1141" s="116" t="s">
        <v>272</v>
      </c>
      <c r="B1141" s="129">
        <f>'Free Spins Symbol'!$V$18</f>
        <v>100</v>
      </c>
      <c r="C1141" s="129">
        <f>'Free Spins Symbol'!$W$18</f>
        <v>56</v>
      </c>
      <c r="D1141" s="129">
        <f>'Free Spins Symbol'!$X$18</f>
        <v>40</v>
      </c>
      <c r="E1141" s="117">
        <f>VLOOKUP(MID($A1141,10,2),'Free Spins Symbol'!$T$2:$Z$29,6,0)</f>
        <v>32</v>
      </c>
      <c r="F1141" s="129">
        <f>'Free Spins Symbol'!$Z$18</f>
        <v>48</v>
      </c>
      <c r="G1141" s="100">
        <f>(B1141*C1141*D1141-B1128*C1128*D1128)*(E1141-E1132)*F1141</f>
        <v>0</v>
      </c>
      <c r="H1141" s="118" t="e">
        <f t="shared" si="220"/>
        <v>#DIV/0!</v>
      </c>
      <c r="I1141" s="100">
        <v>5</v>
      </c>
      <c r="J1141" s="119">
        <f t="shared" si="224"/>
        <v>0</v>
      </c>
      <c r="K1141" s="120">
        <f t="shared" si="225"/>
        <v>0</v>
      </c>
    </row>
    <row r="1142" spans="1:11" x14ac:dyDescent="0.3">
      <c r="A1142" s="116" t="s">
        <v>273</v>
      </c>
      <c r="B1142" s="129">
        <f>'Free Spins Symbol'!$V$18</f>
        <v>100</v>
      </c>
      <c r="C1142" s="129">
        <f>'Free Spins Symbol'!$W$18</f>
        <v>56</v>
      </c>
      <c r="D1142" s="129">
        <f>'Free Spins Symbol'!$X$18</f>
        <v>40</v>
      </c>
      <c r="E1142" s="117">
        <f>VLOOKUP(MID($A1142,10,2),'Free Spins Symbol'!$T$2:$Z$29,6,0)</f>
        <v>32</v>
      </c>
      <c r="F1142" s="129">
        <f>'Free Spins Symbol'!$Z$18</f>
        <v>48</v>
      </c>
      <c r="G1142" s="100">
        <f>(B1142*C1142*D1142-B1128*C1128*D1128)*(E1142-E1133)*F1142</f>
        <v>0</v>
      </c>
      <c r="H1142" s="118" t="e">
        <f t="shared" si="220"/>
        <v>#DIV/0!</v>
      </c>
      <c r="I1142" s="100">
        <v>5</v>
      </c>
      <c r="J1142" s="119">
        <f t="shared" si="224"/>
        <v>0</v>
      </c>
      <c r="K1142" s="120">
        <f t="shared" si="225"/>
        <v>0</v>
      </c>
    </row>
    <row r="1143" spans="1:11" x14ac:dyDescent="0.3">
      <c r="A1143" s="116" t="s">
        <v>274</v>
      </c>
      <c r="B1143" s="129">
        <f>'Free Spins Symbol'!$V$18</f>
        <v>100</v>
      </c>
      <c r="C1143" s="129">
        <f>'Free Spins Symbol'!$W$18</f>
        <v>56</v>
      </c>
      <c r="D1143" s="129">
        <f>'Free Spins Symbol'!$X$18</f>
        <v>40</v>
      </c>
      <c r="E1143" s="117">
        <f>VLOOKUP(MID($A1143,10,2),'Free Spins Symbol'!$T$2:$Z$29,6,0)</f>
        <v>32</v>
      </c>
      <c r="F1143" s="129">
        <f>'Free Spins Symbol'!$Z$18</f>
        <v>48</v>
      </c>
      <c r="G1143" s="100">
        <f>B1143*C1143*(D1143-D1128)*E1143*F1143</f>
        <v>0</v>
      </c>
      <c r="H1143" s="118" t="e">
        <f t="shared" si="220"/>
        <v>#DIV/0!</v>
      </c>
      <c r="I1143" s="100">
        <v>5</v>
      </c>
      <c r="J1143" s="119">
        <f t="shared" si="224"/>
        <v>0</v>
      </c>
      <c r="K1143" s="120">
        <f t="shared" si="225"/>
        <v>0</v>
      </c>
    </row>
    <row r="1144" spans="1:11" x14ac:dyDescent="0.3">
      <c r="A1144" s="116" t="s">
        <v>275</v>
      </c>
      <c r="B1144" s="129">
        <f>'Free Spins Symbol'!$V$18</f>
        <v>100</v>
      </c>
      <c r="C1144" s="129">
        <f>'Free Spins Symbol'!$W$18</f>
        <v>56</v>
      </c>
      <c r="D1144" s="129">
        <f>'Free Spins Symbol'!$X$18</f>
        <v>40</v>
      </c>
      <c r="E1144" s="117">
        <f>VLOOKUP(MID($A1144,10,2),'Free Spins Symbol'!$T$2:$Z$29,6,0)</f>
        <v>32</v>
      </c>
      <c r="F1144" s="129">
        <f>'Free Spins Symbol'!$Z$18</f>
        <v>48</v>
      </c>
      <c r="G1144" s="100">
        <f t="shared" ref="G1144:G1147" si="227">B1144*C1144*(D1144-D1134)*E1144*F1144</f>
        <v>0</v>
      </c>
      <c r="H1144" s="118" t="e">
        <f t="shared" si="220"/>
        <v>#DIV/0!</v>
      </c>
      <c r="I1144" s="100">
        <v>5</v>
      </c>
      <c r="J1144" s="119">
        <f t="shared" si="224"/>
        <v>0</v>
      </c>
      <c r="K1144" s="120">
        <f t="shared" si="225"/>
        <v>0</v>
      </c>
    </row>
    <row r="1145" spans="1:11" x14ac:dyDescent="0.3">
      <c r="A1145" s="116" t="s">
        <v>276</v>
      </c>
      <c r="B1145" s="129">
        <f>'Free Spins Symbol'!$V$18</f>
        <v>100</v>
      </c>
      <c r="C1145" s="129">
        <f>'Free Spins Symbol'!$W$18</f>
        <v>56</v>
      </c>
      <c r="D1145" s="129">
        <f>'Free Spins Symbol'!$X$18</f>
        <v>40</v>
      </c>
      <c r="E1145" s="117">
        <f>VLOOKUP(MID($A1145,10,2),'Free Spins Symbol'!$T$2:$Z$29,6,0)</f>
        <v>32</v>
      </c>
      <c r="F1145" s="129">
        <f>'Free Spins Symbol'!$Z$18</f>
        <v>48</v>
      </c>
      <c r="G1145" s="100">
        <f t="shared" si="227"/>
        <v>0</v>
      </c>
      <c r="H1145" s="118" t="e">
        <f t="shared" si="220"/>
        <v>#DIV/0!</v>
      </c>
      <c r="I1145" s="100">
        <v>5</v>
      </c>
      <c r="J1145" s="119">
        <f t="shared" si="224"/>
        <v>0</v>
      </c>
      <c r="K1145" s="120">
        <f t="shared" si="225"/>
        <v>0</v>
      </c>
    </row>
    <row r="1146" spans="1:11" x14ac:dyDescent="0.3">
      <c r="A1146" s="116" t="s">
        <v>277</v>
      </c>
      <c r="B1146" s="129">
        <f>'Free Spins Symbol'!$V$18</f>
        <v>100</v>
      </c>
      <c r="C1146" s="129">
        <f>'Free Spins Symbol'!$W$18</f>
        <v>56</v>
      </c>
      <c r="D1146" s="129">
        <f>'Free Spins Symbol'!$X$18</f>
        <v>40</v>
      </c>
      <c r="E1146" s="117">
        <f>VLOOKUP(MID($A1146,10,2),'Free Spins Symbol'!$T$2:$Z$29,6,0)</f>
        <v>32</v>
      </c>
      <c r="F1146" s="129">
        <f>'Free Spins Symbol'!$Z$18</f>
        <v>48</v>
      </c>
      <c r="G1146" s="100">
        <f t="shared" si="227"/>
        <v>0</v>
      </c>
      <c r="H1146" s="118" t="e">
        <f t="shared" si="220"/>
        <v>#DIV/0!</v>
      </c>
      <c r="I1146" s="100">
        <v>5</v>
      </c>
      <c r="J1146" s="119">
        <f t="shared" si="224"/>
        <v>0</v>
      </c>
      <c r="K1146" s="120">
        <f t="shared" si="225"/>
        <v>0</v>
      </c>
    </row>
    <row r="1147" spans="1:11" x14ac:dyDescent="0.3">
      <c r="A1147" s="116" t="s">
        <v>278</v>
      </c>
      <c r="B1147" s="129">
        <f>'Free Spins Symbol'!$V$18</f>
        <v>100</v>
      </c>
      <c r="C1147" s="129">
        <f>'Free Spins Symbol'!$W$18</f>
        <v>56</v>
      </c>
      <c r="D1147" s="129">
        <f>'Free Spins Symbol'!$X$18</f>
        <v>40</v>
      </c>
      <c r="E1147" s="117">
        <f>VLOOKUP(MID($A1147,10,2),'Free Spins Symbol'!$T$2:$Z$29,6,0)</f>
        <v>32</v>
      </c>
      <c r="F1147" s="129">
        <f>'Free Spins Symbol'!$Z$18</f>
        <v>48</v>
      </c>
      <c r="G1147" s="100">
        <f t="shared" si="227"/>
        <v>0</v>
      </c>
      <c r="H1147" s="118" t="e">
        <f t="shared" si="220"/>
        <v>#DIV/0!</v>
      </c>
      <c r="I1147" s="100">
        <v>5</v>
      </c>
      <c r="J1147" s="119">
        <f t="shared" si="224"/>
        <v>0</v>
      </c>
      <c r="K1147" s="120">
        <f t="shared" si="225"/>
        <v>0</v>
      </c>
    </row>
    <row r="1148" spans="1:11" x14ac:dyDescent="0.3">
      <c r="A1148" s="122" t="s">
        <v>279</v>
      </c>
      <c r="B1148" s="117">
        <f>VLOOKUP(MID($A1148,1,2),'Free Spins Symbol'!$T$2:$Z$29,3,0)</f>
        <v>100</v>
      </c>
      <c r="C1148" s="117">
        <f>VLOOKUP(MID($A1148,4,2),'Free Spins Symbol'!$T$2:$Z$29,4,0)</f>
        <v>8</v>
      </c>
      <c r="D1148" s="117">
        <f>VLOOKUP(MID($A1148,7,2),'Free Spins Symbol'!$T$2:$Z$29,5,0)</f>
        <v>4</v>
      </c>
      <c r="E1148" s="117">
        <f>VLOOKUP(MID($A1148,10,2),'Free Spins Symbol'!$T$2:$Z$29,6,0)</f>
        <v>16</v>
      </c>
      <c r="F1148" s="117">
        <f>VLOOKUP(MID($A1148,13,2),'Free Spins Symbol'!$T$2:$Z$29,7,0)</f>
        <v>48</v>
      </c>
      <c r="G1148" s="100">
        <f>B1148*C1148*D1148*E1148*F1148</f>
        <v>2457600</v>
      </c>
      <c r="H1148" s="118">
        <f t="shared" si="220"/>
        <v>140</v>
      </c>
      <c r="I1148" s="123">
        <v>2</v>
      </c>
      <c r="J1148" s="124">
        <f t="shared" si="224"/>
        <v>1.4285714285714285E-2</v>
      </c>
      <c r="K1148" s="120">
        <f t="shared" si="225"/>
        <v>7.1428571428571426E-3</v>
      </c>
    </row>
    <row r="1150" spans="1:11" ht="16.8" thickBot="1" x14ac:dyDescent="0.35"/>
    <row r="1151" spans="1:11" ht="16.8" thickBot="1" x14ac:dyDescent="0.35">
      <c r="A1151" s="125" t="s">
        <v>322</v>
      </c>
    </row>
    <row r="1152" spans="1:11" ht="16.8" thickBot="1" x14ac:dyDescent="0.35">
      <c r="A1152" s="95" t="s">
        <v>280</v>
      </c>
      <c r="B1152" s="142">
        <f>B2</f>
        <v>344064000</v>
      </c>
      <c r="C1152" s="142"/>
      <c r="D1152" s="142"/>
      <c r="E1152" s="142"/>
      <c r="F1152" s="142"/>
      <c r="G1152" s="7"/>
      <c r="H1152" s="106"/>
      <c r="I1152" s="107" t="s">
        <v>281</v>
      </c>
      <c r="J1152" s="108">
        <f>SUM(J1154:J1188)</f>
        <v>121.375</v>
      </c>
      <c r="K1152" s="126">
        <f>SUM(K1154:K1188)</f>
        <v>1</v>
      </c>
    </row>
    <row r="1153" spans="1:11" ht="33" thickBot="1" x14ac:dyDescent="0.35">
      <c r="A1153" s="109" t="s">
        <v>233</v>
      </c>
      <c r="B1153" s="110" t="s">
        <v>234</v>
      </c>
      <c r="C1153" s="110" t="s">
        <v>235</v>
      </c>
      <c r="D1153" s="110" t="s">
        <v>236</v>
      </c>
      <c r="E1153" s="110" t="s">
        <v>237</v>
      </c>
      <c r="F1153" s="110" t="s">
        <v>238</v>
      </c>
      <c r="G1153" s="111" t="s">
        <v>239</v>
      </c>
      <c r="H1153" s="112" t="s">
        <v>240</v>
      </c>
      <c r="I1153" s="113" t="s">
        <v>241</v>
      </c>
      <c r="J1153" s="114" t="s">
        <v>242</v>
      </c>
      <c r="K1153" s="115" t="s">
        <v>243</v>
      </c>
    </row>
    <row r="1154" spans="1:11" x14ac:dyDescent="0.3">
      <c r="A1154" s="116" t="s">
        <v>244</v>
      </c>
      <c r="B1154" s="129">
        <f>'Free Spins Symbol'!$V$18</f>
        <v>100</v>
      </c>
      <c r="C1154" s="129">
        <f>'Free Spins Symbol'!$W$18</f>
        <v>56</v>
      </c>
      <c r="D1154" s="117">
        <f>VLOOKUP(MID($A1154,7,2),'Free Spins Symbol'!$T$2:$Z$29,5,0)</f>
        <v>0</v>
      </c>
      <c r="E1154" s="129">
        <f>'Free Spins Symbol'!$Y$18</f>
        <v>32</v>
      </c>
      <c r="F1154" s="129">
        <f>'Free Spins Symbol'!$Z$18</f>
        <v>48</v>
      </c>
      <c r="G1154" s="100">
        <f>B1154*C1154*D1154*E1154*F1154</f>
        <v>0</v>
      </c>
      <c r="H1154" s="118" t="e">
        <f>B$2/G1154</f>
        <v>#DIV/0!</v>
      </c>
      <c r="I1154" s="100">
        <v>500</v>
      </c>
      <c r="J1154" s="119">
        <f t="shared" ref="J1154:J1158" si="228">K1154*I1154</f>
        <v>0</v>
      </c>
      <c r="K1154" s="120">
        <f>G1154/B$2</f>
        <v>0</v>
      </c>
    </row>
    <row r="1155" spans="1:11" x14ac:dyDescent="0.3">
      <c r="A1155" s="116" t="s">
        <v>245</v>
      </c>
      <c r="B1155" s="129">
        <f>'Free Spins Symbol'!$V$18</f>
        <v>100</v>
      </c>
      <c r="C1155" s="129">
        <f>'Free Spins Symbol'!$W$18</f>
        <v>56</v>
      </c>
      <c r="D1155" s="117">
        <f>VLOOKUP(MID($A1155,7,2),'Free Spins Symbol'!$T$2:$Z$29,5,0)</f>
        <v>2</v>
      </c>
      <c r="E1155" s="129">
        <f>'Free Spins Symbol'!$Y$18</f>
        <v>32</v>
      </c>
      <c r="F1155" s="129">
        <f>'Free Spins Symbol'!$Z$18</f>
        <v>48</v>
      </c>
      <c r="G1155" s="100">
        <f>B1155*C1155*D1155*E1155*F1155-G1154</f>
        <v>17203200</v>
      </c>
      <c r="H1155" s="118">
        <f t="shared" ref="H1155:H1189" si="229">B$2/G1155</f>
        <v>20</v>
      </c>
      <c r="I1155" s="100">
        <v>250</v>
      </c>
      <c r="J1155" s="119">
        <f t="shared" si="228"/>
        <v>12.5</v>
      </c>
      <c r="K1155" s="120">
        <f t="shared" ref="K1155:K1158" si="230">G1155/B$2</f>
        <v>0.05</v>
      </c>
    </row>
    <row r="1156" spans="1:11" x14ac:dyDescent="0.3">
      <c r="A1156" s="116" t="s">
        <v>246</v>
      </c>
      <c r="B1156" s="129">
        <f>'Free Spins Symbol'!$V$18</f>
        <v>100</v>
      </c>
      <c r="C1156" s="129">
        <f>'Free Spins Symbol'!$W$18</f>
        <v>56</v>
      </c>
      <c r="D1156" s="117">
        <f>VLOOKUP(MID($A1156,7,2),'Free Spins Symbol'!$T$2:$Z$29,5,0)</f>
        <v>3</v>
      </c>
      <c r="E1156" s="129">
        <f>'Free Spins Symbol'!$Y$18</f>
        <v>32</v>
      </c>
      <c r="F1156" s="129">
        <f>'Free Spins Symbol'!$Z$18</f>
        <v>48</v>
      </c>
      <c r="G1156" s="100">
        <f>B1156*C1156*D1156*E1156*F1156-G1154</f>
        <v>25804800</v>
      </c>
      <c r="H1156" s="118">
        <f t="shared" si="229"/>
        <v>13.333333333333334</v>
      </c>
      <c r="I1156" s="100">
        <v>250</v>
      </c>
      <c r="J1156" s="119">
        <f t="shared" si="228"/>
        <v>18.75</v>
      </c>
      <c r="K1156" s="120">
        <f t="shared" si="230"/>
        <v>7.4999999999999997E-2</v>
      </c>
    </row>
    <row r="1157" spans="1:11" x14ac:dyDescent="0.3">
      <c r="A1157" s="116" t="s">
        <v>247</v>
      </c>
      <c r="B1157" s="129">
        <f>'Free Spins Symbol'!$V$18</f>
        <v>100</v>
      </c>
      <c r="C1157" s="129">
        <f>'Free Spins Symbol'!$W$18</f>
        <v>56</v>
      </c>
      <c r="D1157" s="117">
        <f>VLOOKUP(MID($A1157,7,2),'Free Spins Symbol'!$T$2:$Z$29,5,0)</f>
        <v>2</v>
      </c>
      <c r="E1157" s="129">
        <f>'Free Spins Symbol'!$Y$18</f>
        <v>32</v>
      </c>
      <c r="F1157" s="129">
        <f>'Free Spins Symbol'!$Z$18</f>
        <v>48</v>
      </c>
      <c r="G1157" s="100">
        <f>B1157*C1157*D1157*E1157*F1157-G1154</f>
        <v>17203200</v>
      </c>
      <c r="H1157" s="118">
        <f t="shared" si="229"/>
        <v>20</v>
      </c>
      <c r="I1157" s="100">
        <v>150</v>
      </c>
      <c r="J1157" s="119">
        <f t="shared" si="228"/>
        <v>7.5</v>
      </c>
      <c r="K1157" s="120">
        <f t="shared" si="230"/>
        <v>0.05</v>
      </c>
    </row>
    <row r="1158" spans="1:11" x14ac:dyDescent="0.3">
      <c r="A1158" s="116" t="s">
        <v>248</v>
      </c>
      <c r="B1158" s="129">
        <f>'Free Spins Symbol'!$V$18</f>
        <v>100</v>
      </c>
      <c r="C1158" s="129">
        <f>'Free Spins Symbol'!$W$18</f>
        <v>56</v>
      </c>
      <c r="D1158" s="117">
        <f>VLOOKUP(MID($A1158,7,2),'Free Spins Symbol'!$T$2:$Z$29,5,0)</f>
        <v>2</v>
      </c>
      <c r="E1158" s="129">
        <f>'Free Spins Symbol'!$Y$18</f>
        <v>32</v>
      </c>
      <c r="F1158" s="129">
        <f>'Free Spins Symbol'!$Z$18</f>
        <v>48</v>
      </c>
      <c r="G1158" s="100">
        <f>B1158*C1158*D1158*E1158*F1158-G1154</f>
        <v>17203200</v>
      </c>
      <c r="H1158" s="118">
        <f t="shared" si="229"/>
        <v>20</v>
      </c>
      <c r="I1158" s="100">
        <v>150</v>
      </c>
      <c r="J1158" s="119">
        <f t="shared" si="228"/>
        <v>7.5</v>
      </c>
      <c r="K1158" s="120">
        <f t="shared" si="230"/>
        <v>0.05</v>
      </c>
    </row>
    <row r="1159" spans="1:11" x14ac:dyDescent="0.3">
      <c r="A1159" s="116" t="s">
        <v>254</v>
      </c>
      <c r="B1159" s="129">
        <f>'Free Spins Symbol'!$V$18</f>
        <v>100</v>
      </c>
      <c r="C1159" s="129">
        <f>'Free Spins Symbol'!$W$18</f>
        <v>56</v>
      </c>
      <c r="D1159" s="117">
        <f>VLOOKUP(MID($A1159,7,2),'Free Spins Symbol'!$T$2:$Z$29,5,0)</f>
        <v>0</v>
      </c>
      <c r="E1159" s="129">
        <f>'Free Spins Symbol'!$Y$18</f>
        <v>32</v>
      </c>
      <c r="F1159" s="129">
        <f>'Free Spins Symbol'!$Z$18</f>
        <v>48</v>
      </c>
      <c r="G1159" s="100">
        <f>B1159*C1159*D1159*E1159*(F1159-F1158-F1157-F1156-F1155+3*F1154)</f>
        <v>0</v>
      </c>
      <c r="H1159" s="118" t="e">
        <f t="shared" si="229"/>
        <v>#DIV/0!</v>
      </c>
      <c r="I1159" s="100">
        <v>100</v>
      </c>
      <c r="J1159" s="119">
        <f>K1159*I1159</f>
        <v>0</v>
      </c>
      <c r="K1159" s="120">
        <f>G1159/B$2</f>
        <v>0</v>
      </c>
    </row>
    <row r="1160" spans="1:11" x14ac:dyDescent="0.3">
      <c r="A1160" s="116" t="s">
        <v>249</v>
      </c>
      <c r="B1160" s="129">
        <f>'Free Spins Symbol'!$V$18</f>
        <v>100</v>
      </c>
      <c r="C1160" s="129">
        <f>'Free Spins Symbol'!$W$18</f>
        <v>56</v>
      </c>
      <c r="D1160" s="117">
        <f>VLOOKUP(MID($A1160,7,2),'Free Spins Symbol'!$T$2:$Z$29,5,0)</f>
        <v>1</v>
      </c>
      <c r="E1160" s="129">
        <f>'Free Spins Symbol'!$Y$18</f>
        <v>32</v>
      </c>
      <c r="F1160" s="129">
        <f>'Free Spins Symbol'!$Z$18</f>
        <v>48</v>
      </c>
      <c r="G1160" s="100">
        <f>B1160*C1160*D1160*E1160*F1160-G1154</f>
        <v>8601600</v>
      </c>
      <c r="H1160" s="118">
        <f t="shared" si="229"/>
        <v>40</v>
      </c>
      <c r="I1160" s="100">
        <v>100</v>
      </c>
      <c r="J1160" s="119">
        <f t="shared" ref="J1160:J1168" si="231">K1160*I1160</f>
        <v>2.5</v>
      </c>
      <c r="K1160" s="120">
        <f t="shared" ref="K1160:K1168" si="232">G1160/B$2</f>
        <v>2.5000000000000001E-2</v>
      </c>
    </row>
    <row r="1161" spans="1:11" x14ac:dyDescent="0.3">
      <c r="A1161" s="116" t="s">
        <v>250</v>
      </c>
      <c r="B1161" s="129">
        <f>'Free Spins Symbol'!$V$18</f>
        <v>100</v>
      </c>
      <c r="C1161" s="129">
        <f>'Free Spins Symbol'!$W$18</f>
        <v>56</v>
      </c>
      <c r="D1161" s="117">
        <f>VLOOKUP(MID($A1161,7,2),'Free Spins Symbol'!$T$2:$Z$29,5,0)</f>
        <v>9</v>
      </c>
      <c r="E1161" s="129">
        <f>'Free Spins Symbol'!$Y$18</f>
        <v>32</v>
      </c>
      <c r="F1161" s="129">
        <f>'Free Spins Symbol'!$Z$18</f>
        <v>48</v>
      </c>
      <c r="G1161" s="100">
        <f>B1161*C1161*D1161*E1161*F1161-G1154</f>
        <v>77414400</v>
      </c>
      <c r="H1161" s="118">
        <f t="shared" si="229"/>
        <v>4.4444444444444446</v>
      </c>
      <c r="I1161" s="100">
        <v>100</v>
      </c>
      <c r="J1161" s="119">
        <f t="shared" si="231"/>
        <v>22.5</v>
      </c>
      <c r="K1161" s="120">
        <f t="shared" si="232"/>
        <v>0.22500000000000001</v>
      </c>
    </row>
    <row r="1162" spans="1:11" x14ac:dyDescent="0.3">
      <c r="A1162" s="116" t="s">
        <v>251</v>
      </c>
      <c r="B1162" s="129">
        <f>'Free Spins Symbol'!$V$18</f>
        <v>100</v>
      </c>
      <c r="C1162" s="129">
        <f>'Free Spins Symbol'!$W$18</f>
        <v>56</v>
      </c>
      <c r="D1162" s="117">
        <f>VLOOKUP(MID($A1162,7,2),'Free Spins Symbol'!$T$2:$Z$29,5,0)</f>
        <v>9</v>
      </c>
      <c r="E1162" s="129">
        <f>'Free Spins Symbol'!$Y$18</f>
        <v>32</v>
      </c>
      <c r="F1162" s="129">
        <f>'Free Spins Symbol'!$Z$18</f>
        <v>48</v>
      </c>
      <c r="G1162" s="100">
        <f>B1162*C1162*D1162*E1162*F1162-G1154</f>
        <v>77414400</v>
      </c>
      <c r="H1162" s="118">
        <f t="shared" si="229"/>
        <v>4.4444444444444446</v>
      </c>
      <c r="I1162" s="100">
        <v>100</v>
      </c>
      <c r="J1162" s="119">
        <f t="shared" si="231"/>
        <v>22.5</v>
      </c>
      <c r="K1162" s="120">
        <f t="shared" si="232"/>
        <v>0.22500000000000001</v>
      </c>
    </row>
    <row r="1163" spans="1:11" x14ac:dyDescent="0.3">
      <c r="A1163" s="116" t="s">
        <v>252</v>
      </c>
      <c r="B1163" s="129">
        <f>'Free Spins Symbol'!$V$18</f>
        <v>100</v>
      </c>
      <c r="C1163" s="129">
        <f>'Free Spins Symbol'!$W$18</f>
        <v>56</v>
      </c>
      <c r="D1163" s="117">
        <f>VLOOKUP(MID($A1163,7,2),'Free Spins Symbol'!$T$2:$Z$29,5,0)</f>
        <v>1</v>
      </c>
      <c r="E1163" s="129">
        <f>'Free Spins Symbol'!$Y$18</f>
        <v>32</v>
      </c>
      <c r="F1163" s="129">
        <f>'Free Spins Symbol'!$Z$18</f>
        <v>48</v>
      </c>
      <c r="G1163" s="100">
        <f>(B1163*C1163*D1163*E1163-B1159*C1159*D1159*E1159)*F1163</f>
        <v>8601600</v>
      </c>
      <c r="H1163" s="118">
        <f t="shared" si="229"/>
        <v>40</v>
      </c>
      <c r="I1163" s="100">
        <v>100</v>
      </c>
      <c r="J1163" s="119">
        <f t="shared" si="231"/>
        <v>2.5</v>
      </c>
      <c r="K1163" s="120">
        <f t="shared" si="232"/>
        <v>2.5000000000000001E-2</v>
      </c>
    </row>
    <row r="1164" spans="1:11" x14ac:dyDescent="0.3">
      <c r="A1164" s="116" t="s">
        <v>253</v>
      </c>
      <c r="B1164" s="129">
        <f>'Free Spins Symbol'!$V$18</f>
        <v>100</v>
      </c>
      <c r="C1164" s="129">
        <f>'Free Spins Symbol'!$W$18</f>
        <v>56</v>
      </c>
      <c r="D1164" s="117">
        <f>VLOOKUP(MID($A1164,7,2),'Free Spins Symbol'!$T$2:$Z$29,5,0)</f>
        <v>10</v>
      </c>
      <c r="E1164" s="129">
        <f>'Free Spins Symbol'!$Y$18</f>
        <v>32</v>
      </c>
      <c r="F1164" s="129">
        <f>'Free Spins Symbol'!$Z$18</f>
        <v>48</v>
      </c>
      <c r="G1164" s="100">
        <f>B1164*C1164*D1164*E1164*F1164-G1154</f>
        <v>86016000</v>
      </c>
      <c r="H1164" s="118">
        <f t="shared" si="229"/>
        <v>4</v>
      </c>
      <c r="I1164" s="100">
        <v>100</v>
      </c>
      <c r="J1164" s="119">
        <f t="shared" si="231"/>
        <v>25</v>
      </c>
      <c r="K1164" s="120">
        <f t="shared" si="232"/>
        <v>0.25</v>
      </c>
    </row>
    <row r="1165" spans="1:11" x14ac:dyDescent="0.3">
      <c r="A1165" s="116" t="s">
        <v>255</v>
      </c>
      <c r="B1165" s="129">
        <f>'Free Spins Symbol'!$V$18</f>
        <v>100</v>
      </c>
      <c r="C1165" s="129">
        <f>'Free Spins Symbol'!$W$18</f>
        <v>56</v>
      </c>
      <c r="D1165" s="117">
        <f>VLOOKUP(MID($A1165,7,2),'Free Spins Symbol'!$T$2:$Z$29,5,0)</f>
        <v>2</v>
      </c>
      <c r="E1165" s="129">
        <f>'Free Spins Symbol'!$Y$18</f>
        <v>32</v>
      </c>
      <c r="F1165" s="129">
        <f>'Free Spins Symbol'!$Z$18</f>
        <v>48</v>
      </c>
      <c r="G1165" s="100">
        <f>(B1165*C1165*D1165*E1165-B1159*C1159*D1159*E1159)*(F1165-F1155)</f>
        <v>0</v>
      </c>
      <c r="H1165" s="118" t="e">
        <f t="shared" si="229"/>
        <v>#DIV/0!</v>
      </c>
      <c r="I1165" s="100">
        <v>50</v>
      </c>
      <c r="J1165" s="119">
        <f t="shared" si="231"/>
        <v>0</v>
      </c>
      <c r="K1165" s="120">
        <f t="shared" si="232"/>
        <v>0</v>
      </c>
    </row>
    <row r="1166" spans="1:11" x14ac:dyDescent="0.3">
      <c r="A1166" s="116" t="s">
        <v>256</v>
      </c>
      <c r="B1166" s="129">
        <f>'Free Spins Symbol'!$V$18</f>
        <v>100</v>
      </c>
      <c r="C1166" s="129">
        <f>'Free Spins Symbol'!$W$18</f>
        <v>56</v>
      </c>
      <c r="D1166" s="117">
        <f>VLOOKUP(MID($A1166,7,2),'Free Spins Symbol'!$T$2:$Z$29,5,0)</f>
        <v>3</v>
      </c>
      <c r="E1166" s="129">
        <f>'Free Spins Symbol'!$Y$18</f>
        <v>32</v>
      </c>
      <c r="F1166" s="129">
        <f>'Free Spins Symbol'!$Z$18</f>
        <v>48</v>
      </c>
      <c r="G1166" s="100">
        <f>(B1166*C1166*D1166*E1166-B1159*C1159*D1159*E1159)*(F1166-F1156)</f>
        <v>0</v>
      </c>
      <c r="H1166" s="118" t="e">
        <f t="shared" si="229"/>
        <v>#DIV/0!</v>
      </c>
      <c r="I1166" s="100">
        <v>50</v>
      </c>
      <c r="J1166" s="119">
        <f t="shared" si="231"/>
        <v>0</v>
      </c>
      <c r="K1166" s="120">
        <f t="shared" si="232"/>
        <v>0</v>
      </c>
    </row>
    <row r="1167" spans="1:11" x14ac:dyDescent="0.3">
      <c r="A1167" s="116" t="s">
        <v>257</v>
      </c>
      <c r="B1167" s="129">
        <f>'Free Spins Symbol'!$V$18</f>
        <v>100</v>
      </c>
      <c r="C1167" s="129">
        <f>'Free Spins Symbol'!$W$18</f>
        <v>56</v>
      </c>
      <c r="D1167" s="117">
        <f>VLOOKUP(MID($A1167,7,2),'Free Spins Symbol'!$T$2:$Z$29,5,0)</f>
        <v>2</v>
      </c>
      <c r="E1167" s="129">
        <f>'Free Spins Symbol'!$Y$18</f>
        <v>32</v>
      </c>
      <c r="F1167" s="129">
        <f>'Free Spins Symbol'!$Z$18</f>
        <v>48</v>
      </c>
      <c r="G1167" s="100">
        <f>(B1167*C1167*D1167*E1167-B1159*C1159*D1159*E1159)*(F1167-F1157)</f>
        <v>0</v>
      </c>
      <c r="H1167" s="118" t="e">
        <f t="shared" si="229"/>
        <v>#DIV/0!</v>
      </c>
      <c r="I1167" s="100">
        <v>30</v>
      </c>
      <c r="J1167" s="119">
        <f t="shared" si="231"/>
        <v>0</v>
      </c>
      <c r="K1167" s="120">
        <f t="shared" si="232"/>
        <v>0</v>
      </c>
    </row>
    <row r="1168" spans="1:11" x14ac:dyDescent="0.3">
      <c r="A1168" s="116" t="s">
        <v>258</v>
      </c>
      <c r="B1168" s="129">
        <f>'Free Spins Symbol'!$V$18</f>
        <v>100</v>
      </c>
      <c r="C1168" s="129">
        <f>'Free Spins Symbol'!$W$18</f>
        <v>56</v>
      </c>
      <c r="D1168" s="117">
        <f>VLOOKUP(MID($A1168,7,2),'Free Spins Symbol'!$T$2:$Z$29,5,0)</f>
        <v>2</v>
      </c>
      <c r="E1168" s="129">
        <f>'Free Spins Symbol'!$Y$18</f>
        <v>32</v>
      </c>
      <c r="F1168" s="129">
        <f>'Free Spins Symbol'!$Z$18</f>
        <v>48</v>
      </c>
      <c r="G1168" s="100">
        <f>(B1168*C1168*D1168*E1168-B1159*C1159*D1159*E1159)*(F1168-F1158)</f>
        <v>0</v>
      </c>
      <c r="H1168" s="118" t="e">
        <f t="shared" si="229"/>
        <v>#DIV/0!</v>
      </c>
      <c r="I1168" s="100">
        <v>30</v>
      </c>
      <c r="J1168" s="119">
        <f t="shared" si="231"/>
        <v>0</v>
      </c>
      <c r="K1168" s="120">
        <f t="shared" si="232"/>
        <v>0</v>
      </c>
    </row>
    <row r="1169" spans="1:11" x14ac:dyDescent="0.3">
      <c r="A1169" s="116" t="s">
        <v>264</v>
      </c>
      <c r="B1169" s="129">
        <f>'Free Spins Symbol'!$V$18</f>
        <v>100</v>
      </c>
      <c r="C1169" s="129">
        <f>'Free Spins Symbol'!$W$18</f>
        <v>56</v>
      </c>
      <c r="D1169" s="117">
        <f>VLOOKUP(MID($A1169,7,2),'Free Spins Symbol'!$T$2:$Z$29,5,0)</f>
        <v>0</v>
      </c>
      <c r="E1169" s="129">
        <f>'Free Spins Symbol'!$Y$18</f>
        <v>32</v>
      </c>
      <c r="F1169" s="129">
        <f>'Free Spins Symbol'!$Z$18</f>
        <v>48</v>
      </c>
      <c r="G1169" s="100">
        <f>(B1169*C1169*D1169)*(E1169*F1169-(E1168+E1167+E1166+E1165-3*E1159)*F1159-(E1164-E1159)*F1164-(E1163-E1159)*F1163-(E1162-E1159)*F1162-(E1161-E1159)*F1161-(E1160-E1159)*F1160)</f>
        <v>0</v>
      </c>
      <c r="H1169" s="118" t="e">
        <f t="shared" si="229"/>
        <v>#DIV/0!</v>
      </c>
      <c r="I1169" s="100">
        <v>20</v>
      </c>
      <c r="J1169" s="119">
        <f>K1169*I1169</f>
        <v>0</v>
      </c>
      <c r="K1169" s="120">
        <f>G1169/B$2</f>
        <v>0</v>
      </c>
    </row>
    <row r="1170" spans="1:11" x14ac:dyDescent="0.3">
      <c r="A1170" s="116" t="s">
        <v>259</v>
      </c>
      <c r="B1170" s="129">
        <f>'Free Spins Symbol'!$V$18</f>
        <v>100</v>
      </c>
      <c r="C1170" s="129">
        <f>'Free Spins Symbol'!$W$18</f>
        <v>56</v>
      </c>
      <c r="D1170" s="117">
        <f>VLOOKUP(MID($A1170,7,2),'Free Spins Symbol'!$T$2:$Z$29,5,0)</f>
        <v>1</v>
      </c>
      <c r="E1170" s="129">
        <f>'Free Spins Symbol'!$Y$18</f>
        <v>32</v>
      </c>
      <c r="F1170" s="129">
        <f>'Free Spins Symbol'!$Z$18</f>
        <v>48</v>
      </c>
      <c r="G1170" s="100">
        <f>B1170*C1170*D1170*E1170*(F1170-F1160)</f>
        <v>0</v>
      </c>
      <c r="H1170" s="118" t="e">
        <f t="shared" si="229"/>
        <v>#DIV/0!</v>
      </c>
      <c r="I1170" s="100">
        <v>20</v>
      </c>
      <c r="J1170" s="119">
        <f t="shared" ref="J1170:J1189" si="233">K1170*I1170</f>
        <v>0</v>
      </c>
      <c r="K1170" s="120">
        <f t="shared" ref="K1170:K1189" si="234">G1170/B$2</f>
        <v>0</v>
      </c>
    </row>
    <row r="1171" spans="1:11" x14ac:dyDescent="0.3">
      <c r="A1171" s="116" t="s">
        <v>260</v>
      </c>
      <c r="B1171" s="129">
        <f>'Free Spins Symbol'!$V$18</f>
        <v>100</v>
      </c>
      <c r="C1171" s="129">
        <f>'Free Spins Symbol'!$W$18</f>
        <v>56</v>
      </c>
      <c r="D1171" s="117">
        <f>VLOOKUP(MID($A1171,7,2),'Free Spins Symbol'!$T$2:$Z$29,5,0)</f>
        <v>9</v>
      </c>
      <c r="E1171" s="129">
        <f>'Free Spins Symbol'!$Y$18</f>
        <v>32</v>
      </c>
      <c r="F1171" s="129">
        <f>'Free Spins Symbol'!$Z$18</f>
        <v>48</v>
      </c>
      <c r="G1171" s="100">
        <f t="shared" ref="G1171:G1174" si="235">B1171*C1171*D1171*E1171*(F1171-F1161)</f>
        <v>0</v>
      </c>
      <c r="H1171" s="118" t="e">
        <f t="shared" si="229"/>
        <v>#DIV/0!</v>
      </c>
      <c r="I1171" s="100">
        <v>20</v>
      </c>
      <c r="J1171" s="119">
        <f t="shared" si="233"/>
        <v>0</v>
      </c>
      <c r="K1171" s="120">
        <f t="shared" si="234"/>
        <v>0</v>
      </c>
    </row>
    <row r="1172" spans="1:11" x14ac:dyDescent="0.3">
      <c r="A1172" s="116" t="s">
        <v>261</v>
      </c>
      <c r="B1172" s="129">
        <f>'Free Spins Symbol'!$V$18</f>
        <v>100</v>
      </c>
      <c r="C1172" s="129">
        <f>'Free Spins Symbol'!$W$18</f>
        <v>56</v>
      </c>
      <c r="D1172" s="117">
        <f>VLOOKUP(MID($A1172,7,2),'Free Spins Symbol'!$T$2:$Z$29,5,0)</f>
        <v>9</v>
      </c>
      <c r="E1172" s="129">
        <f>'Free Spins Symbol'!$Y$18</f>
        <v>32</v>
      </c>
      <c r="F1172" s="129">
        <f>'Free Spins Symbol'!$Z$18</f>
        <v>48</v>
      </c>
      <c r="G1172" s="100">
        <f t="shared" si="235"/>
        <v>0</v>
      </c>
      <c r="H1172" s="118" t="e">
        <f t="shared" si="229"/>
        <v>#DIV/0!</v>
      </c>
      <c r="I1172" s="100">
        <v>20</v>
      </c>
      <c r="J1172" s="119">
        <f t="shared" si="233"/>
        <v>0</v>
      </c>
      <c r="K1172" s="120">
        <f t="shared" si="234"/>
        <v>0</v>
      </c>
    </row>
    <row r="1173" spans="1:11" x14ac:dyDescent="0.3">
      <c r="A1173" s="116" t="s">
        <v>262</v>
      </c>
      <c r="B1173" s="129">
        <f>'Free Spins Symbol'!$V$18</f>
        <v>100</v>
      </c>
      <c r="C1173" s="129">
        <f>'Free Spins Symbol'!$W$18</f>
        <v>56</v>
      </c>
      <c r="D1173" s="117">
        <f>VLOOKUP(MID($A1173,7,2),'Free Spins Symbol'!$T$2:$Z$29,5,0)</f>
        <v>1</v>
      </c>
      <c r="E1173" s="129">
        <f>'Free Spins Symbol'!$Y$18</f>
        <v>32</v>
      </c>
      <c r="F1173" s="129">
        <f>'Free Spins Symbol'!$Z$18</f>
        <v>48</v>
      </c>
      <c r="G1173" s="100">
        <f t="shared" si="235"/>
        <v>0</v>
      </c>
      <c r="H1173" s="118" t="e">
        <f t="shared" si="229"/>
        <v>#DIV/0!</v>
      </c>
      <c r="I1173" s="100">
        <v>20</v>
      </c>
      <c r="J1173" s="119">
        <f t="shared" si="233"/>
        <v>0</v>
      </c>
      <c r="K1173" s="120">
        <f t="shared" si="234"/>
        <v>0</v>
      </c>
    </row>
    <row r="1174" spans="1:11" x14ac:dyDescent="0.3">
      <c r="A1174" s="116" t="s">
        <v>263</v>
      </c>
      <c r="B1174" s="129">
        <f>'Free Spins Symbol'!$V$18</f>
        <v>100</v>
      </c>
      <c r="C1174" s="129">
        <f>'Free Spins Symbol'!$W$18</f>
        <v>56</v>
      </c>
      <c r="D1174" s="117">
        <f>VLOOKUP(MID($A1174,7,2),'Free Spins Symbol'!$T$2:$Z$29,5,0)</f>
        <v>10</v>
      </c>
      <c r="E1174" s="129">
        <f>'Free Spins Symbol'!$Y$18</f>
        <v>32</v>
      </c>
      <c r="F1174" s="129">
        <f>'Free Spins Symbol'!$Z$18</f>
        <v>48</v>
      </c>
      <c r="G1174" s="100">
        <f t="shared" si="235"/>
        <v>0</v>
      </c>
      <c r="H1174" s="118" t="e">
        <f t="shared" si="229"/>
        <v>#DIV/0!</v>
      </c>
      <c r="I1174" s="100">
        <v>20</v>
      </c>
      <c r="J1174" s="119">
        <f t="shared" si="233"/>
        <v>0</v>
      </c>
      <c r="K1174" s="120">
        <f t="shared" si="234"/>
        <v>0</v>
      </c>
    </row>
    <row r="1175" spans="1:11" x14ac:dyDescent="0.3">
      <c r="A1175" s="116" t="s">
        <v>265</v>
      </c>
      <c r="B1175" s="129">
        <f>'Free Spins Symbol'!$V$18</f>
        <v>100</v>
      </c>
      <c r="C1175" s="129">
        <f>'Free Spins Symbol'!$W$18</f>
        <v>56</v>
      </c>
      <c r="D1175" s="117">
        <f>VLOOKUP(MID($A1175,7,2),'Free Spins Symbol'!$T$2:$Z$29,5,0)</f>
        <v>2</v>
      </c>
      <c r="E1175" s="129">
        <f>'Free Spins Symbol'!$Y$18</f>
        <v>32</v>
      </c>
      <c r="F1175" s="129">
        <f>'Free Spins Symbol'!$Z$18</f>
        <v>48</v>
      </c>
      <c r="G1175" s="100">
        <f>(B1175*C1175*D1175)*(E1175-E1165)*F1175</f>
        <v>0</v>
      </c>
      <c r="H1175" s="118" t="e">
        <f t="shared" si="229"/>
        <v>#DIV/0!</v>
      </c>
      <c r="I1175" s="100">
        <v>20</v>
      </c>
      <c r="J1175" s="119">
        <f t="shared" si="233"/>
        <v>0</v>
      </c>
      <c r="K1175" s="120">
        <f t="shared" si="234"/>
        <v>0</v>
      </c>
    </row>
    <row r="1176" spans="1:11" x14ac:dyDescent="0.3">
      <c r="A1176" s="116" t="s">
        <v>266</v>
      </c>
      <c r="B1176" s="129">
        <f>'Free Spins Symbol'!$V$18</f>
        <v>100</v>
      </c>
      <c r="C1176" s="129">
        <f>'Free Spins Symbol'!$W$18</f>
        <v>56</v>
      </c>
      <c r="D1176" s="117">
        <f>VLOOKUP(MID($A1176,7,2),'Free Spins Symbol'!$T$2:$Z$29,5,0)</f>
        <v>3</v>
      </c>
      <c r="E1176" s="129">
        <f>'Free Spins Symbol'!$Y$18</f>
        <v>32</v>
      </c>
      <c r="F1176" s="129">
        <f>'Free Spins Symbol'!$Z$18</f>
        <v>48</v>
      </c>
      <c r="G1176" s="100">
        <f>(B1176*C1176*D1176)*(E1176-E1166)*F1176</f>
        <v>0</v>
      </c>
      <c r="H1176" s="118" t="e">
        <f t="shared" si="229"/>
        <v>#DIV/0!</v>
      </c>
      <c r="I1176" s="100">
        <v>20</v>
      </c>
      <c r="J1176" s="119">
        <f t="shared" si="233"/>
        <v>0</v>
      </c>
      <c r="K1176" s="120">
        <f t="shared" si="234"/>
        <v>0</v>
      </c>
    </row>
    <row r="1177" spans="1:11" x14ac:dyDescent="0.3">
      <c r="A1177" s="116" t="s">
        <v>267</v>
      </c>
      <c r="B1177" s="129">
        <f>'Free Spins Symbol'!$V$18</f>
        <v>100</v>
      </c>
      <c r="C1177" s="129">
        <f>'Free Spins Symbol'!$W$18</f>
        <v>56</v>
      </c>
      <c r="D1177" s="117">
        <f>VLOOKUP(MID($A1177,7,2),'Free Spins Symbol'!$T$2:$Z$29,5,0)</f>
        <v>2</v>
      </c>
      <c r="E1177" s="129">
        <f>'Free Spins Symbol'!$Y$18</f>
        <v>32</v>
      </c>
      <c r="F1177" s="129">
        <f>'Free Spins Symbol'!$Z$18</f>
        <v>48</v>
      </c>
      <c r="G1177" s="100">
        <f>(B1177*C1177*D1177-B1169*C1169*D1169)*(E1177-E1167)*F1177</f>
        <v>0</v>
      </c>
      <c r="H1177" s="118" t="e">
        <f t="shared" si="229"/>
        <v>#DIV/0!</v>
      </c>
      <c r="I1177" s="100">
        <v>10</v>
      </c>
      <c r="J1177" s="119">
        <f t="shared" si="233"/>
        <v>0</v>
      </c>
      <c r="K1177" s="120">
        <f t="shared" si="234"/>
        <v>0</v>
      </c>
    </row>
    <row r="1178" spans="1:11" x14ac:dyDescent="0.3">
      <c r="A1178" s="116" t="s">
        <v>268</v>
      </c>
      <c r="B1178" s="129">
        <f>'Free Spins Symbol'!$V$18</f>
        <v>100</v>
      </c>
      <c r="C1178" s="129">
        <f>'Free Spins Symbol'!$W$18</f>
        <v>56</v>
      </c>
      <c r="D1178" s="117">
        <f>VLOOKUP(MID($A1178,7,2),'Free Spins Symbol'!$T$2:$Z$29,5,0)</f>
        <v>2</v>
      </c>
      <c r="E1178" s="129">
        <f>'Free Spins Symbol'!$Y$18</f>
        <v>32</v>
      </c>
      <c r="F1178" s="129">
        <f>'Free Spins Symbol'!$Z$18</f>
        <v>48</v>
      </c>
      <c r="G1178" s="100">
        <f>(B1178*C1178*D1178-B1169*C1169*D1169)*(E1178-E1168)*F1178</f>
        <v>0</v>
      </c>
      <c r="H1178" s="118" t="e">
        <f t="shared" si="229"/>
        <v>#DIV/0!</v>
      </c>
      <c r="I1178" s="100">
        <v>10</v>
      </c>
      <c r="J1178" s="119">
        <f t="shared" si="233"/>
        <v>0</v>
      </c>
      <c r="K1178" s="120">
        <f t="shared" si="234"/>
        <v>0</v>
      </c>
    </row>
    <row r="1179" spans="1:11" x14ac:dyDescent="0.3">
      <c r="A1179" s="116" t="s">
        <v>269</v>
      </c>
      <c r="B1179" s="129">
        <f>'Free Spins Symbol'!$V$18</f>
        <v>100</v>
      </c>
      <c r="C1179" s="129">
        <f>'Free Spins Symbol'!$W$18</f>
        <v>56</v>
      </c>
      <c r="D1179" s="117">
        <f>VLOOKUP(MID($A1179,7,2),'Free Spins Symbol'!$T$2:$Z$29,5,0)</f>
        <v>1</v>
      </c>
      <c r="E1179" s="129">
        <f>'Free Spins Symbol'!$Y$18</f>
        <v>32</v>
      </c>
      <c r="F1179" s="129">
        <f>'Free Spins Symbol'!$Z$18</f>
        <v>48</v>
      </c>
      <c r="G1179" s="100">
        <f>(B1179*C1179*D1179-B1169*C1169*D1169)*(E1179-E1170)*F1179</f>
        <v>0</v>
      </c>
      <c r="H1179" s="118" t="e">
        <f t="shared" si="229"/>
        <v>#DIV/0!</v>
      </c>
      <c r="I1179" s="100">
        <v>5</v>
      </c>
      <c r="J1179" s="119">
        <f t="shared" si="233"/>
        <v>0</v>
      </c>
      <c r="K1179" s="120">
        <f t="shared" si="234"/>
        <v>0</v>
      </c>
    </row>
    <row r="1180" spans="1:11" x14ac:dyDescent="0.3">
      <c r="A1180" s="116" t="s">
        <v>270</v>
      </c>
      <c r="B1180" s="129">
        <f>'Free Spins Symbol'!$V$18</f>
        <v>100</v>
      </c>
      <c r="C1180" s="129">
        <f>'Free Spins Symbol'!$W$18</f>
        <v>56</v>
      </c>
      <c r="D1180" s="117">
        <f>VLOOKUP(MID($A1180,7,2),'Free Spins Symbol'!$T$2:$Z$29,5,0)</f>
        <v>9</v>
      </c>
      <c r="E1180" s="129">
        <f>'Free Spins Symbol'!$Y$18</f>
        <v>32</v>
      </c>
      <c r="F1180" s="129">
        <f>'Free Spins Symbol'!$Z$18</f>
        <v>48</v>
      </c>
      <c r="G1180" s="100">
        <f>(B1180*C1180*D1180-B1169*C1169*D1169)*(E1180-E1171)*F1180</f>
        <v>0</v>
      </c>
      <c r="H1180" s="118" t="e">
        <f t="shared" si="229"/>
        <v>#DIV/0!</v>
      </c>
      <c r="I1180" s="100">
        <v>5</v>
      </c>
      <c r="J1180" s="119">
        <f t="shared" si="233"/>
        <v>0</v>
      </c>
      <c r="K1180" s="120">
        <f t="shared" si="234"/>
        <v>0</v>
      </c>
    </row>
    <row r="1181" spans="1:11" x14ac:dyDescent="0.3">
      <c r="A1181" s="116" t="s">
        <v>271</v>
      </c>
      <c r="B1181" s="129">
        <f>'Free Spins Symbol'!$V$18</f>
        <v>100</v>
      </c>
      <c r="C1181" s="129">
        <f>'Free Spins Symbol'!$W$18</f>
        <v>56</v>
      </c>
      <c r="D1181" s="117">
        <f>VLOOKUP(MID($A1181,7,2),'Free Spins Symbol'!$T$2:$Z$29,5,0)</f>
        <v>9</v>
      </c>
      <c r="E1181" s="129">
        <f>'Free Spins Symbol'!$Y$18</f>
        <v>32</v>
      </c>
      <c r="F1181" s="129">
        <f>'Free Spins Symbol'!$Z$18</f>
        <v>48</v>
      </c>
      <c r="G1181" s="100">
        <f>(B1181*C1181*D1181-B1169*C1169*D1169)*(E1181-E1172)*F1181</f>
        <v>0</v>
      </c>
      <c r="H1181" s="118" t="e">
        <f t="shared" si="229"/>
        <v>#DIV/0!</v>
      </c>
      <c r="I1181" s="100">
        <v>5</v>
      </c>
      <c r="J1181" s="119">
        <f t="shared" si="233"/>
        <v>0</v>
      </c>
      <c r="K1181" s="120">
        <f t="shared" si="234"/>
        <v>0</v>
      </c>
    </row>
    <row r="1182" spans="1:11" x14ac:dyDescent="0.3">
      <c r="A1182" s="116" t="s">
        <v>272</v>
      </c>
      <c r="B1182" s="129">
        <f>'Free Spins Symbol'!$V$18</f>
        <v>100</v>
      </c>
      <c r="C1182" s="129">
        <f>'Free Spins Symbol'!$W$18</f>
        <v>56</v>
      </c>
      <c r="D1182" s="117">
        <f>VLOOKUP(MID($A1182,7,2),'Free Spins Symbol'!$T$2:$Z$29,5,0)</f>
        <v>1</v>
      </c>
      <c r="E1182" s="129">
        <f>'Free Spins Symbol'!$Y$18</f>
        <v>32</v>
      </c>
      <c r="F1182" s="129">
        <f>'Free Spins Symbol'!$Z$18</f>
        <v>48</v>
      </c>
      <c r="G1182" s="100">
        <f>(B1182*C1182*D1182-B1169*C1169*D1169)*(E1182-E1173)*F1182</f>
        <v>0</v>
      </c>
      <c r="H1182" s="118" t="e">
        <f t="shared" si="229"/>
        <v>#DIV/0!</v>
      </c>
      <c r="I1182" s="100">
        <v>5</v>
      </c>
      <c r="J1182" s="119">
        <f t="shared" si="233"/>
        <v>0</v>
      </c>
      <c r="K1182" s="120">
        <f t="shared" si="234"/>
        <v>0</v>
      </c>
    </row>
    <row r="1183" spans="1:11" x14ac:dyDescent="0.3">
      <c r="A1183" s="116" t="s">
        <v>273</v>
      </c>
      <c r="B1183" s="129">
        <f>'Free Spins Symbol'!$V$18</f>
        <v>100</v>
      </c>
      <c r="C1183" s="129">
        <f>'Free Spins Symbol'!$W$18</f>
        <v>56</v>
      </c>
      <c r="D1183" s="117">
        <f>VLOOKUP(MID($A1183,7,2),'Free Spins Symbol'!$T$2:$Z$29,5,0)</f>
        <v>10</v>
      </c>
      <c r="E1183" s="129">
        <f>'Free Spins Symbol'!$Y$18</f>
        <v>32</v>
      </c>
      <c r="F1183" s="129">
        <f>'Free Spins Symbol'!$Z$18</f>
        <v>48</v>
      </c>
      <c r="G1183" s="100">
        <f>(B1183*C1183*D1183-B1169*C1169*D1169)*(E1183-E1174)*F1183</f>
        <v>0</v>
      </c>
      <c r="H1183" s="118" t="e">
        <f t="shared" si="229"/>
        <v>#DIV/0!</v>
      </c>
      <c r="I1183" s="100">
        <v>5</v>
      </c>
      <c r="J1183" s="119">
        <f t="shared" si="233"/>
        <v>0</v>
      </c>
      <c r="K1183" s="120">
        <f t="shared" si="234"/>
        <v>0</v>
      </c>
    </row>
    <row r="1184" spans="1:11" x14ac:dyDescent="0.3">
      <c r="A1184" s="116" t="s">
        <v>274</v>
      </c>
      <c r="B1184" s="129">
        <f>'Free Spins Symbol'!$V$18</f>
        <v>100</v>
      </c>
      <c r="C1184" s="129">
        <f>'Free Spins Symbol'!$W$18</f>
        <v>56</v>
      </c>
      <c r="D1184" s="117">
        <f>VLOOKUP(MID($A1184,7,2),'Free Spins Symbol'!$T$2:$Z$29,5,0)</f>
        <v>40</v>
      </c>
      <c r="E1184" s="129">
        <f>'Free Spins Symbol'!$Y$18</f>
        <v>32</v>
      </c>
      <c r="F1184" s="129">
        <f>'Free Spins Symbol'!$Z$18</f>
        <v>48</v>
      </c>
      <c r="G1184" s="100">
        <f>B1184*C1184*(D1184-D1183-D1182-D1181-D1180-D1179-D1178-D1177-D1176-D1175+8*D1169)*E1184*F1184</f>
        <v>8601600</v>
      </c>
      <c r="H1184" s="118">
        <f t="shared" si="229"/>
        <v>40</v>
      </c>
      <c r="I1184" s="100">
        <v>5</v>
      </c>
      <c r="J1184" s="119">
        <f t="shared" si="233"/>
        <v>0.125</v>
      </c>
      <c r="K1184" s="120">
        <f t="shared" si="234"/>
        <v>2.5000000000000001E-2</v>
      </c>
    </row>
    <row r="1185" spans="1:11" x14ac:dyDescent="0.3">
      <c r="A1185" s="116" t="s">
        <v>275</v>
      </c>
      <c r="B1185" s="129">
        <f>'Free Spins Symbol'!$V$18</f>
        <v>100</v>
      </c>
      <c r="C1185" s="129">
        <f>'Free Spins Symbol'!$W$18</f>
        <v>56</v>
      </c>
      <c r="D1185" s="117">
        <f>VLOOKUP(MID($A1185,7,2),'Free Spins Symbol'!$T$2:$Z$29,5,0)</f>
        <v>40</v>
      </c>
      <c r="E1185" s="129">
        <f>'Free Spins Symbol'!$Y$18</f>
        <v>32</v>
      </c>
      <c r="F1185" s="129">
        <f>'Free Spins Symbol'!$Z$18</f>
        <v>48</v>
      </c>
      <c r="G1185" s="100">
        <f>(B1185*C1185-B1184*C1184)*(D1185-D1175)*E1185*F1185</f>
        <v>0</v>
      </c>
      <c r="H1185" s="118" t="e">
        <f t="shared" si="229"/>
        <v>#DIV/0!</v>
      </c>
      <c r="I1185" s="100">
        <v>5</v>
      </c>
      <c r="J1185" s="119">
        <f t="shared" si="233"/>
        <v>0</v>
      </c>
      <c r="K1185" s="120">
        <f t="shared" si="234"/>
        <v>0</v>
      </c>
    </row>
    <row r="1186" spans="1:11" x14ac:dyDescent="0.3">
      <c r="A1186" s="116" t="s">
        <v>276</v>
      </c>
      <c r="B1186" s="129">
        <f>'Free Spins Symbol'!$V$18</f>
        <v>100</v>
      </c>
      <c r="C1186" s="129">
        <f>'Free Spins Symbol'!$W$18</f>
        <v>56</v>
      </c>
      <c r="D1186" s="117">
        <f>VLOOKUP(MID($A1186,7,2),'Free Spins Symbol'!$T$2:$Z$29,5,0)</f>
        <v>40</v>
      </c>
      <c r="E1186" s="129">
        <f>'Free Spins Symbol'!$Y$18</f>
        <v>32</v>
      </c>
      <c r="F1186" s="129">
        <f>'Free Spins Symbol'!$Z$18</f>
        <v>48</v>
      </c>
      <c r="G1186" s="100">
        <f>(B1186*C1186-B1184*C1184)*(D1186-D1176)*E1186*F1186</f>
        <v>0</v>
      </c>
      <c r="H1186" s="118" t="e">
        <f t="shared" si="229"/>
        <v>#DIV/0!</v>
      </c>
      <c r="I1186" s="100">
        <v>5</v>
      </c>
      <c r="J1186" s="119">
        <f t="shared" si="233"/>
        <v>0</v>
      </c>
      <c r="K1186" s="120">
        <f t="shared" si="234"/>
        <v>0</v>
      </c>
    </row>
    <row r="1187" spans="1:11" x14ac:dyDescent="0.3">
      <c r="A1187" s="116" t="s">
        <v>277</v>
      </c>
      <c r="B1187" s="129">
        <f>'Free Spins Symbol'!$V$18</f>
        <v>100</v>
      </c>
      <c r="C1187" s="129">
        <f>'Free Spins Symbol'!$W$18</f>
        <v>56</v>
      </c>
      <c r="D1187" s="117">
        <f>VLOOKUP(MID($A1187,7,2),'Free Spins Symbol'!$T$2:$Z$29,5,0)</f>
        <v>40</v>
      </c>
      <c r="E1187" s="129">
        <f>'Free Spins Symbol'!$Y$18</f>
        <v>32</v>
      </c>
      <c r="F1187" s="129">
        <f>'Free Spins Symbol'!$Z$18</f>
        <v>48</v>
      </c>
      <c r="G1187" s="100">
        <f>(B1187*C1187-B1184*C1184)*(D1187-D1177)*E1187*F1187</f>
        <v>0</v>
      </c>
      <c r="H1187" s="118" t="e">
        <f t="shared" si="229"/>
        <v>#DIV/0!</v>
      </c>
      <c r="I1187" s="100">
        <v>5</v>
      </c>
      <c r="J1187" s="119">
        <f t="shared" si="233"/>
        <v>0</v>
      </c>
      <c r="K1187" s="120">
        <f t="shared" si="234"/>
        <v>0</v>
      </c>
    </row>
    <row r="1188" spans="1:11" x14ac:dyDescent="0.3">
      <c r="A1188" s="116" t="s">
        <v>278</v>
      </c>
      <c r="B1188" s="129">
        <f>'Free Spins Symbol'!$V$18</f>
        <v>100</v>
      </c>
      <c r="C1188" s="129">
        <f>'Free Spins Symbol'!$W$18</f>
        <v>56</v>
      </c>
      <c r="D1188" s="117">
        <f>VLOOKUP(MID($A1188,7,2),'Free Spins Symbol'!$T$2:$Z$29,5,0)</f>
        <v>40</v>
      </c>
      <c r="E1188" s="129">
        <f>'Free Spins Symbol'!$Y$18</f>
        <v>32</v>
      </c>
      <c r="F1188" s="129">
        <f>'Free Spins Symbol'!$Z$18</f>
        <v>48</v>
      </c>
      <c r="G1188" s="100">
        <f>(B1188*C1188-B1184*C1184)*(D1188-D1178)*E1188*F1188</f>
        <v>0</v>
      </c>
      <c r="H1188" s="118" t="e">
        <f t="shared" si="229"/>
        <v>#DIV/0!</v>
      </c>
      <c r="I1188" s="100">
        <v>5</v>
      </c>
      <c r="J1188" s="119">
        <f t="shared" si="233"/>
        <v>0</v>
      </c>
      <c r="K1188" s="120">
        <f t="shared" si="234"/>
        <v>0</v>
      </c>
    </row>
    <row r="1189" spans="1:11" x14ac:dyDescent="0.3">
      <c r="A1189" s="122" t="s">
        <v>279</v>
      </c>
      <c r="B1189" s="117">
        <f>VLOOKUP(MID($A1189,1,2),'Free Spins Symbol'!$T$2:$Z$29,3,0)</f>
        <v>100</v>
      </c>
      <c r="C1189" s="117">
        <f>VLOOKUP(MID($A1189,4,2),'Free Spins Symbol'!$T$2:$Z$29,4,0)</f>
        <v>8</v>
      </c>
      <c r="D1189" s="117">
        <f>VLOOKUP(MID($A1189,7,2),'Free Spins Symbol'!$T$2:$Z$29,5,0)</f>
        <v>4</v>
      </c>
      <c r="E1189" s="117">
        <f>VLOOKUP(MID($A1189,10,2),'Free Spins Symbol'!$T$2:$Z$29,6,0)</f>
        <v>16</v>
      </c>
      <c r="F1189" s="117">
        <f>VLOOKUP(MID($A1189,13,2),'Free Spins Symbol'!$T$2:$Z$29,7,0)</f>
        <v>48</v>
      </c>
      <c r="G1189" s="100">
        <f>B1189*C1189*D1189*E1189*F1189</f>
        <v>2457600</v>
      </c>
      <c r="H1189" s="118">
        <f t="shared" si="229"/>
        <v>140</v>
      </c>
      <c r="I1189" s="123">
        <v>2</v>
      </c>
      <c r="J1189" s="124">
        <f t="shared" si="233"/>
        <v>1.4285714285714285E-2</v>
      </c>
      <c r="K1189" s="120">
        <f t="shared" si="234"/>
        <v>7.1428571428571426E-3</v>
      </c>
    </row>
    <row r="1191" spans="1:11" ht="16.8" thickBot="1" x14ac:dyDescent="0.35"/>
    <row r="1192" spans="1:11" ht="16.8" thickBot="1" x14ac:dyDescent="0.35">
      <c r="A1192" s="125" t="s">
        <v>323</v>
      </c>
    </row>
    <row r="1193" spans="1:11" ht="16.8" thickBot="1" x14ac:dyDescent="0.35">
      <c r="A1193" s="95" t="s">
        <v>280</v>
      </c>
      <c r="B1193" s="142">
        <f xml:space="preserve"> B2</f>
        <v>344064000</v>
      </c>
      <c r="C1193" s="142"/>
      <c r="D1193" s="142"/>
      <c r="E1193" s="142"/>
      <c r="F1193" s="142"/>
      <c r="G1193" s="7"/>
      <c r="H1193" s="106"/>
      <c r="I1193" s="107" t="s">
        <v>281</v>
      </c>
      <c r="J1193" s="108">
        <f>SUM(J1195:J1229)</f>
        <v>114.28571428571429</v>
      </c>
      <c r="K1193" s="126">
        <f>SUM(K1195:K1230)</f>
        <v>0.97142857142857142</v>
      </c>
    </row>
    <row r="1194" spans="1:11" ht="33" thickBot="1" x14ac:dyDescent="0.35">
      <c r="A1194" s="109" t="s">
        <v>233</v>
      </c>
      <c r="B1194" s="110" t="s">
        <v>234</v>
      </c>
      <c r="C1194" s="110" t="s">
        <v>235</v>
      </c>
      <c r="D1194" s="110" t="s">
        <v>236</v>
      </c>
      <c r="E1194" s="110" t="s">
        <v>237</v>
      </c>
      <c r="F1194" s="110" t="s">
        <v>238</v>
      </c>
      <c r="G1194" s="111" t="s">
        <v>239</v>
      </c>
      <c r="H1194" s="112" t="s">
        <v>240</v>
      </c>
      <c r="I1194" s="113" t="s">
        <v>241</v>
      </c>
      <c r="J1194" s="114" t="s">
        <v>242</v>
      </c>
      <c r="K1194" s="115" t="s">
        <v>243</v>
      </c>
    </row>
    <row r="1195" spans="1:11" x14ac:dyDescent="0.3">
      <c r="A1195" s="116" t="s">
        <v>244</v>
      </c>
      <c r="B1195" s="129">
        <f>'Free Spins Symbol'!$V$18</f>
        <v>100</v>
      </c>
      <c r="C1195" s="117">
        <f>VLOOKUP(MID($A1195,4,2),'Free Spins Symbol'!$T$2:$Z$29,4,0)</f>
        <v>0</v>
      </c>
      <c r="D1195" s="129">
        <f>'Free Spins Symbol'!$X$18</f>
        <v>40</v>
      </c>
      <c r="E1195" s="129">
        <f>'Free Spins Symbol'!$Y$18</f>
        <v>32</v>
      </c>
      <c r="F1195" s="129">
        <f>'Free Spins Symbol'!$Z$18</f>
        <v>48</v>
      </c>
      <c r="G1195" s="100">
        <f>B1195*C1195*D1195*E1195*F1195</f>
        <v>0</v>
      </c>
      <c r="H1195" s="118" t="e">
        <f>B$2/G1195</f>
        <v>#DIV/0!</v>
      </c>
      <c r="I1195" s="100">
        <v>500</v>
      </c>
      <c r="J1195" s="119">
        <f t="shared" ref="J1195:J1199" si="236">K1195*I1195</f>
        <v>0</v>
      </c>
      <c r="K1195" s="120">
        <f>G1195/B$2</f>
        <v>0</v>
      </c>
    </row>
    <row r="1196" spans="1:11" x14ac:dyDescent="0.3">
      <c r="A1196" s="116" t="s">
        <v>245</v>
      </c>
      <c r="B1196" s="129">
        <f>'Free Spins Symbol'!$V$18</f>
        <v>100</v>
      </c>
      <c r="C1196" s="117">
        <f>VLOOKUP(MID($A1196,4,2),'Free Spins Symbol'!$T$2:$Z$29,4,0)</f>
        <v>2</v>
      </c>
      <c r="D1196" s="129">
        <f>'Free Spins Symbol'!$X$18</f>
        <v>40</v>
      </c>
      <c r="E1196" s="129">
        <f>'Free Spins Symbol'!$Y$18</f>
        <v>32</v>
      </c>
      <c r="F1196" s="129">
        <f>'Free Spins Symbol'!$Z$18</f>
        <v>48</v>
      </c>
      <c r="G1196" s="100">
        <f>B1196*C1196*D1196*E1196*F1196-G1195</f>
        <v>12288000</v>
      </c>
      <c r="H1196" s="118">
        <f t="shared" ref="H1196:H1230" si="237">B$2/G1196</f>
        <v>28</v>
      </c>
      <c r="I1196" s="100">
        <v>250</v>
      </c>
      <c r="J1196" s="119">
        <f t="shared" si="236"/>
        <v>8.9285714285714288</v>
      </c>
      <c r="K1196" s="120">
        <f t="shared" ref="K1196:K1199" si="238">G1196/B$2</f>
        <v>3.5714285714285712E-2</v>
      </c>
    </row>
    <row r="1197" spans="1:11" x14ac:dyDescent="0.3">
      <c r="A1197" s="116" t="s">
        <v>246</v>
      </c>
      <c r="B1197" s="129">
        <f>'Free Spins Symbol'!$V$18</f>
        <v>100</v>
      </c>
      <c r="C1197" s="117">
        <f>VLOOKUP(MID($A1197,4,2),'Free Spins Symbol'!$T$2:$Z$29,4,0)</f>
        <v>2</v>
      </c>
      <c r="D1197" s="129">
        <f>'Free Spins Symbol'!$X$18</f>
        <v>40</v>
      </c>
      <c r="E1197" s="129">
        <f>'Free Spins Symbol'!$Y$18</f>
        <v>32</v>
      </c>
      <c r="F1197" s="129">
        <f>'Free Spins Symbol'!$Z$18</f>
        <v>48</v>
      </c>
      <c r="G1197" s="100">
        <f>B1197*C1197*D1197*E1197*F1197-G1195</f>
        <v>12288000</v>
      </c>
      <c r="H1197" s="118">
        <f t="shared" si="237"/>
        <v>28</v>
      </c>
      <c r="I1197" s="100">
        <v>250</v>
      </c>
      <c r="J1197" s="119">
        <f t="shared" si="236"/>
        <v>8.9285714285714288</v>
      </c>
      <c r="K1197" s="120">
        <f t="shared" si="238"/>
        <v>3.5714285714285712E-2</v>
      </c>
    </row>
    <row r="1198" spans="1:11" x14ac:dyDescent="0.3">
      <c r="A1198" s="116" t="s">
        <v>247</v>
      </c>
      <c r="B1198" s="129">
        <f>'Free Spins Symbol'!$V$18</f>
        <v>100</v>
      </c>
      <c r="C1198" s="117">
        <f>VLOOKUP(MID($A1198,4,2),'Free Spins Symbol'!$T$2:$Z$29,4,0)</f>
        <v>4</v>
      </c>
      <c r="D1198" s="129">
        <f>'Free Spins Symbol'!$X$18</f>
        <v>40</v>
      </c>
      <c r="E1198" s="129">
        <f>'Free Spins Symbol'!$Y$18</f>
        <v>32</v>
      </c>
      <c r="F1198" s="129">
        <f>'Free Spins Symbol'!$Z$18</f>
        <v>48</v>
      </c>
      <c r="G1198" s="100">
        <f>B1198*C1198*D1198*E1198*F1198-G1195</f>
        <v>24576000</v>
      </c>
      <c r="H1198" s="118">
        <f t="shared" si="237"/>
        <v>14</v>
      </c>
      <c r="I1198" s="100">
        <v>150</v>
      </c>
      <c r="J1198" s="119">
        <f t="shared" si="236"/>
        <v>10.714285714285714</v>
      </c>
      <c r="K1198" s="120">
        <f t="shared" si="238"/>
        <v>7.1428571428571425E-2</v>
      </c>
    </row>
    <row r="1199" spans="1:11" x14ac:dyDescent="0.3">
      <c r="A1199" s="116" t="s">
        <v>248</v>
      </c>
      <c r="B1199" s="129">
        <f>'Free Spins Symbol'!$V$18</f>
        <v>100</v>
      </c>
      <c r="C1199" s="117">
        <f>VLOOKUP(MID($A1199,4,2),'Free Spins Symbol'!$T$2:$Z$29,4,0)</f>
        <v>4</v>
      </c>
      <c r="D1199" s="129">
        <f>'Free Spins Symbol'!$X$18</f>
        <v>40</v>
      </c>
      <c r="E1199" s="129">
        <f>'Free Spins Symbol'!$Y$18</f>
        <v>32</v>
      </c>
      <c r="F1199" s="129">
        <f>'Free Spins Symbol'!$Z$18</f>
        <v>48</v>
      </c>
      <c r="G1199" s="100">
        <f>B1199*C1199*D1199*E1199*F1199-G1195</f>
        <v>24576000</v>
      </c>
      <c r="H1199" s="118">
        <f t="shared" si="237"/>
        <v>14</v>
      </c>
      <c r="I1199" s="100">
        <v>150</v>
      </c>
      <c r="J1199" s="119">
        <f t="shared" si="236"/>
        <v>10.714285714285714</v>
      </c>
      <c r="K1199" s="120">
        <f t="shared" si="238"/>
        <v>7.1428571428571425E-2</v>
      </c>
    </row>
    <row r="1200" spans="1:11" x14ac:dyDescent="0.3">
      <c r="A1200" s="116" t="s">
        <v>254</v>
      </c>
      <c r="B1200" s="129">
        <f>'Free Spins Symbol'!$V$18</f>
        <v>100</v>
      </c>
      <c r="C1200" s="117">
        <f>VLOOKUP(MID($A1200,4,2),'Free Spins Symbol'!$T$2:$Z$29,4,0)</f>
        <v>0</v>
      </c>
      <c r="D1200" s="129">
        <f>'Free Spins Symbol'!$X$18</f>
        <v>40</v>
      </c>
      <c r="E1200" s="129">
        <f>'Free Spins Symbol'!$Y$18</f>
        <v>32</v>
      </c>
      <c r="F1200" s="129">
        <f>'Free Spins Symbol'!$Z$18</f>
        <v>48</v>
      </c>
      <c r="G1200" s="100">
        <f>B1200*C1200*D1200*E1200*(F1200-F1199-F1198-F1197-F1196+3*F1195)</f>
        <v>0</v>
      </c>
      <c r="H1200" s="118" t="e">
        <f t="shared" si="237"/>
        <v>#DIV/0!</v>
      </c>
      <c r="I1200" s="100">
        <v>100</v>
      </c>
      <c r="J1200" s="119">
        <f>K1200*I1200</f>
        <v>0</v>
      </c>
      <c r="K1200" s="120">
        <f>G1200/B$2</f>
        <v>0</v>
      </c>
    </row>
    <row r="1201" spans="1:11" x14ac:dyDescent="0.3">
      <c r="A1201" s="116" t="s">
        <v>249</v>
      </c>
      <c r="B1201" s="129">
        <f>'Free Spins Symbol'!$V$18</f>
        <v>100</v>
      </c>
      <c r="C1201" s="117">
        <f>VLOOKUP(MID($A1201,4,2),'Free Spins Symbol'!$T$2:$Z$29,4,0)</f>
        <v>13</v>
      </c>
      <c r="D1201" s="129">
        <f>'Free Spins Symbol'!$X$18</f>
        <v>40</v>
      </c>
      <c r="E1201" s="129">
        <f>'Free Spins Symbol'!$Y$18</f>
        <v>32</v>
      </c>
      <c r="F1201" s="129">
        <f>'Free Spins Symbol'!$Z$18</f>
        <v>48</v>
      </c>
      <c r="G1201" s="100">
        <f>(B1201*C1201*D1201*E1201-B1200*C1200*D1200*E1200)*F1201</f>
        <v>79872000</v>
      </c>
      <c r="H1201" s="118">
        <f t="shared" si="237"/>
        <v>4.3076923076923075</v>
      </c>
      <c r="I1201" s="100">
        <v>100</v>
      </c>
      <c r="J1201" s="119">
        <f t="shared" ref="J1201:J1209" si="239">K1201*I1201</f>
        <v>23.214285714285715</v>
      </c>
      <c r="K1201" s="120">
        <f t="shared" ref="K1201:K1209" si="240">G1201/B$2</f>
        <v>0.23214285714285715</v>
      </c>
    </row>
    <row r="1202" spans="1:11" x14ac:dyDescent="0.3">
      <c r="A1202" s="116" t="s">
        <v>250</v>
      </c>
      <c r="B1202" s="129">
        <f>'Free Spins Symbol'!$V$18</f>
        <v>100</v>
      </c>
      <c r="C1202" s="117">
        <f>VLOOKUP(MID($A1202,4,2),'Free Spins Symbol'!$T$2:$Z$29,4,0)</f>
        <v>1</v>
      </c>
      <c r="D1202" s="129">
        <f>'Free Spins Symbol'!$X$18</f>
        <v>40</v>
      </c>
      <c r="E1202" s="129">
        <f>'Free Spins Symbol'!$Y$18</f>
        <v>32</v>
      </c>
      <c r="F1202" s="129">
        <f>'Free Spins Symbol'!$Z$18</f>
        <v>48</v>
      </c>
      <c r="G1202" s="100">
        <f>(B1202*C1202*D1202*E1202-B1200*C1200*D1200*E1200)*F1202</f>
        <v>6144000</v>
      </c>
      <c r="H1202" s="118">
        <f t="shared" si="237"/>
        <v>56</v>
      </c>
      <c r="I1202" s="100">
        <v>100</v>
      </c>
      <c r="J1202" s="119">
        <f t="shared" si="239"/>
        <v>1.7857142857142856</v>
      </c>
      <c r="K1202" s="120">
        <f t="shared" si="240"/>
        <v>1.7857142857142856E-2</v>
      </c>
    </row>
    <row r="1203" spans="1:11" x14ac:dyDescent="0.3">
      <c r="A1203" s="116" t="s">
        <v>251</v>
      </c>
      <c r="B1203" s="129">
        <f>'Free Spins Symbol'!$V$18</f>
        <v>100</v>
      </c>
      <c r="C1203" s="117">
        <f>VLOOKUP(MID($A1203,4,2),'Free Spins Symbol'!$T$2:$Z$29,4,0)</f>
        <v>13</v>
      </c>
      <c r="D1203" s="129">
        <f>'Free Spins Symbol'!$X$18</f>
        <v>40</v>
      </c>
      <c r="E1203" s="129">
        <f>'Free Spins Symbol'!$Y$18</f>
        <v>32</v>
      </c>
      <c r="F1203" s="129">
        <f>'Free Spins Symbol'!$Z$18</f>
        <v>48</v>
      </c>
      <c r="G1203" s="100">
        <f>B1203*C1203*D1203*E1203*F1203-G1195</f>
        <v>79872000</v>
      </c>
      <c r="H1203" s="118">
        <f t="shared" si="237"/>
        <v>4.3076923076923075</v>
      </c>
      <c r="I1203" s="100">
        <v>100</v>
      </c>
      <c r="J1203" s="119">
        <f t="shared" si="239"/>
        <v>23.214285714285715</v>
      </c>
      <c r="K1203" s="120">
        <f t="shared" si="240"/>
        <v>0.23214285714285715</v>
      </c>
    </row>
    <row r="1204" spans="1:11" x14ac:dyDescent="0.3">
      <c r="A1204" s="116" t="s">
        <v>252</v>
      </c>
      <c r="B1204" s="129">
        <f>'Free Spins Symbol'!$V$18</f>
        <v>100</v>
      </c>
      <c r="C1204" s="117">
        <f>VLOOKUP(MID($A1204,4,2),'Free Spins Symbol'!$T$2:$Z$29,4,0)</f>
        <v>13</v>
      </c>
      <c r="D1204" s="129">
        <f>'Free Spins Symbol'!$X$18</f>
        <v>40</v>
      </c>
      <c r="E1204" s="129">
        <f>'Free Spins Symbol'!$Y$18</f>
        <v>32</v>
      </c>
      <c r="F1204" s="129">
        <f>'Free Spins Symbol'!$Z$18</f>
        <v>48</v>
      </c>
      <c r="G1204" s="100">
        <f>(B1204*C1204*D1204*E1204-B1200*C1200*D1200*E1200)*F1204</f>
        <v>79872000</v>
      </c>
      <c r="H1204" s="118">
        <f t="shared" si="237"/>
        <v>4.3076923076923075</v>
      </c>
      <c r="I1204" s="100">
        <v>100</v>
      </c>
      <c r="J1204" s="119">
        <f t="shared" si="239"/>
        <v>23.214285714285715</v>
      </c>
      <c r="K1204" s="120">
        <f t="shared" si="240"/>
        <v>0.23214285714285715</v>
      </c>
    </row>
    <row r="1205" spans="1:11" x14ac:dyDescent="0.3">
      <c r="A1205" s="116" t="s">
        <v>253</v>
      </c>
      <c r="B1205" s="129">
        <f>'Free Spins Symbol'!$V$18</f>
        <v>100</v>
      </c>
      <c r="C1205" s="117">
        <f>VLOOKUP(MID($A1205,4,2),'Free Spins Symbol'!$T$2:$Z$29,4,0)</f>
        <v>2</v>
      </c>
      <c r="D1205" s="129">
        <f>'Free Spins Symbol'!$X$18</f>
        <v>40</v>
      </c>
      <c r="E1205" s="129">
        <f>'Free Spins Symbol'!$Y$18</f>
        <v>32</v>
      </c>
      <c r="F1205" s="129">
        <f>'Free Spins Symbol'!$Z$18</f>
        <v>48</v>
      </c>
      <c r="G1205" s="100">
        <f>(B1205*C1205*D1205*E1205-B1200*C1200*D1200*E1200)*F1205</f>
        <v>12288000</v>
      </c>
      <c r="H1205" s="118">
        <f t="shared" si="237"/>
        <v>28</v>
      </c>
      <c r="I1205" s="100">
        <v>100</v>
      </c>
      <c r="J1205" s="119">
        <f t="shared" si="239"/>
        <v>3.5714285714285712</v>
      </c>
      <c r="K1205" s="120">
        <f t="shared" si="240"/>
        <v>3.5714285714285712E-2</v>
      </c>
    </row>
    <row r="1206" spans="1:11" x14ac:dyDescent="0.3">
      <c r="A1206" s="116" t="s">
        <v>255</v>
      </c>
      <c r="B1206" s="129">
        <f>'Free Spins Symbol'!$V$18</f>
        <v>100</v>
      </c>
      <c r="C1206" s="117">
        <f>VLOOKUP(MID($A1206,4,2),'Free Spins Symbol'!$T$2:$Z$29,4,0)</f>
        <v>2</v>
      </c>
      <c r="D1206" s="129">
        <f>'Free Spins Symbol'!$X$18</f>
        <v>40</v>
      </c>
      <c r="E1206" s="129">
        <f>'Free Spins Symbol'!$Y$18</f>
        <v>32</v>
      </c>
      <c r="F1206" s="129">
        <f>'Free Spins Symbol'!$Z$18</f>
        <v>48</v>
      </c>
      <c r="G1206" s="100">
        <f>(B1206*C1206*D1206*E1206-B1200*C1200*D1200*E1200)*(F1206-F1196)</f>
        <v>0</v>
      </c>
      <c r="H1206" s="118" t="e">
        <f t="shared" si="237"/>
        <v>#DIV/0!</v>
      </c>
      <c r="I1206" s="100">
        <v>50</v>
      </c>
      <c r="J1206" s="119">
        <f t="shared" si="239"/>
        <v>0</v>
      </c>
      <c r="K1206" s="120">
        <f t="shared" si="240"/>
        <v>0</v>
      </c>
    </row>
    <row r="1207" spans="1:11" x14ac:dyDescent="0.3">
      <c r="A1207" s="116" t="s">
        <v>256</v>
      </c>
      <c r="B1207" s="129">
        <f>'Free Spins Symbol'!$V$18</f>
        <v>100</v>
      </c>
      <c r="C1207" s="117">
        <f>VLOOKUP(MID($A1207,4,2),'Free Spins Symbol'!$T$2:$Z$29,4,0)</f>
        <v>2</v>
      </c>
      <c r="D1207" s="129">
        <f>'Free Spins Symbol'!$X$18</f>
        <v>40</v>
      </c>
      <c r="E1207" s="129">
        <f>'Free Spins Symbol'!$Y$18</f>
        <v>32</v>
      </c>
      <c r="F1207" s="129">
        <f>'Free Spins Symbol'!$Z$18</f>
        <v>48</v>
      </c>
      <c r="G1207" s="100">
        <f>(B1207*C1207*D1207*E1207-B1200*C1200*D1200*E1200)*(F1207-F1197)</f>
        <v>0</v>
      </c>
      <c r="H1207" s="118" t="e">
        <f t="shared" si="237"/>
        <v>#DIV/0!</v>
      </c>
      <c r="I1207" s="100">
        <v>50</v>
      </c>
      <c r="J1207" s="119">
        <f t="shared" si="239"/>
        <v>0</v>
      </c>
      <c r="K1207" s="120">
        <f t="shared" si="240"/>
        <v>0</v>
      </c>
    </row>
    <row r="1208" spans="1:11" x14ac:dyDescent="0.3">
      <c r="A1208" s="116" t="s">
        <v>257</v>
      </c>
      <c r="B1208" s="129">
        <f>'Free Spins Symbol'!$V$18</f>
        <v>100</v>
      </c>
      <c r="C1208" s="117">
        <f>VLOOKUP(MID($A1208,4,2),'Free Spins Symbol'!$T$2:$Z$29,4,0)</f>
        <v>4</v>
      </c>
      <c r="D1208" s="129">
        <f>'Free Spins Symbol'!$X$18</f>
        <v>40</v>
      </c>
      <c r="E1208" s="129">
        <f>'Free Spins Symbol'!$Y$18</f>
        <v>32</v>
      </c>
      <c r="F1208" s="129">
        <f>'Free Spins Symbol'!$Z$18</f>
        <v>48</v>
      </c>
      <c r="G1208" s="100">
        <f>(B1208*C1208*D1208*E1208-B1200*C1200*D1200*E1200)*(F1208-F1198)</f>
        <v>0</v>
      </c>
      <c r="H1208" s="118" t="e">
        <f t="shared" si="237"/>
        <v>#DIV/0!</v>
      </c>
      <c r="I1208" s="100">
        <v>30</v>
      </c>
      <c r="J1208" s="119">
        <f t="shared" si="239"/>
        <v>0</v>
      </c>
      <c r="K1208" s="120">
        <f t="shared" si="240"/>
        <v>0</v>
      </c>
    </row>
    <row r="1209" spans="1:11" x14ac:dyDescent="0.3">
      <c r="A1209" s="116" t="s">
        <v>258</v>
      </c>
      <c r="B1209" s="129">
        <f>'Free Spins Symbol'!$V$18</f>
        <v>100</v>
      </c>
      <c r="C1209" s="117">
        <f>VLOOKUP(MID($A1209,4,2),'Free Spins Symbol'!$T$2:$Z$29,4,0)</f>
        <v>4</v>
      </c>
      <c r="D1209" s="129">
        <f>'Free Spins Symbol'!$X$18</f>
        <v>40</v>
      </c>
      <c r="E1209" s="129">
        <f>'Free Spins Symbol'!$Y$18</f>
        <v>32</v>
      </c>
      <c r="F1209" s="129">
        <f>'Free Spins Symbol'!$Z$18</f>
        <v>48</v>
      </c>
      <c r="G1209" s="100">
        <f>(B1209*C1209*D1209*E1209-B1200*C1200*D1200*E1200)*(F1209-F1199)</f>
        <v>0</v>
      </c>
      <c r="H1209" s="118" t="e">
        <f t="shared" si="237"/>
        <v>#DIV/0!</v>
      </c>
      <c r="I1209" s="100">
        <v>30</v>
      </c>
      <c r="J1209" s="119">
        <f t="shared" si="239"/>
        <v>0</v>
      </c>
      <c r="K1209" s="120">
        <f t="shared" si="240"/>
        <v>0</v>
      </c>
    </row>
    <row r="1210" spans="1:11" x14ac:dyDescent="0.3">
      <c r="A1210" s="116" t="s">
        <v>264</v>
      </c>
      <c r="B1210" s="129">
        <f>'Free Spins Symbol'!$V$18</f>
        <v>100</v>
      </c>
      <c r="C1210" s="117">
        <f>VLOOKUP(MID($A1210,4,2),'Free Spins Symbol'!$T$2:$Z$29,4,0)</f>
        <v>0</v>
      </c>
      <c r="D1210" s="129">
        <f>'Free Spins Symbol'!$X$18</f>
        <v>40</v>
      </c>
      <c r="E1210" s="129">
        <f>'Free Spins Symbol'!$Y$18</f>
        <v>32</v>
      </c>
      <c r="F1210" s="129">
        <f>'Free Spins Symbol'!$Z$18</f>
        <v>48</v>
      </c>
      <c r="G1210" s="100">
        <f>(B1210*C1210*D1210)*(E1210*F1210-(E1209+E1208+E1207+E1206-3*E1200)*F1200-(E1205-E1200)*F1205-(E1204-E1200)*F1204-(E1203-E1200)*F1203-(E1202-E1200)*F1202-(E1201-E1200)*F1201)</f>
        <v>0</v>
      </c>
      <c r="H1210" s="118" t="e">
        <f t="shared" si="237"/>
        <v>#DIV/0!</v>
      </c>
      <c r="I1210" s="100">
        <v>20</v>
      </c>
      <c r="J1210" s="119">
        <f>K1210*I1210</f>
        <v>0</v>
      </c>
      <c r="K1210" s="120">
        <f>G1210/B$2</f>
        <v>0</v>
      </c>
    </row>
    <row r="1211" spans="1:11" x14ac:dyDescent="0.3">
      <c r="A1211" s="116" t="s">
        <v>259</v>
      </c>
      <c r="B1211" s="129">
        <f>'Free Spins Symbol'!$V$18</f>
        <v>100</v>
      </c>
      <c r="C1211" s="117">
        <f>VLOOKUP(MID($A1211,4,2),'Free Spins Symbol'!$T$2:$Z$29,4,0)</f>
        <v>13</v>
      </c>
      <c r="D1211" s="129">
        <f>'Free Spins Symbol'!$X$18</f>
        <v>40</v>
      </c>
      <c r="E1211" s="129">
        <f>'Free Spins Symbol'!$Y$18</f>
        <v>32</v>
      </c>
      <c r="F1211" s="129">
        <f>'Free Spins Symbol'!$Z$18</f>
        <v>48</v>
      </c>
      <c r="G1211" s="100">
        <f>B1211*C1211*D1211*E1211*(F1211-F1201)</f>
        <v>0</v>
      </c>
      <c r="H1211" s="118" t="e">
        <f t="shared" si="237"/>
        <v>#DIV/0!</v>
      </c>
      <c r="I1211" s="100">
        <v>20</v>
      </c>
      <c r="J1211" s="119">
        <f t="shared" ref="J1211:J1230" si="241">K1211*I1211</f>
        <v>0</v>
      </c>
      <c r="K1211" s="120">
        <f t="shared" ref="K1211:K1230" si="242">G1211/B$2</f>
        <v>0</v>
      </c>
    </row>
    <row r="1212" spans="1:11" x14ac:dyDescent="0.3">
      <c r="A1212" s="116" t="s">
        <v>260</v>
      </c>
      <c r="B1212" s="129">
        <f>'Free Spins Symbol'!$V$18</f>
        <v>100</v>
      </c>
      <c r="C1212" s="117">
        <f>VLOOKUP(MID($A1212,4,2),'Free Spins Symbol'!$T$2:$Z$29,4,0)</f>
        <v>1</v>
      </c>
      <c r="D1212" s="129">
        <f>'Free Spins Symbol'!$X$18</f>
        <v>40</v>
      </c>
      <c r="E1212" s="129">
        <f>'Free Spins Symbol'!$Y$18</f>
        <v>32</v>
      </c>
      <c r="F1212" s="129">
        <f>'Free Spins Symbol'!$Z$18</f>
        <v>48</v>
      </c>
      <c r="G1212" s="100">
        <f t="shared" ref="G1212:G1215" si="243">B1212*C1212*D1212*E1212*(F1212-F1202)</f>
        <v>0</v>
      </c>
      <c r="H1212" s="118" t="e">
        <f t="shared" si="237"/>
        <v>#DIV/0!</v>
      </c>
      <c r="I1212" s="100">
        <v>20</v>
      </c>
      <c r="J1212" s="119">
        <f t="shared" si="241"/>
        <v>0</v>
      </c>
      <c r="K1212" s="120">
        <f t="shared" si="242"/>
        <v>0</v>
      </c>
    </row>
    <row r="1213" spans="1:11" x14ac:dyDescent="0.3">
      <c r="A1213" s="116" t="s">
        <v>261</v>
      </c>
      <c r="B1213" s="129">
        <f>'Free Spins Symbol'!$V$18</f>
        <v>100</v>
      </c>
      <c r="C1213" s="117">
        <f>VLOOKUP(MID($A1213,4,2),'Free Spins Symbol'!$T$2:$Z$29,4,0)</f>
        <v>13</v>
      </c>
      <c r="D1213" s="129">
        <f>'Free Spins Symbol'!$X$18</f>
        <v>40</v>
      </c>
      <c r="E1213" s="129">
        <f>'Free Spins Symbol'!$Y$18</f>
        <v>32</v>
      </c>
      <c r="F1213" s="129">
        <f>'Free Spins Symbol'!$Z$18</f>
        <v>48</v>
      </c>
      <c r="G1213" s="100">
        <f t="shared" si="243"/>
        <v>0</v>
      </c>
      <c r="H1213" s="118" t="e">
        <f t="shared" si="237"/>
        <v>#DIV/0!</v>
      </c>
      <c r="I1213" s="100">
        <v>20</v>
      </c>
      <c r="J1213" s="119">
        <f t="shared" si="241"/>
        <v>0</v>
      </c>
      <c r="K1213" s="120">
        <f t="shared" si="242"/>
        <v>0</v>
      </c>
    </row>
    <row r="1214" spans="1:11" x14ac:dyDescent="0.3">
      <c r="A1214" s="116" t="s">
        <v>262</v>
      </c>
      <c r="B1214" s="129">
        <f>'Free Spins Symbol'!$V$18</f>
        <v>100</v>
      </c>
      <c r="C1214" s="117">
        <f>VLOOKUP(MID($A1214,4,2),'Free Spins Symbol'!$T$2:$Z$29,4,0)</f>
        <v>13</v>
      </c>
      <c r="D1214" s="129">
        <f>'Free Spins Symbol'!$X$18</f>
        <v>40</v>
      </c>
      <c r="E1214" s="129">
        <f>'Free Spins Symbol'!$Y$18</f>
        <v>32</v>
      </c>
      <c r="F1214" s="129">
        <f>'Free Spins Symbol'!$Z$18</f>
        <v>48</v>
      </c>
      <c r="G1214" s="100">
        <f t="shared" si="243"/>
        <v>0</v>
      </c>
      <c r="H1214" s="118" t="e">
        <f t="shared" si="237"/>
        <v>#DIV/0!</v>
      </c>
      <c r="I1214" s="100">
        <v>20</v>
      </c>
      <c r="J1214" s="119">
        <f t="shared" si="241"/>
        <v>0</v>
      </c>
      <c r="K1214" s="120">
        <f t="shared" si="242"/>
        <v>0</v>
      </c>
    </row>
    <row r="1215" spans="1:11" x14ac:dyDescent="0.3">
      <c r="A1215" s="116" t="s">
        <v>263</v>
      </c>
      <c r="B1215" s="129">
        <f>'Free Spins Symbol'!$V$18</f>
        <v>100</v>
      </c>
      <c r="C1215" s="117">
        <f>VLOOKUP(MID($A1215,4,2),'Free Spins Symbol'!$T$2:$Z$29,4,0)</f>
        <v>2</v>
      </c>
      <c r="D1215" s="129">
        <f>'Free Spins Symbol'!$X$18</f>
        <v>40</v>
      </c>
      <c r="E1215" s="129">
        <f>'Free Spins Symbol'!$Y$18</f>
        <v>32</v>
      </c>
      <c r="F1215" s="129">
        <f>'Free Spins Symbol'!$Z$18</f>
        <v>48</v>
      </c>
      <c r="G1215" s="100">
        <f t="shared" si="243"/>
        <v>0</v>
      </c>
      <c r="H1215" s="118" t="e">
        <f t="shared" si="237"/>
        <v>#DIV/0!</v>
      </c>
      <c r="I1215" s="100">
        <v>20</v>
      </c>
      <c r="J1215" s="119">
        <f t="shared" si="241"/>
        <v>0</v>
      </c>
      <c r="K1215" s="120">
        <f t="shared" si="242"/>
        <v>0</v>
      </c>
    </row>
    <row r="1216" spans="1:11" x14ac:dyDescent="0.3">
      <c r="A1216" s="116" t="s">
        <v>265</v>
      </c>
      <c r="B1216" s="129">
        <f>'Free Spins Symbol'!$V$18</f>
        <v>100</v>
      </c>
      <c r="C1216" s="117">
        <f>VLOOKUP(MID($A1216,4,2),'Free Spins Symbol'!$T$2:$Z$29,4,0)</f>
        <v>2</v>
      </c>
      <c r="D1216" s="129">
        <f>'Free Spins Symbol'!$X$18</f>
        <v>40</v>
      </c>
      <c r="E1216" s="129">
        <f>'Free Spins Symbol'!$Y$18</f>
        <v>32</v>
      </c>
      <c r="F1216" s="129">
        <f>'Free Spins Symbol'!$Z$18</f>
        <v>48</v>
      </c>
      <c r="G1216" s="100">
        <f>(B1216*C1216*D1216)*(E1216-E1206)*F1216</f>
        <v>0</v>
      </c>
      <c r="H1216" s="118" t="e">
        <f t="shared" si="237"/>
        <v>#DIV/0!</v>
      </c>
      <c r="I1216" s="100">
        <v>20</v>
      </c>
      <c r="J1216" s="119">
        <f t="shared" si="241"/>
        <v>0</v>
      </c>
      <c r="K1216" s="120">
        <f t="shared" si="242"/>
        <v>0</v>
      </c>
    </row>
    <row r="1217" spans="1:11" x14ac:dyDescent="0.3">
      <c r="A1217" s="116" t="s">
        <v>266</v>
      </c>
      <c r="B1217" s="129">
        <f>'Free Spins Symbol'!$V$18</f>
        <v>100</v>
      </c>
      <c r="C1217" s="117">
        <f>VLOOKUP(MID($A1217,4,2),'Free Spins Symbol'!$T$2:$Z$29,4,0)</f>
        <v>2</v>
      </c>
      <c r="D1217" s="129">
        <f>'Free Spins Symbol'!$X$18</f>
        <v>40</v>
      </c>
      <c r="E1217" s="129">
        <f>'Free Spins Symbol'!$Y$18</f>
        <v>32</v>
      </c>
      <c r="F1217" s="129">
        <f>'Free Spins Symbol'!$Z$18</f>
        <v>48</v>
      </c>
      <c r="G1217" s="100">
        <f>(B1217*C1217*D1217)*(E1217-E1207)*F1217</f>
        <v>0</v>
      </c>
      <c r="H1217" s="118" t="e">
        <f t="shared" si="237"/>
        <v>#DIV/0!</v>
      </c>
      <c r="I1217" s="100">
        <v>20</v>
      </c>
      <c r="J1217" s="119">
        <f t="shared" si="241"/>
        <v>0</v>
      </c>
      <c r="K1217" s="120">
        <f t="shared" si="242"/>
        <v>0</v>
      </c>
    </row>
    <row r="1218" spans="1:11" x14ac:dyDescent="0.3">
      <c r="A1218" s="116" t="s">
        <v>267</v>
      </c>
      <c r="B1218" s="129">
        <f>'Free Spins Symbol'!$V$18</f>
        <v>100</v>
      </c>
      <c r="C1218" s="117">
        <f>VLOOKUP(MID($A1218,4,2),'Free Spins Symbol'!$T$2:$Z$29,4,0)</f>
        <v>4</v>
      </c>
      <c r="D1218" s="129">
        <f>'Free Spins Symbol'!$X$18</f>
        <v>40</v>
      </c>
      <c r="E1218" s="129">
        <f>'Free Spins Symbol'!$Y$18</f>
        <v>32</v>
      </c>
      <c r="F1218" s="129">
        <f>'Free Spins Symbol'!$Z$18</f>
        <v>48</v>
      </c>
      <c r="G1218" s="100">
        <f>(B1218*C1218*D1218-B1210*C1210*D1210)*(E1218-E1208)*F1218</f>
        <v>0</v>
      </c>
      <c r="H1218" s="118" t="e">
        <f t="shared" si="237"/>
        <v>#DIV/0!</v>
      </c>
      <c r="I1218" s="100">
        <v>10</v>
      </c>
      <c r="J1218" s="119">
        <f t="shared" si="241"/>
        <v>0</v>
      </c>
      <c r="K1218" s="120">
        <f t="shared" si="242"/>
        <v>0</v>
      </c>
    </row>
    <row r="1219" spans="1:11" x14ac:dyDescent="0.3">
      <c r="A1219" s="116" t="s">
        <v>268</v>
      </c>
      <c r="B1219" s="129">
        <f>'Free Spins Symbol'!$V$18</f>
        <v>100</v>
      </c>
      <c r="C1219" s="117">
        <f>VLOOKUP(MID($A1219,4,2),'Free Spins Symbol'!$T$2:$Z$29,4,0)</f>
        <v>4</v>
      </c>
      <c r="D1219" s="129">
        <f>'Free Spins Symbol'!$X$18</f>
        <v>40</v>
      </c>
      <c r="E1219" s="129">
        <f>'Free Spins Symbol'!$Y$18</f>
        <v>32</v>
      </c>
      <c r="F1219" s="129">
        <f>'Free Spins Symbol'!$Z$18</f>
        <v>48</v>
      </c>
      <c r="G1219" s="100">
        <f>(B1219*C1219*D1219-B1210*C1210*D1210)*(E1219-E1209)*F1219</f>
        <v>0</v>
      </c>
      <c r="H1219" s="118" t="e">
        <f t="shared" si="237"/>
        <v>#DIV/0!</v>
      </c>
      <c r="I1219" s="100">
        <v>10</v>
      </c>
      <c r="J1219" s="119">
        <f t="shared" si="241"/>
        <v>0</v>
      </c>
      <c r="K1219" s="120">
        <f t="shared" si="242"/>
        <v>0</v>
      </c>
    </row>
    <row r="1220" spans="1:11" x14ac:dyDescent="0.3">
      <c r="A1220" s="116" t="s">
        <v>269</v>
      </c>
      <c r="B1220" s="129">
        <f>'Free Spins Symbol'!$V$18</f>
        <v>100</v>
      </c>
      <c r="C1220" s="117">
        <f>VLOOKUP(MID($A1220,4,2),'Free Spins Symbol'!$T$2:$Z$29,4,0)</f>
        <v>13</v>
      </c>
      <c r="D1220" s="129">
        <f>'Free Spins Symbol'!$X$18</f>
        <v>40</v>
      </c>
      <c r="E1220" s="129">
        <f>'Free Spins Symbol'!$Y$18</f>
        <v>32</v>
      </c>
      <c r="F1220" s="129">
        <f>'Free Spins Symbol'!$Z$18</f>
        <v>48</v>
      </c>
      <c r="G1220" s="100">
        <f>(B1220*C1220*D1220-B1210*C1210*D1210)*(E1220-E1211)*F1220</f>
        <v>0</v>
      </c>
      <c r="H1220" s="118" t="e">
        <f t="shared" si="237"/>
        <v>#DIV/0!</v>
      </c>
      <c r="I1220" s="100">
        <v>5</v>
      </c>
      <c r="J1220" s="119">
        <f t="shared" si="241"/>
        <v>0</v>
      </c>
      <c r="K1220" s="120">
        <f t="shared" si="242"/>
        <v>0</v>
      </c>
    </row>
    <row r="1221" spans="1:11" x14ac:dyDescent="0.3">
      <c r="A1221" s="116" t="s">
        <v>270</v>
      </c>
      <c r="B1221" s="129">
        <f>'Free Spins Symbol'!$V$18</f>
        <v>100</v>
      </c>
      <c r="C1221" s="117">
        <f>VLOOKUP(MID($A1221,4,2),'Free Spins Symbol'!$T$2:$Z$29,4,0)</f>
        <v>1</v>
      </c>
      <c r="D1221" s="129">
        <f>'Free Spins Symbol'!$X$18</f>
        <v>40</v>
      </c>
      <c r="E1221" s="129">
        <f>'Free Spins Symbol'!$Y$18</f>
        <v>32</v>
      </c>
      <c r="F1221" s="129">
        <f>'Free Spins Symbol'!$Z$18</f>
        <v>48</v>
      </c>
      <c r="G1221" s="100">
        <f>(B1221*C1221*D1221-B1210*C1210*D1210)*(E1221-E1212)*F1221</f>
        <v>0</v>
      </c>
      <c r="H1221" s="118" t="e">
        <f t="shared" si="237"/>
        <v>#DIV/0!</v>
      </c>
      <c r="I1221" s="100">
        <v>5</v>
      </c>
      <c r="J1221" s="119">
        <f t="shared" si="241"/>
        <v>0</v>
      </c>
      <c r="K1221" s="120">
        <f t="shared" si="242"/>
        <v>0</v>
      </c>
    </row>
    <row r="1222" spans="1:11" x14ac:dyDescent="0.3">
      <c r="A1222" s="116" t="s">
        <v>271</v>
      </c>
      <c r="B1222" s="129">
        <f>'Free Spins Symbol'!$V$18</f>
        <v>100</v>
      </c>
      <c r="C1222" s="117">
        <f>VLOOKUP(MID($A1222,4,2),'Free Spins Symbol'!$T$2:$Z$29,4,0)</f>
        <v>13</v>
      </c>
      <c r="D1222" s="129">
        <f>'Free Spins Symbol'!$X$18</f>
        <v>40</v>
      </c>
      <c r="E1222" s="129">
        <f>'Free Spins Symbol'!$Y$18</f>
        <v>32</v>
      </c>
      <c r="F1222" s="129">
        <f>'Free Spins Symbol'!$Z$18</f>
        <v>48</v>
      </c>
      <c r="G1222" s="100">
        <f>(B1222*C1222*D1222-B1210*C1210*D1210)*(E1222-E1213)*F1222</f>
        <v>0</v>
      </c>
      <c r="H1222" s="118" t="e">
        <f t="shared" si="237"/>
        <v>#DIV/0!</v>
      </c>
      <c r="I1222" s="100">
        <v>5</v>
      </c>
      <c r="J1222" s="119">
        <f t="shared" si="241"/>
        <v>0</v>
      </c>
      <c r="K1222" s="120">
        <f t="shared" si="242"/>
        <v>0</v>
      </c>
    </row>
    <row r="1223" spans="1:11" x14ac:dyDescent="0.3">
      <c r="A1223" s="116" t="s">
        <v>272</v>
      </c>
      <c r="B1223" s="129">
        <f>'Free Spins Symbol'!$V$18</f>
        <v>100</v>
      </c>
      <c r="C1223" s="117">
        <f>VLOOKUP(MID($A1223,4,2),'Free Spins Symbol'!$T$2:$Z$29,4,0)</f>
        <v>13</v>
      </c>
      <c r="D1223" s="129">
        <f>'Free Spins Symbol'!$X$18</f>
        <v>40</v>
      </c>
      <c r="E1223" s="129">
        <f>'Free Spins Symbol'!$Y$18</f>
        <v>32</v>
      </c>
      <c r="F1223" s="129">
        <f>'Free Spins Symbol'!$Z$18</f>
        <v>48</v>
      </c>
      <c r="G1223" s="100">
        <f>(B1223*C1223*D1223-B1210*C1210*D1210)*(E1223-E1214)*F1223</f>
        <v>0</v>
      </c>
      <c r="H1223" s="118" t="e">
        <f t="shared" si="237"/>
        <v>#DIV/0!</v>
      </c>
      <c r="I1223" s="100">
        <v>5</v>
      </c>
      <c r="J1223" s="119">
        <f t="shared" si="241"/>
        <v>0</v>
      </c>
      <c r="K1223" s="120">
        <f t="shared" si="242"/>
        <v>0</v>
      </c>
    </row>
    <row r="1224" spans="1:11" x14ac:dyDescent="0.3">
      <c r="A1224" s="116" t="s">
        <v>273</v>
      </c>
      <c r="B1224" s="129">
        <f>'Free Spins Symbol'!$V$18</f>
        <v>100</v>
      </c>
      <c r="C1224" s="117">
        <f>VLOOKUP(MID($A1224,4,2),'Free Spins Symbol'!$T$2:$Z$29,4,0)</f>
        <v>2</v>
      </c>
      <c r="D1224" s="129">
        <f>'Free Spins Symbol'!$X$18</f>
        <v>40</v>
      </c>
      <c r="E1224" s="129">
        <f>'Free Spins Symbol'!$Y$18</f>
        <v>32</v>
      </c>
      <c r="F1224" s="129">
        <f>'Free Spins Symbol'!$Z$18</f>
        <v>48</v>
      </c>
      <c r="G1224" s="100">
        <f>(B1224*C1224*D1224-B1210*C1210*D1210)*(E1224-E1215)*F1224</f>
        <v>0</v>
      </c>
      <c r="H1224" s="118" t="e">
        <f t="shared" si="237"/>
        <v>#DIV/0!</v>
      </c>
      <c r="I1224" s="100">
        <v>5</v>
      </c>
      <c r="J1224" s="119">
        <f t="shared" si="241"/>
        <v>0</v>
      </c>
      <c r="K1224" s="120">
        <f t="shared" si="242"/>
        <v>0</v>
      </c>
    </row>
    <row r="1225" spans="1:11" x14ac:dyDescent="0.3">
      <c r="A1225" s="116" t="s">
        <v>274</v>
      </c>
      <c r="B1225" s="129">
        <f>'Free Spins Symbol'!$V$18</f>
        <v>100</v>
      </c>
      <c r="C1225" s="117">
        <f>VLOOKUP(MID($A1225,4,2),'Free Spins Symbol'!$T$2:$Z$29,4,0)</f>
        <v>0</v>
      </c>
      <c r="D1225" s="129">
        <f>'Free Spins Symbol'!$X$18</f>
        <v>40</v>
      </c>
      <c r="E1225" s="129">
        <f>'Free Spins Symbol'!$Y$18</f>
        <v>32</v>
      </c>
      <c r="F1225" s="129">
        <f>'Free Spins Symbol'!$Z$18</f>
        <v>48</v>
      </c>
      <c r="G1225" s="100">
        <f>B1225*C1225*(D1225-D1224-D1223-D1222-D1221-D1220-D1219-D1218-D1217-D1216+8*D1210)*E1225*F1225</f>
        <v>0</v>
      </c>
      <c r="H1225" s="118" t="e">
        <f t="shared" si="237"/>
        <v>#DIV/0!</v>
      </c>
      <c r="I1225" s="100">
        <v>5</v>
      </c>
      <c r="J1225" s="119">
        <f t="shared" si="241"/>
        <v>0</v>
      </c>
      <c r="K1225" s="120">
        <f t="shared" si="242"/>
        <v>0</v>
      </c>
    </row>
    <row r="1226" spans="1:11" x14ac:dyDescent="0.3">
      <c r="A1226" s="116" t="s">
        <v>275</v>
      </c>
      <c r="B1226" s="129">
        <f>'Free Spins Symbol'!$V$18</f>
        <v>100</v>
      </c>
      <c r="C1226" s="117">
        <f>VLOOKUP(MID($A1226,4,2),'Free Spins Symbol'!$T$2:$Z$29,4,0)</f>
        <v>2</v>
      </c>
      <c r="D1226" s="129">
        <f>'Free Spins Symbol'!$X$18</f>
        <v>40</v>
      </c>
      <c r="E1226" s="129">
        <f>'Free Spins Symbol'!$Y$18</f>
        <v>32</v>
      </c>
      <c r="F1226" s="129">
        <f>'Free Spins Symbol'!$Z$18</f>
        <v>48</v>
      </c>
      <c r="G1226" s="100">
        <f>(B1226*C1226-B1225*C1225)*(D1226-D1216)*E1226*F1226</f>
        <v>0</v>
      </c>
      <c r="H1226" s="118" t="e">
        <f t="shared" si="237"/>
        <v>#DIV/0!</v>
      </c>
      <c r="I1226" s="100">
        <v>5</v>
      </c>
      <c r="J1226" s="119">
        <f t="shared" si="241"/>
        <v>0</v>
      </c>
      <c r="K1226" s="120">
        <f t="shared" si="242"/>
        <v>0</v>
      </c>
    </row>
    <row r="1227" spans="1:11" x14ac:dyDescent="0.3">
      <c r="A1227" s="116" t="s">
        <v>276</v>
      </c>
      <c r="B1227" s="129">
        <f>'Free Spins Symbol'!$V$18</f>
        <v>100</v>
      </c>
      <c r="C1227" s="117">
        <f>VLOOKUP(MID($A1227,4,2),'Free Spins Symbol'!$T$2:$Z$29,4,0)</f>
        <v>2</v>
      </c>
      <c r="D1227" s="129">
        <f>'Free Spins Symbol'!$X$18</f>
        <v>40</v>
      </c>
      <c r="E1227" s="129">
        <f>'Free Spins Symbol'!$Y$18</f>
        <v>32</v>
      </c>
      <c r="F1227" s="129">
        <f>'Free Spins Symbol'!$Z$18</f>
        <v>48</v>
      </c>
      <c r="G1227" s="100">
        <f>(B1227*C1227-B1225*C1225)*(D1227-D1217)*E1227*F1227</f>
        <v>0</v>
      </c>
      <c r="H1227" s="118" t="e">
        <f t="shared" si="237"/>
        <v>#DIV/0!</v>
      </c>
      <c r="I1227" s="100">
        <v>5</v>
      </c>
      <c r="J1227" s="119">
        <f t="shared" si="241"/>
        <v>0</v>
      </c>
      <c r="K1227" s="120">
        <f t="shared" si="242"/>
        <v>0</v>
      </c>
    </row>
    <row r="1228" spans="1:11" x14ac:dyDescent="0.3">
      <c r="A1228" s="116" t="s">
        <v>277</v>
      </c>
      <c r="B1228" s="129">
        <f>'Free Spins Symbol'!$V$18</f>
        <v>100</v>
      </c>
      <c r="C1228" s="117">
        <f>VLOOKUP(MID($A1228,4,2),'Free Spins Symbol'!$T$2:$Z$29,4,0)</f>
        <v>4</v>
      </c>
      <c r="D1228" s="129">
        <f>'Free Spins Symbol'!$X$18</f>
        <v>40</v>
      </c>
      <c r="E1228" s="129">
        <f>'Free Spins Symbol'!$Y$18</f>
        <v>32</v>
      </c>
      <c r="F1228" s="129">
        <f>'Free Spins Symbol'!$Z$18</f>
        <v>48</v>
      </c>
      <c r="G1228" s="100">
        <f>(B1228*C1228-B1225*C1225)*(D1228-D1218)*E1228*F1228</f>
        <v>0</v>
      </c>
      <c r="H1228" s="118" t="e">
        <f t="shared" si="237"/>
        <v>#DIV/0!</v>
      </c>
      <c r="I1228" s="100">
        <v>5</v>
      </c>
      <c r="J1228" s="119">
        <f t="shared" si="241"/>
        <v>0</v>
      </c>
      <c r="K1228" s="120">
        <f t="shared" si="242"/>
        <v>0</v>
      </c>
    </row>
    <row r="1229" spans="1:11" x14ac:dyDescent="0.3">
      <c r="A1229" s="116" t="s">
        <v>278</v>
      </c>
      <c r="B1229" s="129">
        <f>'Free Spins Symbol'!$V$18</f>
        <v>100</v>
      </c>
      <c r="C1229" s="117">
        <f>VLOOKUP(MID($A1229,4,2),'Free Spins Symbol'!$T$2:$Z$29,4,0)</f>
        <v>4</v>
      </c>
      <c r="D1229" s="129">
        <f>'Free Spins Symbol'!$X$18</f>
        <v>40</v>
      </c>
      <c r="E1229" s="129">
        <f>'Free Spins Symbol'!$Y$18</f>
        <v>32</v>
      </c>
      <c r="F1229" s="129">
        <f>'Free Spins Symbol'!$Z$18</f>
        <v>48</v>
      </c>
      <c r="G1229" s="100">
        <f>(B1229*C1229-B1225*C1225)*(D1229-D1219)*E1229*F1229</f>
        <v>0</v>
      </c>
      <c r="H1229" s="118" t="e">
        <f t="shared" si="237"/>
        <v>#DIV/0!</v>
      </c>
      <c r="I1229" s="100">
        <v>5</v>
      </c>
      <c r="J1229" s="119">
        <f t="shared" si="241"/>
        <v>0</v>
      </c>
      <c r="K1229" s="120">
        <f t="shared" si="242"/>
        <v>0</v>
      </c>
    </row>
    <row r="1230" spans="1:11" x14ac:dyDescent="0.3">
      <c r="A1230" s="122" t="s">
        <v>279</v>
      </c>
      <c r="B1230" s="117">
        <f>VLOOKUP(MID($A1230,1,2),'Free Spins Symbol'!$T$2:$Z$29,3,0)</f>
        <v>100</v>
      </c>
      <c r="C1230" s="117">
        <f>VLOOKUP(MID($A1230,4,2),'Free Spins Symbol'!$T$2:$Z$29,4,0)</f>
        <v>8</v>
      </c>
      <c r="D1230" s="117">
        <f>VLOOKUP(MID($A1230,7,2),'Free Spins Symbol'!$T$2:$Z$29,5,0)</f>
        <v>4</v>
      </c>
      <c r="E1230" s="117">
        <f>VLOOKUP(MID($A1230,10,2),'Free Spins Symbol'!$T$2:$Z$29,6,0)</f>
        <v>16</v>
      </c>
      <c r="F1230" s="117">
        <f>VLOOKUP(MID($A1230,13,2),'Free Spins Symbol'!$T$2:$Z$29,7,0)</f>
        <v>48</v>
      </c>
      <c r="G1230" s="100">
        <f>B1230*C1230*D1230*E1230*F1230</f>
        <v>2457600</v>
      </c>
      <c r="H1230" s="118">
        <f t="shared" si="237"/>
        <v>140</v>
      </c>
      <c r="I1230" s="123">
        <v>2</v>
      </c>
      <c r="J1230" s="124">
        <f t="shared" si="241"/>
        <v>1.4285714285714285E-2</v>
      </c>
      <c r="K1230" s="120">
        <f t="shared" si="242"/>
        <v>7.1428571428571426E-3</v>
      </c>
    </row>
    <row r="1232" spans="1:11" ht="16.8" thickBot="1" x14ac:dyDescent="0.35"/>
    <row r="1233" spans="1:11" ht="16.8" thickBot="1" x14ac:dyDescent="0.35">
      <c r="A1233" s="125" t="s">
        <v>321</v>
      </c>
    </row>
    <row r="1234" spans="1:11" ht="16.8" thickBot="1" x14ac:dyDescent="0.35">
      <c r="A1234" s="95" t="s">
        <v>280</v>
      </c>
      <c r="B1234" s="142">
        <f>B2</f>
        <v>344064000</v>
      </c>
      <c r="C1234" s="142"/>
      <c r="D1234" s="142"/>
      <c r="E1234" s="142"/>
      <c r="F1234" s="142"/>
      <c r="G1234" s="7"/>
      <c r="H1234" s="106"/>
      <c r="I1234" s="107" t="s">
        <v>281</v>
      </c>
      <c r="J1234" s="108">
        <f>SUM(J1236:J1270)</f>
        <v>187</v>
      </c>
      <c r="K1234" s="126">
        <f>SUM(K1236:K1271)</f>
        <v>1.0071428571428571</v>
      </c>
    </row>
    <row r="1235" spans="1:11" ht="33" thickBot="1" x14ac:dyDescent="0.35">
      <c r="A1235" s="109" t="s">
        <v>233</v>
      </c>
      <c r="B1235" s="110" t="s">
        <v>234</v>
      </c>
      <c r="C1235" s="110" t="s">
        <v>235</v>
      </c>
      <c r="D1235" s="110" t="s">
        <v>236</v>
      </c>
      <c r="E1235" s="110" t="s">
        <v>237</v>
      </c>
      <c r="F1235" s="110" t="s">
        <v>238</v>
      </c>
      <c r="G1235" s="111" t="s">
        <v>239</v>
      </c>
      <c r="H1235" s="112" t="s">
        <v>240</v>
      </c>
      <c r="I1235" s="113" t="s">
        <v>241</v>
      </c>
      <c r="J1235" s="114" t="s">
        <v>242</v>
      </c>
      <c r="K1235" s="115" t="s">
        <v>243</v>
      </c>
    </row>
    <row r="1236" spans="1:11" x14ac:dyDescent="0.3">
      <c r="A1236" s="116" t="s">
        <v>244</v>
      </c>
      <c r="B1236" s="117">
        <f>VLOOKUP(MID($A1236,1,2),'Free Spins Symbol'!$T$2:$Z$29,3,0)</f>
        <v>18</v>
      </c>
      <c r="C1236" s="129">
        <f>'Free Spins Symbol'!$W$18</f>
        <v>56</v>
      </c>
      <c r="D1236" s="129">
        <f>'Free Spins Symbol'!$X$18</f>
        <v>40</v>
      </c>
      <c r="E1236" s="129">
        <f>'Free Spins Symbol'!$Y$18</f>
        <v>32</v>
      </c>
      <c r="F1236" s="129">
        <f>'Free Spins Symbol'!$Z$18</f>
        <v>48</v>
      </c>
      <c r="G1236" s="100">
        <f>B1236*C1236*D1236*E1236*F1236</f>
        <v>61931520</v>
      </c>
      <c r="H1236" s="118">
        <f>B$2/G1236</f>
        <v>5.5555555555555554</v>
      </c>
      <c r="I1236" s="100">
        <v>500</v>
      </c>
      <c r="J1236" s="119">
        <f t="shared" ref="J1236:J1240" si="244">K1236*I1236</f>
        <v>90</v>
      </c>
      <c r="K1236" s="120">
        <f>G1236/B$2</f>
        <v>0.18</v>
      </c>
    </row>
    <row r="1237" spans="1:11" x14ac:dyDescent="0.3">
      <c r="A1237" s="116" t="s">
        <v>245</v>
      </c>
      <c r="B1237" s="117">
        <f>VLOOKUP(MID($A1237,1,2),'Free Spins Symbol'!$T$2:$Z$29,3,0)</f>
        <v>20</v>
      </c>
      <c r="C1237" s="129">
        <f>'Free Spins Symbol'!$W$18</f>
        <v>56</v>
      </c>
      <c r="D1237" s="129">
        <f>'Free Spins Symbol'!$X$18</f>
        <v>40</v>
      </c>
      <c r="E1237" s="129">
        <f>'Free Spins Symbol'!$Y$18</f>
        <v>32</v>
      </c>
      <c r="F1237" s="129">
        <f>'Free Spins Symbol'!$Z$18</f>
        <v>48</v>
      </c>
      <c r="G1237" s="100">
        <f>B1237*C1237*D1237*E1237*F1237-G1236</f>
        <v>6881280</v>
      </c>
      <c r="H1237" s="118">
        <f t="shared" ref="H1237:H1271" si="245">B$2/G1237</f>
        <v>50</v>
      </c>
      <c r="I1237" s="100">
        <v>250</v>
      </c>
      <c r="J1237" s="119">
        <f t="shared" si="244"/>
        <v>5</v>
      </c>
      <c r="K1237" s="120">
        <f t="shared" ref="K1237:K1240" si="246">G1237/B$2</f>
        <v>0.02</v>
      </c>
    </row>
    <row r="1238" spans="1:11" x14ac:dyDescent="0.3">
      <c r="A1238" s="116" t="s">
        <v>246</v>
      </c>
      <c r="B1238" s="117">
        <f>VLOOKUP(MID($A1238,1,2),'Free Spins Symbol'!$T$2:$Z$29,3,0)</f>
        <v>22</v>
      </c>
      <c r="C1238" s="129">
        <f>'Free Spins Symbol'!$W$18</f>
        <v>56</v>
      </c>
      <c r="D1238" s="129">
        <f>'Free Spins Symbol'!$X$18</f>
        <v>40</v>
      </c>
      <c r="E1238" s="129">
        <f>'Free Spins Symbol'!$Y$18</f>
        <v>32</v>
      </c>
      <c r="F1238" s="129">
        <f>'Free Spins Symbol'!$Z$18</f>
        <v>48</v>
      </c>
      <c r="G1238" s="100">
        <f>B1238*C1238*D1238*E1238*F1238-G1236</f>
        <v>13762560</v>
      </c>
      <c r="H1238" s="118">
        <f t="shared" si="245"/>
        <v>25</v>
      </c>
      <c r="I1238" s="100">
        <v>250</v>
      </c>
      <c r="J1238" s="119">
        <f t="shared" si="244"/>
        <v>10</v>
      </c>
      <c r="K1238" s="120">
        <f t="shared" si="246"/>
        <v>0.04</v>
      </c>
    </row>
    <row r="1239" spans="1:11" x14ac:dyDescent="0.3">
      <c r="A1239" s="116" t="s">
        <v>247</v>
      </c>
      <c r="B1239" s="117">
        <f>VLOOKUP(MID($A1239,1,2),'Free Spins Symbol'!$T$2:$Z$29,3,0)</f>
        <v>24</v>
      </c>
      <c r="C1239" s="129">
        <f>'Free Spins Symbol'!$W$18</f>
        <v>56</v>
      </c>
      <c r="D1239" s="129">
        <f>'Free Spins Symbol'!$X$18</f>
        <v>40</v>
      </c>
      <c r="E1239" s="129">
        <f>'Free Spins Symbol'!$Y$18</f>
        <v>32</v>
      </c>
      <c r="F1239" s="129">
        <f>'Free Spins Symbol'!$Z$18</f>
        <v>48</v>
      </c>
      <c r="G1239" s="100">
        <f>B1239*C1239*D1239*E1239*F1239-G1236</f>
        <v>20643840</v>
      </c>
      <c r="H1239" s="118">
        <f t="shared" si="245"/>
        <v>16.666666666666668</v>
      </c>
      <c r="I1239" s="100">
        <v>150</v>
      </c>
      <c r="J1239" s="119">
        <f t="shared" si="244"/>
        <v>9</v>
      </c>
      <c r="K1239" s="120">
        <f t="shared" si="246"/>
        <v>0.06</v>
      </c>
    </row>
    <row r="1240" spans="1:11" x14ac:dyDescent="0.3">
      <c r="A1240" s="116" t="s">
        <v>248</v>
      </c>
      <c r="B1240" s="117">
        <f>VLOOKUP(MID($A1240,1,2),'Free Spins Symbol'!$T$2:$Z$29,3,0)</f>
        <v>24</v>
      </c>
      <c r="C1240" s="129">
        <f>'Free Spins Symbol'!$W$18</f>
        <v>56</v>
      </c>
      <c r="D1240" s="129">
        <f>'Free Spins Symbol'!$X$18</f>
        <v>40</v>
      </c>
      <c r="E1240" s="129">
        <f>'Free Spins Symbol'!$Y$18</f>
        <v>32</v>
      </c>
      <c r="F1240" s="129">
        <f>'Free Spins Symbol'!$Z$18</f>
        <v>48</v>
      </c>
      <c r="G1240" s="100">
        <f>B1240*C1240*D1240*E1240*F1240-G1236</f>
        <v>20643840</v>
      </c>
      <c r="H1240" s="118">
        <f t="shared" si="245"/>
        <v>16.666666666666668</v>
      </c>
      <c r="I1240" s="100">
        <v>150</v>
      </c>
      <c r="J1240" s="119">
        <f t="shared" si="244"/>
        <v>9</v>
      </c>
      <c r="K1240" s="120">
        <f t="shared" si="246"/>
        <v>0.06</v>
      </c>
    </row>
    <row r="1241" spans="1:11" x14ac:dyDescent="0.3">
      <c r="A1241" s="116" t="s">
        <v>254</v>
      </c>
      <c r="B1241" s="117">
        <f>VLOOKUP(MID($A1241,1,2),'Free Spins Symbol'!$T$2:$Z$29,3,0)</f>
        <v>18</v>
      </c>
      <c r="C1241" s="129">
        <f>'Free Spins Symbol'!$W$18</f>
        <v>56</v>
      </c>
      <c r="D1241" s="129">
        <f>'Free Spins Symbol'!$X$18</f>
        <v>40</v>
      </c>
      <c r="E1241" s="129">
        <f>'Free Spins Symbol'!$Y$18</f>
        <v>32</v>
      </c>
      <c r="F1241" s="129">
        <f>'Free Spins Symbol'!$Z$18</f>
        <v>48</v>
      </c>
      <c r="G1241" s="100">
        <f>B1241*C1241*D1241*E1241*(F1241-F1240-F1239-F1238-F1237+3*F1236)</f>
        <v>0</v>
      </c>
      <c r="H1241" s="118" t="e">
        <f t="shared" si="245"/>
        <v>#DIV/0!</v>
      </c>
      <c r="I1241" s="100">
        <v>100</v>
      </c>
      <c r="J1241" s="119">
        <f>K1241*I1241</f>
        <v>0</v>
      </c>
      <c r="K1241" s="120">
        <f>G1241/B$2</f>
        <v>0</v>
      </c>
    </row>
    <row r="1242" spans="1:11" x14ac:dyDescent="0.3">
      <c r="A1242" s="116" t="s">
        <v>249</v>
      </c>
      <c r="B1242" s="117">
        <f>VLOOKUP(MID($A1242,1,2),'Free Spins Symbol'!$T$2:$Z$29,3,0)</f>
        <v>38</v>
      </c>
      <c r="C1242" s="129">
        <f>'Free Spins Symbol'!$W$18</f>
        <v>56</v>
      </c>
      <c r="D1242" s="129">
        <f>'Free Spins Symbol'!$X$18</f>
        <v>40</v>
      </c>
      <c r="E1242" s="129">
        <f>'Free Spins Symbol'!$Y$18</f>
        <v>32</v>
      </c>
      <c r="F1242" s="129">
        <f>'Free Spins Symbol'!$Z$18</f>
        <v>48</v>
      </c>
      <c r="G1242" s="100">
        <f>(B1242*C1242*D1242*E1242-B1241*C1241*D1241*E1241)*F1242</f>
        <v>68812800</v>
      </c>
      <c r="H1242" s="118">
        <f t="shared" si="245"/>
        <v>5</v>
      </c>
      <c r="I1242" s="100">
        <v>100</v>
      </c>
      <c r="J1242" s="119">
        <f t="shared" ref="J1242:J1250" si="247">K1242*I1242</f>
        <v>20</v>
      </c>
      <c r="K1242" s="120">
        <f t="shared" ref="K1242:K1250" si="248">G1242/B$2</f>
        <v>0.2</v>
      </c>
    </row>
    <row r="1243" spans="1:11" x14ac:dyDescent="0.3">
      <c r="A1243" s="116" t="s">
        <v>250</v>
      </c>
      <c r="B1243" s="117">
        <f>VLOOKUP(MID($A1243,1,2),'Free Spins Symbol'!$T$2:$Z$29,3,0)</f>
        <v>35</v>
      </c>
      <c r="C1243" s="129">
        <f>'Free Spins Symbol'!$W$18</f>
        <v>56</v>
      </c>
      <c r="D1243" s="129">
        <f>'Free Spins Symbol'!$X$18</f>
        <v>40</v>
      </c>
      <c r="E1243" s="129">
        <f>'Free Spins Symbol'!$Y$18</f>
        <v>32</v>
      </c>
      <c r="F1243" s="129">
        <f>'Free Spins Symbol'!$Z$18</f>
        <v>48</v>
      </c>
      <c r="G1243" s="100">
        <f>(B1243*C1243*D1243*E1243-B1241*C1241*D1241*E1241)*F1243</f>
        <v>58490880</v>
      </c>
      <c r="H1243" s="118">
        <f t="shared" si="245"/>
        <v>5.882352941176471</v>
      </c>
      <c r="I1243" s="100">
        <v>100</v>
      </c>
      <c r="J1243" s="119">
        <f t="shared" si="247"/>
        <v>17</v>
      </c>
      <c r="K1243" s="120">
        <f t="shared" si="248"/>
        <v>0.17</v>
      </c>
    </row>
    <row r="1244" spans="1:11" x14ac:dyDescent="0.3">
      <c r="A1244" s="116" t="s">
        <v>251</v>
      </c>
      <c r="B1244" s="117">
        <f>VLOOKUP(MID($A1244,1,2),'Free Spins Symbol'!$T$2:$Z$29,3,0)</f>
        <v>28</v>
      </c>
      <c r="C1244" s="129">
        <f>'Free Spins Symbol'!$W$18</f>
        <v>56</v>
      </c>
      <c r="D1244" s="129">
        <f>'Free Spins Symbol'!$X$18</f>
        <v>40</v>
      </c>
      <c r="E1244" s="129">
        <f>'Free Spins Symbol'!$Y$18</f>
        <v>32</v>
      </c>
      <c r="F1244" s="129">
        <f>'Free Spins Symbol'!$Z$18</f>
        <v>48</v>
      </c>
      <c r="G1244" s="100">
        <f>(B1244*C1244*D1244*E1244-B1241*C1241*D1241*E1241)*F1244</f>
        <v>34406400</v>
      </c>
      <c r="H1244" s="118">
        <f t="shared" si="245"/>
        <v>10</v>
      </c>
      <c r="I1244" s="100">
        <v>100</v>
      </c>
      <c r="J1244" s="119">
        <f t="shared" si="247"/>
        <v>10</v>
      </c>
      <c r="K1244" s="120">
        <f t="shared" si="248"/>
        <v>0.1</v>
      </c>
    </row>
    <row r="1245" spans="1:11" x14ac:dyDescent="0.3">
      <c r="A1245" s="116" t="s">
        <v>252</v>
      </c>
      <c r="B1245" s="117">
        <f>VLOOKUP(MID($A1245,1,2),'Free Spins Symbol'!$T$2:$Z$29,3,0)</f>
        <v>34</v>
      </c>
      <c r="C1245" s="129">
        <f>'Free Spins Symbol'!$W$18</f>
        <v>56</v>
      </c>
      <c r="D1245" s="129">
        <f>'Free Spins Symbol'!$X$18</f>
        <v>40</v>
      </c>
      <c r="E1245" s="129">
        <f>'Free Spins Symbol'!$Y$18</f>
        <v>32</v>
      </c>
      <c r="F1245" s="129">
        <f>'Free Spins Symbol'!$Z$18</f>
        <v>48</v>
      </c>
      <c r="G1245" s="100">
        <f>(B1245*C1245*D1245*E1245-B1241*C1241*D1241*E1241)*F1245</f>
        <v>55050240</v>
      </c>
      <c r="H1245" s="118">
        <f t="shared" si="245"/>
        <v>6.25</v>
      </c>
      <c r="I1245" s="100">
        <v>100</v>
      </c>
      <c r="J1245" s="119">
        <f t="shared" si="247"/>
        <v>16</v>
      </c>
      <c r="K1245" s="120">
        <f t="shared" si="248"/>
        <v>0.16</v>
      </c>
    </row>
    <row r="1246" spans="1:11" x14ac:dyDescent="0.3">
      <c r="A1246" s="116" t="s">
        <v>253</v>
      </c>
      <c r="B1246" s="117">
        <f>VLOOKUP(MID($A1246,1,2),'Free Spins Symbol'!$T$2:$Z$29,3,0)</f>
        <v>19</v>
      </c>
      <c r="C1246" s="129">
        <f>'Free Spins Symbol'!$W$18</f>
        <v>56</v>
      </c>
      <c r="D1246" s="129">
        <f>'Free Spins Symbol'!$X$18</f>
        <v>40</v>
      </c>
      <c r="E1246" s="129">
        <f>'Free Spins Symbol'!$Y$18</f>
        <v>32</v>
      </c>
      <c r="F1246" s="129">
        <f>'Free Spins Symbol'!$Z$18</f>
        <v>48</v>
      </c>
      <c r="G1246" s="100">
        <f>(B1246*C1246*D1246*E1246-B1241*C1241*D1241*E1241)*F1246</f>
        <v>3440640</v>
      </c>
      <c r="H1246" s="118">
        <f t="shared" si="245"/>
        <v>100</v>
      </c>
      <c r="I1246" s="100">
        <v>100</v>
      </c>
      <c r="J1246" s="119">
        <f t="shared" si="247"/>
        <v>1</v>
      </c>
      <c r="K1246" s="120">
        <f t="shared" si="248"/>
        <v>0.01</v>
      </c>
    </row>
    <row r="1247" spans="1:11" x14ac:dyDescent="0.3">
      <c r="A1247" s="116" t="s">
        <v>255</v>
      </c>
      <c r="B1247" s="117">
        <f>VLOOKUP(MID($A1247,1,2),'Free Spins Symbol'!$T$2:$Z$29,3,0)</f>
        <v>20</v>
      </c>
      <c r="C1247" s="129">
        <f>'Free Spins Symbol'!$W$18</f>
        <v>56</v>
      </c>
      <c r="D1247" s="129">
        <f>'Free Spins Symbol'!$X$18</f>
        <v>40</v>
      </c>
      <c r="E1247" s="129">
        <f>'Free Spins Symbol'!$Y$18</f>
        <v>32</v>
      </c>
      <c r="F1247" s="129">
        <f>'Free Spins Symbol'!$Z$18</f>
        <v>48</v>
      </c>
      <c r="G1247" s="100">
        <f>(B1247*C1247*D1247*E1247-B1241*C1241*D1241*E1241)*(F1247-F1237)</f>
        <v>0</v>
      </c>
      <c r="H1247" s="118" t="e">
        <f t="shared" si="245"/>
        <v>#DIV/0!</v>
      </c>
      <c r="I1247" s="100">
        <v>50</v>
      </c>
      <c r="J1247" s="119">
        <f t="shared" si="247"/>
        <v>0</v>
      </c>
      <c r="K1247" s="120">
        <f t="shared" si="248"/>
        <v>0</v>
      </c>
    </row>
    <row r="1248" spans="1:11" x14ac:dyDescent="0.3">
      <c r="A1248" s="116" t="s">
        <v>256</v>
      </c>
      <c r="B1248" s="117">
        <f>VLOOKUP(MID($A1248,1,2),'Free Spins Symbol'!$T$2:$Z$29,3,0)</f>
        <v>22</v>
      </c>
      <c r="C1248" s="129">
        <f>'Free Spins Symbol'!$W$18</f>
        <v>56</v>
      </c>
      <c r="D1248" s="129">
        <f>'Free Spins Symbol'!$X$18</f>
        <v>40</v>
      </c>
      <c r="E1248" s="129">
        <f>'Free Spins Symbol'!$Y$18</f>
        <v>32</v>
      </c>
      <c r="F1248" s="129">
        <f>'Free Spins Symbol'!$Z$18</f>
        <v>48</v>
      </c>
      <c r="G1248" s="100">
        <f>(B1248*C1248*D1248*E1248-B1241*C1241*D1241*E1241)*(F1248-F1238)</f>
        <v>0</v>
      </c>
      <c r="H1248" s="118" t="e">
        <f t="shared" si="245"/>
        <v>#DIV/0!</v>
      </c>
      <c r="I1248" s="100">
        <v>50</v>
      </c>
      <c r="J1248" s="119">
        <f t="shared" si="247"/>
        <v>0</v>
      </c>
      <c r="K1248" s="120">
        <f t="shared" si="248"/>
        <v>0</v>
      </c>
    </row>
    <row r="1249" spans="1:11" x14ac:dyDescent="0.3">
      <c r="A1249" s="116" t="s">
        <v>257</v>
      </c>
      <c r="B1249" s="117">
        <f>VLOOKUP(MID($A1249,1,2),'Free Spins Symbol'!$T$2:$Z$29,3,0)</f>
        <v>24</v>
      </c>
      <c r="C1249" s="129">
        <f>'Free Spins Symbol'!$W$18</f>
        <v>56</v>
      </c>
      <c r="D1249" s="129">
        <f>'Free Spins Symbol'!$X$18</f>
        <v>40</v>
      </c>
      <c r="E1249" s="129">
        <f>'Free Spins Symbol'!$Y$18</f>
        <v>32</v>
      </c>
      <c r="F1249" s="129">
        <f>'Free Spins Symbol'!$Z$18</f>
        <v>48</v>
      </c>
      <c r="G1249" s="100">
        <f>(B1249*C1249*D1249*E1249-B1241*C1241*D1241*E1241)*(F1249-F1239)</f>
        <v>0</v>
      </c>
      <c r="H1249" s="118" t="e">
        <f t="shared" si="245"/>
        <v>#DIV/0!</v>
      </c>
      <c r="I1249" s="100">
        <v>30</v>
      </c>
      <c r="J1249" s="119">
        <f t="shared" si="247"/>
        <v>0</v>
      </c>
      <c r="K1249" s="120">
        <f t="shared" si="248"/>
        <v>0</v>
      </c>
    </row>
    <row r="1250" spans="1:11" x14ac:dyDescent="0.3">
      <c r="A1250" s="116" t="s">
        <v>258</v>
      </c>
      <c r="B1250" s="117">
        <f>VLOOKUP(MID($A1250,1,2),'Free Spins Symbol'!$T$2:$Z$29,3,0)</f>
        <v>24</v>
      </c>
      <c r="C1250" s="129">
        <f>'Free Spins Symbol'!$W$18</f>
        <v>56</v>
      </c>
      <c r="D1250" s="129">
        <f>'Free Spins Symbol'!$X$18</f>
        <v>40</v>
      </c>
      <c r="E1250" s="129">
        <f>'Free Spins Symbol'!$Y$18</f>
        <v>32</v>
      </c>
      <c r="F1250" s="129">
        <f>'Free Spins Symbol'!$Z$18</f>
        <v>48</v>
      </c>
      <c r="G1250" s="100">
        <f>(B1250*C1250*D1250*E1250-B1241*C1241*D1241*E1241)*(F1250-F1240)</f>
        <v>0</v>
      </c>
      <c r="H1250" s="118" t="e">
        <f t="shared" si="245"/>
        <v>#DIV/0!</v>
      </c>
      <c r="I1250" s="100">
        <v>30</v>
      </c>
      <c r="J1250" s="119">
        <f t="shared" si="247"/>
        <v>0</v>
      </c>
      <c r="K1250" s="120">
        <f t="shared" si="248"/>
        <v>0</v>
      </c>
    </row>
    <row r="1251" spans="1:11" x14ac:dyDescent="0.3">
      <c r="A1251" s="116" t="s">
        <v>264</v>
      </c>
      <c r="B1251" s="117">
        <f>VLOOKUP(MID($A1251,1,2),'Free Spins Symbol'!$T$2:$Z$29,3,0)</f>
        <v>18</v>
      </c>
      <c r="C1251" s="129">
        <f>'Free Spins Symbol'!$W$18</f>
        <v>56</v>
      </c>
      <c r="D1251" s="129">
        <f>'Free Spins Symbol'!$X$18</f>
        <v>40</v>
      </c>
      <c r="E1251" s="129">
        <f>'Free Spins Symbol'!$Y$18</f>
        <v>32</v>
      </c>
      <c r="F1251" s="129">
        <f>'Free Spins Symbol'!$Z$18</f>
        <v>48</v>
      </c>
      <c r="G1251" s="100">
        <f>(B1251*C1251*D1251)*(E1251*F1251-(E1250+E1249+E1248+E1247-3*E1241)*F1241-(E1246-E1241)*F1246-(E1245-E1241)*F1245-(E1244-E1241)*F1244-(E1243-E1241)*F1243-(E1242-E1241)*F1242)</f>
        <v>0</v>
      </c>
      <c r="H1251" s="118" t="e">
        <f t="shared" si="245"/>
        <v>#DIV/0!</v>
      </c>
      <c r="I1251" s="100">
        <v>20</v>
      </c>
      <c r="J1251" s="119">
        <f>K1251*I1251</f>
        <v>0</v>
      </c>
      <c r="K1251" s="120">
        <f>G1251/B$2</f>
        <v>0</v>
      </c>
    </row>
    <row r="1252" spans="1:11" x14ac:dyDescent="0.3">
      <c r="A1252" s="116" t="s">
        <v>259</v>
      </c>
      <c r="B1252" s="117">
        <f>VLOOKUP(MID($A1252,1,2),'Free Spins Symbol'!$T$2:$Z$29,3,0)</f>
        <v>38</v>
      </c>
      <c r="C1252" s="129">
        <f>'Free Spins Symbol'!$W$18</f>
        <v>56</v>
      </c>
      <c r="D1252" s="129">
        <f>'Free Spins Symbol'!$X$18</f>
        <v>40</v>
      </c>
      <c r="E1252" s="129">
        <f>'Free Spins Symbol'!$Y$18</f>
        <v>32</v>
      </c>
      <c r="F1252" s="129">
        <f>'Free Spins Symbol'!$Z$18</f>
        <v>48</v>
      </c>
      <c r="G1252" s="100">
        <f>B1252*C1252*D1252*E1252*(F1252-F1242)</f>
        <v>0</v>
      </c>
      <c r="H1252" s="118" t="e">
        <f t="shared" si="245"/>
        <v>#DIV/0!</v>
      </c>
      <c r="I1252" s="100">
        <v>20</v>
      </c>
      <c r="J1252" s="119">
        <f t="shared" ref="J1252:J1271" si="249">K1252*I1252</f>
        <v>0</v>
      </c>
      <c r="K1252" s="120">
        <f t="shared" ref="K1252:K1271" si="250">G1252/B$2</f>
        <v>0</v>
      </c>
    </row>
    <row r="1253" spans="1:11" x14ac:dyDescent="0.3">
      <c r="A1253" s="116" t="s">
        <v>260</v>
      </c>
      <c r="B1253" s="117">
        <f>VLOOKUP(MID($A1253,1,2),'Free Spins Symbol'!$T$2:$Z$29,3,0)</f>
        <v>35</v>
      </c>
      <c r="C1253" s="129">
        <f>'Free Spins Symbol'!$W$18</f>
        <v>56</v>
      </c>
      <c r="D1253" s="129">
        <f>'Free Spins Symbol'!$X$18</f>
        <v>40</v>
      </c>
      <c r="E1253" s="129">
        <f>'Free Spins Symbol'!$Y$18</f>
        <v>32</v>
      </c>
      <c r="F1253" s="129">
        <f>'Free Spins Symbol'!$Z$18</f>
        <v>48</v>
      </c>
      <c r="G1253" s="100">
        <f t="shared" ref="G1253:G1256" si="251">B1253*C1253*D1253*E1253*(F1253-F1243)</f>
        <v>0</v>
      </c>
      <c r="H1253" s="118" t="e">
        <f t="shared" si="245"/>
        <v>#DIV/0!</v>
      </c>
      <c r="I1253" s="100">
        <v>20</v>
      </c>
      <c r="J1253" s="119">
        <f t="shared" si="249"/>
        <v>0</v>
      </c>
      <c r="K1253" s="120">
        <f t="shared" si="250"/>
        <v>0</v>
      </c>
    </row>
    <row r="1254" spans="1:11" x14ac:dyDescent="0.3">
      <c r="A1254" s="116" t="s">
        <v>261</v>
      </c>
      <c r="B1254" s="117">
        <f>VLOOKUP(MID($A1254,1,2),'Free Spins Symbol'!$T$2:$Z$29,3,0)</f>
        <v>28</v>
      </c>
      <c r="C1254" s="129">
        <f>'Free Spins Symbol'!$W$18</f>
        <v>56</v>
      </c>
      <c r="D1254" s="129">
        <f>'Free Spins Symbol'!$X$18</f>
        <v>40</v>
      </c>
      <c r="E1254" s="129">
        <f>'Free Spins Symbol'!$Y$18</f>
        <v>32</v>
      </c>
      <c r="F1254" s="129">
        <f>'Free Spins Symbol'!$Z$18</f>
        <v>48</v>
      </c>
      <c r="G1254" s="100">
        <f t="shared" si="251"/>
        <v>0</v>
      </c>
      <c r="H1254" s="118" t="e">
        <f t="shared" si="245"/>
        <v>#DIV/0!</v>
      </c>
      <c r="I1254" s="100">
        <v>20</v>
      </c>
      <c r="J1254" s="119">
        <f t="shared" si="249"/>
        <v>0</v>
      </c>
      <c r="K1254" s="120">
        <f t="shared" si="250"/>
        <v>0</v>
      </c>
    </row>
    <row r="1255" spans="1:11" x14ac:dyDescent="0.3">
      <c r="A1255" s="116" t="s">
        <v>262</v>
      </c>
      <c r="B1255" s="117">
        <f>VLOOKUP(MID($A1255,1,2),'Free Spins Symbol'!$T$2:$Z$29,3,0)</f>
        <v>34</v>
      </c>
      <c r="C1255" s="129">
        <f>'Free Spins Symbol'!$W$18</f>
        <v>56</v>
      </c>
      <c r="D1255" s="129">
        <f>'Free Spins Symbol'!$X$18</f>
        <v>40</v>
      </c>
      <c r="E1255" s="129">
        <f>'Free Spins Symbol'!$Y$18</f>
        <v>32</v>
      </c>
      <c r="F1255" s="129">
        <f>'Free Spins Symbol'!$Z$18</f>
        <v>48</v>
      </c>
      <c r="G1255" s="100">
        <f t="shared" si="251"/>
        <v>0</v>
      </c>
      <c r="H1255" s="118" t="e">
        <f t="shared" si="245"/>
        <v>#DIV/0!</v>
      </c>
      <c r="I1255" s="100">
        <v>20</v>
      </c>
      <c r="J1255" s="119">
        <f t="shared" si="249"/>
        <v>0</v>
      </c>
      <c r="K1255" s="120">
        <f t="shared" si="250"/>
        <v>0</v>
      </c>
    </row>
    <row r="1256" spans="1:11" x14ac:dyDescent="0.3">
      <c r="A1256" s="116" t="s">
        <v>263</v>
      </c>
      <c r="B1256" s="117">
        <f>VLOOKUP(MID($A1256,1,2),'Free Spins Symbol'!$T$2:$Z$29,3,0)</f>
        <v>19</v>
      </c>
      <c r="C1256" s="129">
        <f>'Free Spins Symbol'!$W$18</f>
        <v>56</v>
      </c>
      <c r="D1256" s="129">
        <f>'Free Spins Symbol'!$X$18</f>
        <v>40</v>
      </c>
      <c r="E1256" s="129">
        <f>'Free Spins Symbol'!$Y$18</f>
        <v>32</v>
      </c>
      <c r="F1256" s="129">
        <f>'Free Spins Symbol'!$Z$18</f>
        <v>48</v>
      </c>
      <c r="G1256" s="100">
        <f t="shared" si="251"/>
        <v>0</v>
      </c>
      <c r="H1256" s="118" t="e">
        <f t="shared" si="245"/>
        <v>#DIV/0!</v>
      </c>
      <c r="I1256" s="100">
        <v>20</v>
      </c>
      <c r="J1256" s="119">
        <f t="shared" si="249"/>
        <v>0</v>
      </c>
      <c r="K1256" s="120">
        <f t="shared" si="250"/>
        <v>0</v>
      </c>
    </row>
    <row r="1257" spans="1:11" x14ac:dyDescent="0.3">
      <c r="A1257" s="116" t="s">
        <v>265</v>
      </c>
      <c r="B1257" s="117">
        <f>VLOOKUP(MID($A1257,1,2),'Free Spins Symbol'!$T$2:$Z$29,3,0)</f>
        <v>20</v>
      </c>
      <c r="C1257" s="129">
        <f>'Free Spins Symbol'!$W$18</f>
        <v>56</v>
      </c>
      <c r="D1257" s="129">
        <f>'Free Spins Symbol'!$X$18</f>
        <v>40</v>
      </c>
      <c r="E1257" s="129">
        <f>'Free Spins Symbol'!$Y$18</f>
        <v>32</v>
      </c>
      <c r="F1257" s="129">
        <f>'Free Spins Symbol'!$Z$18</f>
        <v>48</v>
      </c>
      <c r="G1257" s="100">
        <f>(B1257*C1257*D1257)*(E1257-E1247)*F1257</f>
        <v>0</v>
      </c>
      <c r="H1257" s="118" t="e">
        <f t="shared" si="245"/>
        <v>#DIV/0!</v>
      </c>
      <c r="I1257" s="100">
        <v>20</v>
      </c>
      <c r="J1257" s="119">
        <f t="shared" si="249"/>
        <v>0</v>
      </c>
      <c r="K1257" s="120">
        <f t="shared" si="250"/>
        <v>0</v>
      </c>
    </row>
    <row r="1258" spans="1:11" x14ac:dyDescent="0.3">
      <c r="A1258" s="116" t="s">
        <v>266</v>
      </c>
      <c r="B1258" s="117">
        <f>VLOOKUP(MID($A1258,1,2),'Free Spins Symbol'!$T$2:$Z$29,3,0)</f>
        <v>22</v>
      </c>
      <c r="C1258" s="129">
        <f>'Free Spins Symbol'!$W$18</f>
        <v>56</v>
      </c>
      <c r="D1258" s="129">
        <f>'Free Spins Symbol'!$X$18</f>
        <v>40</v>
      </c>
      <c r="E1258" s="129">
        <f>'Free Spins Symbol'!$Y$18</f>
        <v>32</v>
      </c>
      <c r="F1258" s="129">
        <f>'Free Spins Symbol'!$Z$18</f>
        <v>48</v>
      </c>
      <c r="G1258" s="100">
        <f>(B1258*C1258*D1258)*(E1258-E1248)*F1258</f>
        <v>0</v>
      </c>
      <c r="H1258" s="118" t="e">
        <f t="shared" si="245"/>
        <v>#DIV/0!</v>
      </c>
      <c r="I1258" s="100">
        <v>20</v>
      </c>
      <c r="J1258" s="119">
        <f t="shared" si="249"/>
        <v>0</v>
      </c>
      <c r="K1258" s="120">
        <f t="shared" si="250"/>
        <v>0</v>
      </c>
    </row>
    <row r="1259" spans="1:11" x14ac:dyDescent="0.3">
      <c r="A1259" s="116" t="s">
        <v>267</v>
      </c>
      <c r="B1259" s="117">
        <f>VLOOKUP(MID($A1259,1,2),'Free Spins Symbol'!$T$2:$Z$29,3,0)</f>
        <v>24</v>
      </c>
      <c r="C1259" s="129">
        <f>'Free Spins Symbol'!$W$18</f>
        <v>56</v>
      </c>
      <c r="D1259" s="129">
        <f>'Free Spins Symbol'!$X$18</f>
        <v>40</v>
      </c>
      <c r="E1259" s="129">
        <f>'Free Spins Symbol'!$Y$18</f>
        <v>32</v>
      </c>
      <c r="F1259" s="129">
        <f>'Free Spins Symbol'!$Z$18</f>
        <v>48</v>
      </c>
      <c r="G1259" s="100">
        <f>(B1259*C1259*D1259-B1251*C1251*D1251)*(E1259-E1249)*F1259</f>
        <v>0</v>
      </c>
      <c r="H1259" s="118" t="e">
        <f t="shared" si="245"/>
        <v>#DIV/0!</v>
      </c>
      <c r="I1259" s="100">
        <v>10</v>
      </c>
      <c r="J1259" s="119">
        <f t="shared" si="249"/>
        <v>0</v>
      </c>
      <c r="K1259" s="120">
        <f t="shared" si="250"/>
        <v>0</v>
      </c>
    </row>
    <row r="1260" spans="1:11" x14ac:dyDescent="0.3">
      <c r="A1260" s="116" t="s">
        <v>268</v>
      </c>
      <c r="B1260" s="117">
        <f>VLOOKUP(MID($A1260,1,2),'Free Spins Symbol'!$T$2:$Z$29,3,0)</f>
        <v>24</v>
      </c>
      <c r="C1260" s="129">
        <f>'Free Spins Symbol'!$W$18</f>
        <v>56</v>
      </c>
      <c r="D1260" s="129">
        <f>'Free Spins Symbol'!$X$18</f>
        <v>40</v>
      </c>
      <c r="E1260" s="129">
        <f>'Free Spins Symbol'!$Y$18</f>
        <v>32</v>
      </c>
      <c r="F1260" s="129">
        <f>'Free Spins Symbol'!$Z$18</f>
        <v>48</v>
      </c>
      <c r="G1260" s="100">
        <f>(B1260*C1260*D1260-B1251*C1251*D1251)*(E1260-E1250)*F1260</f>
        <v>0</v>
      </c>
      <c r="H1260" s="118" t="e">
        <f t="shared" si="245"/>
        <v>#DIV/0!</v>
      </c>
      <c r="I1260" s="100">
        <v>10</v>
      </c>
      <c r="J1260" s="119">
        <f t="shared" si="249"/>
        <v>0</v>
      </c>
      <c r="K1260" s="120">
        <f t="shared" si="250"/>
        <v>0</v>
      </c>
    </row>
    <row r="1261" spans="1:11" x14ac:dyDescent="0.3">
      <c r="A1261" s="116" t="s">
        <v>269</v>
      </c>
      <c r="B1261" s="117">
        <f>VLOOKUP(MID($A1261,1,2),'Free Spins Symbol'!$T$2:$Z$29,3,0)</f>
        <v>38</v>
      </c>
      <c r="C1261" s="129">
        <f>'Free Spins Symbol'!$W$18</f>
        <v>56</v>
      </c>
      <c r="D1261" s="129">
        <f>'Free Spins Symbol'!$X$18</f>
        <v>40</v>
      </c>
      <c r="E1261" s="129">
        <f>'Free Spins Symbol'!$Y$18</f>
        <v>32</v>
      </c>
      <c r="F1261" s="129">
        <f>'Free Spins Symbol'!$Z$18</f>
        <v>48</v>
      </c>
      <c r="G1261" s="100">
        <f>(B1261*C1261*D1261-B1251*C1251*D1251)*(E1261-E1252)*F1261</f>
        <v>0</v>
      </c>
      <c r="H1261" s="118" t="e">
        <f t="shared" si="245"/>
        <v>#DIV/0!</v>
      </c>
      <c r="I1261" s="100">
        <v>5</v>
      </c>
      <c r="J1261" s="119">
        <f t="shared" si="249"/>
        <v>0</v>
      </c>
      <c r="K1261" s="120">
        <f t="shared" si="250"/>
        <v>0</v>
      </c>
    </row>
    <row r="1262" spans="1:11" x14ac:dyDescent="0.3">
      <c r="A1262" s="116" t="s">
        <v>270</v>
      </c>
      <c r="B1262" s="117">
        <f>VLOOKUP(MID($A1262,1,2),'Free Spins Symbol'!$T$2:$Z$29,3,0)</f>
        <v>35</v>
      </c>
      <c r="C1262" s="129">
        <f>'Free Spins Symbol'!$W$18</f>
        <v>56</v>
      </c>
      <c r="D1262" s="129">
        <f>'Free Spins Symbol'!$X$18</f>
        <v>40</v>
      </c>
      <c r="E1262" s="129">
        <f>'Free Spins Symbol'!$Y$18</f>
        <v>32</v>
      </c>
      <c r="F1262" s="129">
        <f>'Free Spins Symbol'!$Z$18</f>
        <v>48</v>
      </c>
      <c r="G1262" s="100">
        <f>(B1262*C1262*D1262-B1251*C1251*D1251)*(E1262-E1253)*F1262</f>
        <v>0</v>
      </c>
      <c r="H1262" s="118" t="e">
        <f t="shared" si="245"/>
        <v>#DIV/0!</v>
      </c>
      <c r="I1262" s="100">
        <v>5</v>
      </c>
      <c r="J1262" s="119">
        <f t="shared" si="249"/>
        <v>0</v>
      </c>
      <c r="K1262" s="120">
        <f t="shared" si="250"/>
        <v>0</v>
      </c>
    </row>
    <row r="1263" spans="1:11" x14ac:dyDescent="0.3">
      <c r="A1263" s="116" t="s">
        <v>271</v>
      </c>
      <c r="B1263" s="117">
        <f>VLOOKUP(MID($A1263,1,2),'Free Spins Symbol'!$T$2:$Z$29,3,0)</f>
        <v>28</v>
      </c>
      <c r="C1263" s="129">
        <f>'Free Spins Symbol'!$W$18</f>
        <v>56</v>
      </c>
      <c r="D1263" s="129">
        <f>'Free Spins Symbol'!$X$18</f>
        <v>40</v>
      </c>
      <c r="E1263" s="129">
        <f>'Free Spins Symbol'!$Y$18</f>
        <v>32</v>
      </c>
      <c r="F1263" s="129">
        <f>'Free Spins Symbol'!$Z$18</f>
        <v>48</v>
      </c>
      <c r="G1263" s="100">
        <f>(B1263*C1263*D1263-B1251*C1251*D1251)*(E1263-E1254)*F1263</f>
        <v>0</v>
      </c>
      <c r="H1263" s="118" t="e">
        <f t="shared" si="245"/>
        <v>#DIV/0!</v>
      </c>
      <c r="I1263" s="100">
        <v>5</v>
      </c>
      <c r="J1263" s="119">
        <f t="shared" si="249"/>
        <v>0</v>
      </c>
      <c r="K1263" s="120">
        <f t="shared" si="250"/>
        <v>0</v>
      </c>
    </row>
    <row r="1264" spans="1:11" x14ac:dyDescent="0.3">
      <c r="A1264" s="116" t="s">
        <v>272</v>
      </c>
      <c r="B1264" s="117">
        <f>VLOOKUP(MID($A1264,1,2),'Free Spins Symbol'!$T$2:$Z$29,3,0)</f>
        <v>34</v>
      </c>
      <c r="C1264" s="129">
        <f>'Free Spins Symbol'!$W$18</f>
        <v>56</v>
      </c>
      <c r="D1264" s="129">
        <f>'Free Spins Symbol'!$X$18</f>
        <v>40</v>
      </c>
      <c r="E1264" s="129">
        <f>'Free Spins Symbol'!$Y$18</f>
        <v>32</v>
      </c>
      <c r="F1264" s="129">
        <f>'Free Spins Symbol'!$Z$18</f>
        <v>48</v>
      </c>
      <c r="G1264" s="100">
        <f>(B1264*C1264*D1264-B1251*C1251*D1251)*(E1264-E1255)*F1264</f>
        <v>0</v>
      </c>
      <c r="H1264" s="118" t="e">
        <f t="shared" si="245"/>
        <v>#DIV/0!</v>
      </c>
      <c r="I1264" s="100">
        <v>5</v>
      </c>
      <c r="J1264" s="119">
        <f t="shared" si="249"/>
        <v>0</v>
      </c>
      <c r="K1264" s="120">
        <f t="shared" si="250"/>
        <v>0</v>
      </c>
    </row>
    <row r="1265" spans="1:11" x14ac:dyDescent="0.3">
      <c r="A1265" s="116" t="s">
        <v>273</v>
      </c>
      <c r="B1265" s="117">
        <f>VLOOKUP(MID($A1265,1,2),'Free Spins Symbol'!$T$2:$Z$29,3,0)</f>
        <v>19</v>
      </c>
      <c r="C1265" s="129">
        <f>'Free Spins Symbol'!$W$18</f>
        <v>56</v>
      </c>
      <c r="D1265" s="129">
        <f>'Free Spins Symbol'!$X$18</f>
        <v>40</v>
      </c>
      <c r="E1265" s="129">
        <f>'Free Spins Symbol'!$Y$18</f>
        <v>32</v>
      </c>
      <c r="F1265" s="129">
        <f>'Free Spins Symbol'!$Z$18</f>
        <v>48</v>
      </c>
      <c r="G1265" s="100">
        <f>(B1265*C1265*D1265-B1251*C1251*D1251)*(E1265-E1256)*F1265</f>
        <v>0</v>
      </c>
      <c r="H1265" s="118" t="e">
        <f t="shared" si="245"/>
        <v>#DIV/0!</v>
      </c>
      <c r="I1265" s="100">
        <v>5</v>
      </c>
      <c r="J1265" s="119">
        <f t="shared" si="249"/>
        <v>0</v>
      </c>
      <c r="K1265" s="120">
        <f t="shared" si="250"/>
        <v>0</v>
      </c>
    </row>
    <row r="1266" spans="1:11" x14ac:dyDescent="0.3">
      <c r="A1266" s="116" t="s">
        <v>274</v>
      </c>
      <c r="B1266" s="117">
        <f>VLOOKUP(MID($A1266,1,2),'Free Spins Symbol'!$T$2:$Z$29,3,0)</f>
        <v>18</v>
      </c>
      <c r="C1266" s="129">
        <f>'Free Spins Symbol'!$W$18</f>
        <v>56</v>
      </c>
      <c r="D1266" s="129">
        <f>'Free Spins Symbol'!$X$18</f>
        <v>40</v>
      </c>
      <c r="E1266" s="129">
        <f>'Free Spins Symbol'!$Y$18</f>
        <v>32</v>
      </c>
      <c r="F1266" s="129">
        <f>'Free Spins Symbol'!$Z$18</f>
        <v>48</v>
      </c>
      <c r="G1266" s="100">
        <f>B1266*C1266*(D1266-D1265-D1264-D1263-D1262-D1261-D1260-D1259-D1258-D1257+8*D1251)*E1266*F1266</f>
        <v>0</v>
      </c>
      <c r="H1266" s="118" t="e">
        <f t="shared" si="245"/>
        <v>#DIV/0!</v>
      </c>
      <c r="I1266" s="100">
        <v>5</v>
      </c>
      <c r="J1266" s="119">
        <f t="shared" si="249"/>
        <v>0</v>
      </c>
      <c r="K1266" s="120">
        <f t="shared" si="250"/>
        <v>0</v>
      </c>
    </row>
    <row r="1267" spans="1:11" x14ac:dyDescent="0.3">
      <c r="A1267" s="116" t="s">
        <v>275</v>
      </c>
      <c r="B1267" s="117">
        <f>VLOOKUP(MID($A1267,1,2),'Free Spins Symbol'!$T$2:$Z$29,3,0)</f>
        <v>20</v>
      </c>
      <c r="C1267" s="129">
        <f>'Free Spins Symbol'!$W$18</f>
        <v>56</v>
      </c>
      <c r="D1267" s="129">
        <f>'Free Spins Symbol'!$X$18</f>
        <v>40</v>
      </c>
      <c r="E1267" s="129">
        <f>'Free Spins Symbol'!$Y$18</f>
        <v>32</v>
      </c>
      <c r="F1267" s="129">
        <f>'Free Spins Symbol'!$Z$18</f>
        <v>48</v>
      </c>
      <c r="G1267" s="100">
        <f>(B1267*C1267-B1266*C1266)*(D1267-D1257)*E1267*F1267</f>
        <v>0</v>
      </c>
      <c r="H1267" s="118" t="e">
        <f t="shared" si="245"/>
        <v>#DIV/0!</v>
      </c>
      <c r="I1267" s="100">
        <v>5</v>
      </c>
      <c r="J1267" s="119">
        <f t="shared" si="249"/>
        <v>0</v>
      </c>
      <c r="K1267" s="120">
        <f t="shared" si="250"/>
        <v>0</v>
      </c>
    </row>
    <row r="1268" spans="1:11" x14ac:dyDescent="0.3">
      <c r="A1268" s="116" t="s">
        <v>276</v>
      </c>
      <c r="B1268" s="117">
        <f>VLOOKUP(MID($A1268,1,2),'Free Spins Symbol'!$T$2:$Z$29,3,0)</f>
        <v>22</v>
      </c>
      <c r="C1268" s="129">
        <f>'Free Spins Symbol'!$W$18</f>
        <v>56</v>
      </c>
      <c r="D1268" s="129">
        <f>'Free Spins Symbol'!$X$18</f>
        <v>40</v>
      </c>
      <c r="E1268" s="129">
        <f>'Free Spins Symbol'!$Y$18</f>
        <v>32</v>
      </c>
      <c r="F1268" s="129">
        <f>'Free Spins Symbol'!$Z$18</f>
        <v>48</v>
      </c>
      <c r="G1268" s="100">
        <f>(B1268*C1268-B1266*C1266)*(D1268-D1258)*E1268*F1268</f>
        <v>0</v>
      </c>
      <c r="H1268" s="118" t="e">
        <f t="shared" si="245"/>
        <v>#DIV/0!</v>
      </c>
      <c r="I1268" s="100">
        <v>5</v>
      </c>
      <c r="J1268" s="119">
        <f t="shared" si="249"/>
        <v>0</v>
      </c>
      <c r="K1268" s="120">
        <f t="shared" si="250"/>
        <v>0</v>
      </c>
    </row>
    <row r="1269" spans="1:11" x14ac:dyDescent="0.3">
      <c r="A1269" s="116" t="s">
        <v>277</v>
      </c>
      <c r="B1269" s="117">
        <f>VLOOKUP(MID($A1269,1,2),'Free Spins Symbol'!$T$2:$Z$29,3,0)</f>
        <v>24</v>
      </c>
      <c r="C1269" s="129">
        <f>'Free Spins Symbol'!$W$18</f>
        <v>56</v>
      </c>
      <c r="D1269" s="129">
        <f>'Free Spins Symbol'!$X$18</f>
        <v>40</v>
      </c>
      <c r="E1269" s="129">
        <f>'Free Spins Symbol'!$Y$18</f>
        <v>32</v>
      </c>
      <c r="F1269" s="129">
        <f>'Free Spins Symbol'!$Z$18</f>
        <v>48</v>
      </c>
      <c r="G1269" s="100">
        <f>(B1269*C1269-B1266*C1266)*(D1269-D1259)*E1269*F1269</f>
        <v>0</v>
      </c>
      <c r="H1269" s="118" t="e">
        <f t="shared" si="245"/>
        <v>#DIV/0!</v>
      </c>
      <c r="I1269" s="100">
        <v>5</v>
      </c>
      <c r="J1269" s="119">
        <f t="shared" si="249"/>
        <v>0</v>
      </c>
      <c r="K1269" s="120">
        <f t="shared" si="250"/>
        <v>0</v>
      </c>
    </row>
    <row r="1270" spans="1:11" x14ac:dyDescent="0.3">
      <c r="A1270" s="116" t="s">
        <v>278</v>
      </c>
      <c r="B1270" s="117">
        <f>VLOOKUP(MID($A1270,1,2),'Free Spins Symbol'!$T$2:$Z$29,3,0)</f>
        <v>24</v>
      </c>
      <c r="C1270" s="129">
        <f>'Free Spins Symbol'!$W$18</f>
        <v>56</v>
      </c>
      <c r="D1270" s="129">
        <f>'Free Spins Symbol'!$X$18</f>
        <v>40</v>
      </c>
      <c r="E1270" s="129">
        <f>'Free Spins Symbol'!$Y$18</f>
        <v>32</v>
      </c>
      <c r="F1270" s="129">
        <f>'Free Spins Symbol'!$Z$18</f>
        <v>48</v>
      </c>
      <c r="G1270" s="100">
        <f>(B1270*C1270-B1266*C1266)*(D1270-D1260)*E1270*F1270</f>
        <v>0</v>
      </c>
      <c r="H1270" s="118" t="e">
        <f t="shared" si="245"/>
        <v>#DIV/0!</v>
      </c>
      <c r="I1270" s="100">
        <v>5</v>
      </c>
      <c r="J1270" s="119">
        <f t="shared" si="249"/>
        <v>0</v>
      </c>
      <c r="K1270" s="120">
        <f t="shared" si="250"/>
        <v>0</v>
      </c>
    </row>
    <row r="1271" spans="1:11" x14ac:dyDescent="0.3">
      <c r="A1271" s="122" t="s">
        <v>279</v>
      </c>
      <c r="B1271" s="117">
        <f>VLOOKUP(MID($A1271,1,2),'Free Spins Symbol'!$T$2:$Z$29,3,0)</f>
        <v>100</v>
      </c>
      <c r="C1271" s="117">
        <f>VLOOKUP(MID($A1271,4,2),'Free Spins Symbol'!$T$2:$Z$29,4,0)</f>
        <v>8</v>
      </c>
      <c r="D1271" s="117">
        <f>VLOOKUP(MID($A1271,7,2),'Free Spins Symbol'!$T$2:$Z$29,5,0)</f>
        <v>4</v>
      </c>
      <c r="E1271" s="117">
        <f>VLOOKUP(MID($A1271,10,2),'Free Spins Symbol'!$T$2:$Z$29,6,0)</f>
        <v>16</v>
      </c>
      <c r="F1271" s="117">
        <f>VLOOKUP(MID($A1271,13,2),'Free Spins Symbol'!$T$2:$Z$29,7,0)</f>
        <v>48</v>
      </c>
      <c r="G1271" s="100">
        <f>B1271*C1271*D1271*E1271*F1271</f>
        <v>2457600</v>
      </c>
      <c r="H1271" s="118">
        <f t="shared" si="245"/>
        <v>140</v>
      </c>
      <c r="I1271" s="123">
        <v>2</v>
      </c>
      <c r="J1271" s="124">
        <f t="shared" si="249"/>
        <v>1.4285714285714285E-2</v>
      </c>
      <c r="K1271" s="120">
        <f t="shared" si="250"/>
        <v>7.1428571428571426E-3</v>
      </c>
    </row>
    <row r="1273" spans="1:11" ht="16.8" thickBot="1" x14ac:dyDescent="0.35"/>
    <row r="1274" spans="1:11" ht="16.8" thickBot="1" x14ac:dyDescent="0.35">
      <c r="A1274" s="125" t="s">
        <v>320</v>
      </c>
    </row>
    <row r="1275" spans="1:11" ht="16.8" thickBot="1" x14ac:dyDescent="0.35">
      <c r="A1275" s="95" t="s">
        <v>280</v>
      </c>
      <c r="B1275" s="142">
        <f>B2</f>
        <v>344064000</v>
      </c>
      <c r="C1275" s="142"/>
      <c r="D1275" s="142"/>
      <c r="E1275" s="142"/>
      <c r="F1275" s="142"/>
      <c r="G1275" s="7"/>
      <c r="H1275" s="106"/>
      <c r="I1275" s="107" t="s">
        <v>281</v>
      </c>
      <c r="J1275" s="108">
        <f>SUM(J1277:J1311)</f>
        <v>500</v>
      </c>
      <c r="K1275" s="126">
        <f>SUM(K1277:K1312)</f>
        <v>1.0071428571428571</v>
      </c>
    </row>
    <row r="1276" spans="1:11" ht="33" thickBot="1" x14ac:dyDescent="0.35">
      <c r="A1276" s="109" t="s">
        <v>233</v>
      </c>
      <c r="B1276" s="110" t="s">
        <v>234</v>
      </c>
      <c r="C1276" s="110" t="s">
        <v>235</v>
      </c>
      <c r="D1276" s="110" t="s">
        <v>236</v>
      </c>
      <c r="E1276" s="110" t="s">
        <v>237</v>
      </c>
      <c r="F1276" s="110" t="s">
        <v>238</v>
      </c>
      <c r="G1276" s="111" t="s">
        <v>239</v>
      </c>
      <c r="H1276" s="112" t="s">
        <v>240</v>
      </c>
      <c r="I1276" s="113" t="s">
        <v>241</v>
      </c>
      <c r="J1276" s="114" t="s">
        <v>242</v>
      </c>
      <c r="K1276" s="115" t="s">
        <v>243</v>
      </c>
    </row>
    <row r="1277" spans="1:11" x14ac:dyDescent="0.3">
      <c r="A1277" s="116" t="s">
        <v>244</v>
      </c>
      <c r="B1277" s="129">
        <f>'Free Spins Symbol'!$V$18</f>
        <v>100</v>
      </c>
      <c r="C1277" s="129">
        <f>'Free Spins Symbol'!$W$18</f>
        <v>56</v>
      </c>
      <c r="D1277" s="129">
        <f>'Free Spins Symbol'!$X$18</f>
        <v>40</v>
      </c>
      <c r="E1277" s="129">
        <f>'Free Spins Symbol'!$Y$18</f>
        <v>32</v>
      </c>
      <c r="F1277" s="129">
        <f>'Free Spins Symbol'!$Z$18</f>
        <v>48</v>
      </c>
      <c r="G1277" s="100">
        <f>B1277*C1277*D1277*E1277*F1277</f>
        <v>344064000</v>
      </c>
      <c r="H1277" s="118">
        <f>B$2/G1277</f>
        <v>1</v>
      </c>
      <c r="I1277" s="100">
        <v>500</v>
      </c>
      <c r="J1277" s="119">
        <f t="shared" ref="J1277:J1281" si="252">K1277*I1277</f>
        <v>500</v>
      </c>
      <c r="K1277" s="120">
        <f>G1277/B$2</f>
        <v>1</v>
      </c>
    </row>
    <row r="1278" spans="1:11" x14ac:dyDescent="0.3">
      <c r="A1278" s="116" t="s">
        <v>245</v>
      </c>
      <c r="B1278" s="129">
        <f>'Free Spins Symbol'!$V$18</f>
        <v>100</v>
      </c>
      <c r="C1278" s="129">
        <f>'Free Spins Symbol'!$W$18</f>
        <v>56</v>
      </c>
      <c r="D1278" s="129">
        <f>'Free Spins Symbol'!$X$18</f>
        <v>40</v>
      </c>
      <c r="E1278" s="129">
        <f>'Free Spins Symbol'!$Y$18</f>
        <v>32</v>
      </c>
      <c r="F1278" s="129">
        <f>'Free Spins Symbol'!$Z$18</f>
        <v>48</v>
      </c>
      <c r="G1278" s="100">
        <f>B1278*C1278*D1278*E1278*F1278-G1277</f>
        <v>0</v>
      </c>
      <c r="H1278" s="118" t="e">
        <f t="shared" ref="H1278:H1312" si="253">B$2/G1278</f>
        <v>#DIV/0!</v>
      </c>
      <c r="I1278" s="100">
        <v>250</v>
      </c>
      <c r="J1278" s="119">
        <f t="shared" si="252"/>
        <v>0</v>
      </c>
      <c r="K1278" s="120">
        <f t="shared" ref="K1278:K1281" si="254">G1278/B$2</f>
        <v>0</v>
      </c>
    </row>
    <row r="1279" spans="1:11" x14ac:dyDescent="0.3">
      <c r="A1279" s="116" t="s">
        <v>246</v>
      </c>
      <c r="B1279" s="129">
        <f>'Free Spins Symbol'!$V$18</f>
        <v>100</v>
      </c>
      <c r="C1279" s="129">
        <f>'Free Spins Symbol'!$W$18</f>
        <v>56</v>
      </c>
      <c r="D1279" s="129">
        <f>'Free Spins Symbol'!$X$18</f>
        <v>40</v>
      </c>
      <c r="E1279" s="129">
        <f>'Free Spins Symbol'!$Y$18</f>
        <v>32</v>
      </c>
      <c r="F1279" s="129">
        <f>'Free Spins Symbol'!$Z$18</f>
        <v>48</v>
      </c>
      <c r="G1279" s="100">
        <f>B1279*C1279*D1279*E1279*F1279-G1277</f>
        <v>0</v>
      </c>
      <c r="H1279" s="118" t="e">
        <f t="shared" si="253"/>
        <v>#DIV/0!</v>
      </c>
      <c r="I1279" s="100">
        <v>250</v>
      </c>
      <c r="J1279" s="119">
        <f t="shared" si="252"/>
        <v>0</v>
      </c>
      <c r="K1279" s="120">
        <f t="shared" si="254"/>
        <v>0</v>
      </c>
    </row>
    <row r="1280" spans="1:11" x14ac:dyDescent="0.3">
      <c r="A1280" s="116" t="s">
        <v>247</v>
      </c>
      <c r="B1280" s="129">
        <f>'Free Spins Symbol'!$V$18</f>
        <v>100</v>
      </c>
      <c r="C1280" s="129">
        <f>'Free Spins Symbol'!$W$18</f>
        <v>56</v>
      </c>
      <c r="D1280" s="129">
        <f>'Free Spins Symbol'!$X$18</f>
        <v>40</v>
      </c>
      <c r="E1280" s="129">
        <f>'Free Spins Symbol'!$Y$18</f>
        <v>32</v>
      </c>
      <c r="F1280" s="129">
        <f>'Free Spins Symbol'!$Z$18</f>
        <v>48</v>
      </c>
      <c r="G1280" s="100">
        <f>B1280*C1280*D1280*E1280*F1280-G1277</f>
        <v>0</v>
      </c>
      <c r="H1280" s="118" t="e">
        <f t="shared" si="253"/>
        <v>#DIV/0!</v>
      </c>
      <c r="I1280" s="100">
        <v>150</v>
      </c>
      <c r="J1280" s="119">
        <f t="shared" si="252"/>
        <v>0</v>
      </c>
      <c r="K1280" s="120">
        <f t="shared" si="254"/>
        <v>0</v>
      </c>
    </row>
    <row r="1281" spans="1:11" x14ac:dyDescent="0.3">
      <c r="A1281" s="116" t="s">
        <v>248</v>
      </c>
      <c r="B1281" s="129">
        <f>'Free Spins Symbol'!$V$18</f>
        <v>100</v>
      </c>
      <c r="C1281" s="129">
        <f>'Free Spins Symbol'!$W$18</f>
        <v>56</v>
      </c>
      <c r="D1281" s="129">
        <f>'Free Spins Symbol'!$X$18</f>
        <v>40</v>
      </c>
      <c r="E1281" s="129">
        <f>'Free Spins Symbol'!$Y$18</f>
        <v>32</v>
      </c>
      <c r="F1281" s="129">
        <f>'Free Spins Symbol'!$Z$18</f>
        <v>48</v>
      </c>
      <c r="G1281" s="100">
        <f>B1281*C1281*D1281*E1281*F1281-G1277</f>
        <v>0</v>
      </c>
      <c r="H1281" s="118" t="e">
        <f t="shared" si="253"/>
        <v>#DIV/0!</v>
      </c>
      <c r="I1281" s="100">
        <v>150</v>
      </c>
      <c r="J1281" s="119">
        <f t="shared" si="252"/>
        <v>0</v>
      </c>
      <c r="K1281" s="120">
        <f t="shared" si="254"/>
        <v>0</v>
      </c>
    </row>
    <row r="1282" spans="1:11" x14ac:dyDescent="0.3">
      <c r="A1282" s="116" t="s">
        <v>254</v>
      </c>
      <c r="B1282" s="129">
        <f>'Free Spins Symbol'!$V$18</f>
        <v>100</v>
      </c>
      <c r="C1282" s="129">
        <f>'Free Spins Symbol'!$W$18</f>
        <v>56</v>
      </c>
      <c r="D1282" s="129">
        <f>'Free Spins Symbol'!$X$18</f>
        <v>40</v>
      </c>
      <c r="E1282" s="129">
        <f>'Free Spins Symbol'!$Y$18</f>
        <v>32</v>
      </c>
      <c r="F1282" s="129">
        <f>'Free Spins Symbol'!$Z$18</f>
        <v>48</v>
      </c>
      <c r="G1282" s="100">
        <f>B1282*C1282*D1282*E1282*(F1282-F1281-F1280-F1279-F1278+3*F1277)</f>
        <v>0</v>
      </c>
      <c r="H1282" s="118" t="e">
        <f t="shared" si="253"/>
        <v>#DIV/0!</v>
      </c>
      <c r="I1282" s="100">
        <v>100</v>
      </c>
      <c r="J1282" s="119">
        <f>K1282*I1282</f>
        <v>0</v>
      </c>
      <c r="K1282" s="120">
        <f>G1282/B$2</f>
        <v>0</v>
      </c>
    </row>
    <row r="1283" spans="1:11" x14ac:dyDescent="0.3">
      <c r="A1283" s="116" t="s">
        <v>249</v>
      </c>
      <c r="B1283" s="129">
        <f>'Free Spins Symbol'!$V$18</f>
        <v>100</v>
      </c>
      <c r="C1283" s="129">
        <f>'Free Spins Symbol'!$W$18</f>
        <v>56</v>
      </c>
      <c r="D1283" s="129">
        <f>'Free Spins Symbol'!$X$18</f>
        <v>40</v>
      </c>
      <c r="E1283" s="129">
        <f>'Free Spins Symbol'!$Y$18</f>
        <v>32</v>
      </c>
      <c r="F1283" s="129">
        <f>'Free Spins Symbol'!$Z$18</f>
        <v>48</v>
      </c>
      <c r="G1283" s="100">
        <f>B1283*C1283*D1283*E1283*F1283-G1277</f>
        <v>0</v>
      </c>
      <c r="H1283" s="118" t="e">
        <f t="shared" si="253"/>
        <v>#DIV/0!</v>
      </c>
      <c r="I1283" s="100">
        <v>100</v>
      </c>
      <c r="J1283" s="119">
        <f t="shared" ref="J1283:J1291" si="255">K1283*I1283</f>
        <v>0</v>
      </c>
      <c r="K1283" s="120">
        <f t="shared" ref="K1283:K1291" si="256">G1283/B$2</f>
        <v>0</v>
      </c>
    </row>
    <row r="1284" spans="1:11" x14ac:dyDescent="0.3">
      <c r="A1284" s="116" t="s">
        <v>250</v>
      </c>
      <c r="B1284" s="129">
        <f>'Free Spins Symbol'!$V$18</f>
        <v>100</v>
      </c>
      <c r="C1284" s="129">
        <f>'Free Spins Symbol'!$W$18</f>
        <v>56</v>
      </c>
      <c r="D1284" s="129">
        <f>'Free Spins Symbol'!$X$18</f>
        <v>40</v>
      </c>
      <c r="E1284" s="129">
        <f>'Free Spins Symbol'!$Y$18</f>
        <v>32</v>
      </c>
      <c r="F1284" s="129">
        <f>'Free Spins Symbol'!$Z$18</f>
        <v>48</v>
      </c>
      <c r="G1284" s="100">
        <f>B1284*C1284*D1284*E1284*F1284-G1277</f>
        <v>0</v>
      </c>
      <c r="H1284" s="118" t="e">
        <f t="shared" si="253"/>
        <v>#DIV/0!</v>
      </c>
      <c r="I1284" s="100">
        <v>100</v>
      </c>
      <c r="J1284" s="119">
        <f t="shared" si="255"/>
        <v>0</v>
      </c>
      <c r="K1284" s="120">
        <f t="shared" si="256"/>
        <v>0</v>
      </c>
    </row>
    <row r="1285" spans="1:11" x14ac:dyDescent="0.3">
      <c r="A1285" s="116" t="s">
        <v>251</v>
      </c>
      <c r="B1285" s="129">
        <f>'Free Spins Symbol'!$V$18</f>
        <v>100</v>
      </c>
      <c r="C1285" s="129">
        <f>'Free Spins Symbol'!$W$18</f>
        <v>56</v>
      </c>
      <c r="D1285" s="129">
        <f>'Free Spins Symbol'!$X$18</f>
        <v>40</v>
      </c>
      <c r="E1285" s="129">
        <f>'Free Spins Symbol'!$Y$18</f>
        <v>32</v>
      </c>
      <c r="F1285" s="129">
        <f>'Free Spins Symbol'!$Z$18</f>
        <v>48</v>
      </c>
      <c r="G1285" s="100">
        <f>B1285*C1285*D1285*E1285*F1285-G1277</f>
        <v>0</v>
      </c>
      <c r="H1285" s="118" t="e">
        <f t="shared" si="253"/>
        <v>#DIV/0!</v>
      </c>
      <c r="I1285" s="100">
        <v>100</v>
      </c>
      <c r="J1285" s="119">
        <f t="shared" si="255"/>
        <v>0</v>
      </c>
      <c r="K1285" s="120">
        <f t="shared" si="256"/>
        <v>0</v>
      </c>
    </row>
    <row r="1286" spans="1:11" x14ac:dyDescent="0.3">
      <c r="A1286" s="116" t="s">
        <v>252</v>
      </c>
      <c r="B1286" s="129">
        <f>'Free Spins Symbol'!$V$18</f>
        <v>100</v>
      </c>
      <c r="C1286" s="129">
        <f>'Free Spins Symbol'!$W$18</f>
        <v>56</v>
      </c>
      <c r="D1286" s="129">
        <f>'Free Spins Symbol'!$X$18</f>
        <v>40</v>
      </c>
      <c r="E1286" s="129">
        <f>'Free Spins Symbol'!$Y$18</f>
        <v>32</v>
      </c>
      <c r="F1286" s="129">
        <f>'Free Spins Symbol'!$Z$18</f>
        <v>48</v>
      </c>
      <c r="G1286" s="100">
        <f>(B1286*C1286*D1286*E1286-B1282*C1282*D1282*E1282)*F1286</f>
        <v>0</v>
      </c>
      <c r="H1286" s="118" t="e">
        <f t="shared" si="253"/>
        <v>#DIV/0!</v>
      </c>
      <c r="I1286" s="100">
        <v>100</v>
      </c>
      <c r="J1286" s="119">
        <f t="shared" si="255"/>
        <v>0</v>
      </c>
      <c r="K1286" s="120">
        <f t="shared" si="256"/>
        <v>0</v>
      </c>
    </row>
    <row r="1287" spans="1:11" x14ac:dyDescent="0.3">
      <c r="A1287" s="116" t="s">
        <v>253</v>
      </c>
      <c r="B1287" s="129">
        <f>'Free Spins Symbol'!$V$18</f>
        <v>100</v>
      </c>
      <c r="C1287" s="129">
        <f>'Free Spins Symbol'!$W$18</f>
        <v>56</v>
      </c>
      <c r="D1287" s="129">
        <f>'Free Spins Symbol'!$X$18</f>
        <v>40</v>
      </c>
      <c r="E1287" s="129">
        <f>'Free Spins Symbol'!$Y$18</f>
        <v>32</v>
      </c>
      <c r="F1287" s="129">
        <f>'Free Spins Symbol'!$Z$18</f>
        <v>48</v>
      </c>
      <c r="G1287" s="100">
        <f>B1287*C1287*D1287*E1287*F1287-G1277</f>
        <v>0</v>
      </c>
      <c r="H1287" s="118" t="e">
        <f t="shared" si="253"/>
        <v>#DIV/0!</v>
      </c>
      <c r="I1287" s="100">
        <v>100</v>
      </c>
      <c r="J1287" s="119">
        <f t="shared" si="255"/>
        <v>0</v>
      </c>
      <c r="K1287" s="120">
        <f t="shared" si="256"/>
        <v>0</v>
      </c>
    </row>
    <row r="1288" spans="1:11" x14ac:dyDescent="0.3">
      <c r="A1288" s="116" t="s">
        <v>255</v>
      </c>
      <c r="B1288" s="129">
        <f>'Free Spins Symbol'!$V$18</f>
        <v>100</v>
      </c>
      <c r="C1288" s="129">
        <f>'Free Spins Symbol'!$W$18</f>
        <v>56</v>
      </c>
      <c r="D1288" s="129">
        <f>'Free Spins Symbol'!$X$18</f>
        <v>40</v>
      </c>
      <c r="E1288" s="129">
        <f>'Free Spins Symbol'!$Y$18</f>
        <v>32</v>
      </c>
      <c r="F1288" s="129">
        <f>'Free Spins Symbol'!$Z$18</f>
        <v>48</v>
      </c>
      <c r="G1288" s="100">
        <f>(B1288*C1288*D1288*E1288-B1282*C1282*D1282*E1282)*(F1288-F1278)</f>
        <v>0</v>
      </c>
      <c r="H1288" s="118" t="e">
        <f t="shared" si="253"/>
        <v>#DIV/0!</v>
      </c>
      <c r="I1288" s="100">
        <v>50</v>
      </c>
      <c r="J1288" s="119">
        <f t="shared" si="255"/>
        <v>0</v>
      </c>
      <c r="K1288" s="120">
        <f t="shared" si="256"/>
        <v>0</v>
      </c>
    </row>
    <row r="1289" spans="1:11" x14ac:dyDescent="0.3">
      <c r="A1289" s="116" t="s">
        <v>256</v>
      </c>
      <c r="B1289" s="129">
        <f>'Free Spins Symbol'!$V$18</f>
        <v>100</v>
      </c>
      <c r="C1289" s="129">
        <f>'Free Spins Symbol'!$W$18</f>
        <v>56</v>
      </c>
      <c r="D1289" s="129">
        <f>'Free Spins Symbol'!$X$18</f>
        <v>40</v>
      </c>
      <c r="E1289" s="129">
        <f>'Free Spins Symbol'!$Y$18</f>
        <v>32</v>
      </c>
      <c r="F1289" s="129">
        <f>'Free Spins Symbol'!$Z$18</f>
        <v>48</v>
      </c>
      <c r="G1289" s="100">
        <f>(B1289*C1289*D1289*E1289-B1282*C1282*D1282*E1282)*(F1289-F1279)</f>
        <v>0</v>
      </c>
      <c r="H1289" s="118" t="e">
        <f t="shared" si="253"/>
        <v>#DIV/0!</v>
      </c>
      <c r="I1289" s="100">
        <v>50</v>
      </c>
      <c r="J1289" s="119">
        <f t="shared" si="255"/>
        <v>0</v>
      </c>
      <c r="K1289" s="120">
        <f t="shared" si="256"/>
        <v>0</v>
      </c>
    </row>
    <row r="1290" spans="1:11" x14ac:dyDescent="0.3">
      <c r="A1290" s="116" t="s">
        <v>257</v>
      </c>
      <c r="B1290" s="129">
        <f>'Free Spins Symbol'!$V$18</f>
        <v>100</v>
      </c>
      <c r="C1290" s="129">
        <f>'Free Spins Symbol'!$W$18</f>
        <v>56</v>
      </c>
      <c r="D1290" s="129">
        <f>'Free Spins Symbol'!$X$18</f>
        <v>40</v>
      </c>
      <c r="E1290" s="129">
        <f>'Free Spins Symbol'!$Y$18</f>
        <v>32</v>
      </c>
      <c r="F1290" s="129">
        <f>'Free Spins Symbol'!$Z$18</f>
        <v>48</v>
      </c>
      <c r="G1290" s="100">
        <f>(B1290*C1290*D1290*E1290-B1282*C1282*D1282*E1282)*(F1290-F1280)</f>
        <v>0</v>
      </c>
      <c r="H1290" s="118" t="e">
        <f t="shared" si="253"/>
        <v>#DIV/0!</v>
      </c>
      <c r="I1290" s="100">
        <v>30</v>
      </c>
      <c r="J1290" s="119">
        <f t="shared" si="255"/>
        <v>0</v>
      </c>
      <c r="K1290" s="120">
        <f t="shared" si="256"/>
        <v>0</v>
      </c>
    </row>
    <row r="1291" spans="1:11" x14ac:dyDescent="0.3">
      <c r="A1291" s="116" t="s">
        <v>258</v>
      </c>
      <c r="B1291" s="129">
        <f>'Free Spins Symbol'!$V$18</f>
        <v>100</v>
      </c>
      <c r="C1291" s="129">
        <f>'Free Spins Symbol'!$W$18</f>
        <v>56</v>
      </c>
      <c r="D1291" s="129">
        <f>'Free Spins Symbol'!$X$18</f>
        <v>40</v>
      </c>
      <c r="E1291" s="129">
        <f>'Free Spins Symbol'!$Y$18</f>
        <v>32</v>
      </c>
      <c r="F1291" s="129">
        <f>'Free Spins Symbol'!$Z$18</f>
        <v>48</v>
      </c>
      <c r="G1291" s="100">
        <f>(B1291*C1291*D1291*E1291-B1282*C1282*D1282*E1282)*(F1291-F1281)</f>
        <v>0</v>
      </c>
      <c r="H1291" s="118" t="e">
        <f t="shared" si="253"/>
        <v>#DIV/0!</v>
      </c>
      <c r="I1291" s="100">
        <v>30</v>
      </c>
      <c r="J1291" s="119">
        <f t="shared" si="255"/>
        <v>0</v>
      </c>
      <c r="K1291" s="120">
        <f t="shared" si="256"/>
        <v>0</v>
      </c>
    </row>
    <row r="1292" spans="1:11" x14ac:dyDescent="0.3">
      <c r="A1292" s="116" t="s">
        <v>264</v>
      </c>
      <c r="B1292" s="129">
        <f>'Free Spins Symbol'!$V$18</f>
        <v>100</v>
      </c>
      <c r="C1292" s="129">
        <f>'Free Spins Symbol'!$W$18</f>
        <v>56</v>
      </c>
      <c r="D1292" s="129">
        <f>'Free Spins Symbol'!$X$18</f>
        <v>40</v>
      </c>
      <c r="E1292" s="129">
        <f>'Free Spins Symbol'!$Y$18</f>
        <v>32</v>
      </c>
      <c r="F1292" s="129">
        <f>'Free Spins Symbol'!$Z$18</f>
        <v>48</v>
      </c>
      <c r="G1292" s="100">
        <f>(B1292*C1292*D1292)*(E1292*F1292-(E1291+E1290+E1289+E1288-3*E1282)*F1282-(E1287-E1282)*F1287-(E1286-E1282)*F1286-(E1285-E1282)*F1285-(E1284-E1282)*F1284-(E1283-E1282)*F1283)</f>
        <v>0</v>
      </c>
      <c r="H1292" s="118" t="e">
        <f t="shared" si="253"/>
        <v>#DIV/0!</v>
      </c>
      <c r="I1292" s="100">
        <v>20</v>
      </c>
      <c r="J1292" s="119">
        <f>K1292*I1292</f>
        <v>0</v>
      </c>
      <c r="K1292" s="120">
        <f>G1292/B$2</f>
        <v>0</v>
      </c>
    </row>
    <row r="1293" spans="1:11" x14ac:dyDescent="0.3">
      <c r="A1293" s="116" t="s">
        <v>259</v>
      </c>
      <c r="B1293" s="129">
        <f>'Free Spins Symbol'!$V$18</f>
        <v>100</v>
      </c>
      <c r="C1293" s="129">
        <f>'Free Spins Symbol'!$W$18</f>
        <v>56</v>
      </c>
      <c r="D1293" s="129">
        <f>'Free Spins Symbol'!$X$18</f>
        <v>40</v>
      </c>
      <c r="E1293" s="129">
        <f>'Free Spins Symbol'!$Y$18</f>
        <v>32</v>
      </c>
      <c r="F1293" s="129">
        <f>'Free Spins Symbol'!$Z$18</f>
        <v>48</v>
      </c>
      <c r="G1293" s="100">
        <f>B1293*C1293*D1293*E1293*(F1293-F1283)</f>
        <v>0</v>
      </c>
      <c r="H1293" s="118" t="e">
        <f t="shared" si="253"/>
        <v>#DIV/0!</v>
      </c>
      <c r="I1293" s="100">
        <v>20</v>
      </c>
      <c r="J1293" s="119">
        <f t="shared" ref="J1293:J1312" si="257">K1293*I1293</f>
        <v>0</v>
      </c>
      <c r="K1293" s="120">
        <f t="shared" ref="K1293:K1312" si="258">G1293/B$2</f>
        <v>0</v>
      </c>
    </row>
    <row r="1294" spans="1:11" x14ac:dyDescent="0.3">
      <c r="A1294" s="116" t="s">
        <v>260</v>
      </c>
      <c r="B1294" s="129">
        <f>'Free Spins Symbol'!$V$18</f>
        <v>100</v>
      </c>
      <c r="C1294" s="129">
        <f>'Free Spins Symbol'!$W$18</f>
        <v>56</v>
      </c>
      <c r="D1294" s="129">
        <f>'Free Spins Symbol'!$X$18</f>
        <v>40</v>
      </c>
      <c r="E1294" s="129">
        <f>'Free Spins Symbol'!$Y$18</f>
        <v>32</v>
      </c>
      <c r="F1294" s="129">
        <f>'Free Spins Symbol'!$Z$18</f>
        <v>48</v>
      </c>
      <c r="G1294" s="100">
        <f t="shared" ref="G1294:G1297" si="259">B1294*C1294*D1294*E1294*(F1294-F1284)</f>
        <v>0</v>
      </c>
      <c r="H1294" s="118" t="e">
        <f t="shared" si="253"/>
        <v>#DIV/0!</v>
      </c>
      <c r="I1294" s="100">
        <v>20</v>
      </c>
      <c r="J1294" s="119">
        <f t="shared" si="257"/>
        <v>0</v>
      </c>
      <c r="K1294" s="120">
        <f t="shared" si="258"/>
        <v>0</v>
      </c>
    </row>
    <row r="1295" spans="1:11" x14ac:dyDescent="0.3">
      <c r="A1295" s="116" t="s">
        <v>261</v>
      </c>
      <c r="B1295" s="129">
        <f>'Free Spins Symbol'!$V$18</f>
        <v>100</v>
      </c>
      <c r="C1295" s="129">
        <f>'Free Spins Symbol'!$W$18</f>
        <v>56</v>
      </c>
      <c r="D1295" s="129">
        <f>'Free Spins Symbol'!$X$18</f>
        <v>40</v>
      </c>
      <c r="E1295" s="129">
        <f>'Free Spins Symbol'!$Y$18</f>
        <v>32</v>
      </c>
      <c r="F1295" s="129">
        <f>'Free Spins Symbol'!$Z$18</f>
        <v>48</v>
      </c>
      <c r="G1295" s="100">
        <f t="shared" si="259"/>
        <v>0</v>
      </c>
      <c r="H1295" s="118" t="e">
        <f t="shared" si="253"/>
        <v>#DIV/0!</v>
      </c>
      <c r="I1295" s="100">
        <v>20</v>
      </c>
      <c r="J1295" s="119">
        <f t="shared" si="257"/>
        <v>0</v>
      </c>
      <c r="K1295" s="120">
        <f t="shared" si="258"/>
        <v>0</v>
      </c>
    </row>
    <row r="1296" spans="1:11" x14ac:dyDescent="0.3">
      <c r="A1296" s="116" t="s">
        <v>262</v>
      </c>
      <c r="B1296" s="129">
        <f>'Free Spins Symbol'!$V$18</f>
        <v>100</v>
      </c>
      <c r="C1296" s="129">
        <f>'Free Spins Symbol'!$W$18</f>
        <v>56</v>
      </c>
      <c r="D1296" s="129">
        <f>'Free Spins Symbol'!$X$18</f>
        <v>40</v>
      </c>
      <c r="E1296" s="129">
        <f>'Free Spins Symbol'!$Y$18</f>
        <v>32</v>
      </c>
      <c r="F1296" s="129">
        <f>'Free Spins Symbol'!$Z$18</f>
        <v>48</v>
      </c>
      <c r="G1296" s="100">
        <f t="shared" si="259"/>
        <v>0</v>
      </c>
      <c r="H1296" s="118" t="e">
        <f t="shared" si="253"/>
        <v>#DIV/0!</v>
      </c>
      <c r="I1296" s="100">
        <v>20</v>
      </c>
      <c r="J1296" s="119">
        <f t="shared" si="257"/>
        <v>0</v>
      </c>
      <c r="K1296" s="120">
        <f t="shared" si="258"/>
        <v>0</v>
      </c>
    </row>
    <row r="1297" spans="1:11" x14ac:dyDescent="0.3">
      <c r="A1297" s="116" t="s">
        <v>263</v>
      </c>
      <c r="B1297" s="129">
        <f>'Free Spins Symbol'!$V$18</f>
        <v>100</v>
      </c>
      <c r="C1297" s="129">
        <f>'Free Spins Symbol'!$W$18</f>
        <v>56</v>
      </c>
      <c r="D1297" s="129">
        <f>'Free Spins Symbol'!$X$18</f>
        <v>40</v>
      </c>
      <c r="E1297" s="129">
        <f>'Free Spins Symbol'!$Y$18</f>
        <v>32</v>
      </c>
      <c r="F1297" s="129">
        <f>'Free Spins Symbol'!$Z$18</f>
        <v>48</v>
      </c>
      <c r="G1297" s="100">
        <f t="shared" si="259"/>
        <v>0</v>
      </c>
      <c r="H1297" s="118" t="e">
        <f t="shared" si="253"/>
        <v>#DIV/0!</v>
      </c>
      <c r="I1297" s="100">
        <v>20</v>
      </c>
      <c r="J1297" s="119">
        <f t="shared" si="257"/>
        <v>0</v>
      </c>
      <c r="K1297" s="120">
        <f t="shared" si="258"/>
        <v>0</v>
      </c>
    </row>
    <row r="1298" spans="1:11" x14ac:dyDescent="0.3">
      <c r="A1298" s="116" t="s">
        <v>265</v>
      </c>
      <c r="B1298" s="129">
        <f>'Free Spins Symbol'!$V$18</f>
        <v>100</v>
      </c>
      <c r="C1298" s="129">
        <f>'Free Spins Symbol'!$W$18</f>
        <v>56</v>
      </c>
      <c r="D1298" s="129">
        <f>'Free Spins Symbol'!$X$18</f>
        <v>40</v>
      </c>
      <c r="E1298" s="129">
        <f>'Free Spins Symbol'!$Y$18</f>
        <v>32</v>
      </c>
      <c r="F1298" s="129">
        <f>'Free Spins Symbol'!$Z$18</f>
        <v>48</v>
      </c>
      <c r="G1298" s="100">
        <f>(B1298*C1298*D1298)*(E1298-E1288)*F1298</f>
        <v>0</v>
      </c>
      <c r="H1298" s="118" t="e">
        <f t="shared" si="253"/>
        <v>#DIV/0!</v>
      </c>
      <c r="I1298" s="100">
        <v>20</v>
      </c>
      <c r="J1298" s="119">
        <f t="shared" si="257"/>
        <v>0</v>
      </c>
      <c r="K1298" s="120">
        <f t="shared" si="258"/>
        <v>0</v>
      </c>
    </row>
    <row r="1299" spans="1:11" x14ac:dyDescent="0.3">
      <c r="A1299" s="116" t="s">
        <v>266</v>
      </c>
      <c r="B1299" s="129">
        <f>'Free Spins Symbol'!$V$18</f>
        <v>100</v>
      </c>
      <c r="C1299" s="129">
        <f>'Free Spins Symbol'!$W$18</f>
        <v>56</v>
      </c>
      <c r="D1299" s="129">
        <f>'Free Spins Symbol'!$X$18</f>
        <v>40</v>
      </c>
      <c r="E1299" s="129">
        <f>'Free Spins Symbol'!$Y$18</f>
        <v>32</v>
      </c>
      <c r="F1299" s="129">
        <f>'Free Spins Symbol'!$Z$18</f>
        <v>48</v>
      </c>
      <c r="G1299" s="100">
        <f>(B1299*C1299*D1299)*(E1299-E1289)*F1299</f>
        <v>0</v>
      </c>
      <c r="H1299" s="118" t="e">
        <f t="shared" si="253"/>
        <v>#DIV/0!</v>
      </c>
      <c r="I1299" s="100">
        <v>20</v>
      </c>
      <c r="J1299" s="119">
        <f t="shared" si="257"/>
        <v>0</v>
      </c>
      <c r="K1299" s="120">
        <f t="shared" si="258"/>
        <v>0</v>
      </c>
    </row>
    <row r="1300" spans="1:11" x14ac:dyDescent="0.3">
      <c r="A1300" s="116" t="s">
        <v>267</v>
      </c>
      <c r="B1300" s="129">
        <f>'Free Spins Symbol'!$V$18</f>
        <v>100</v>
      </c>
      <c r="C1300" s="129">
        <f>'Free Spins Symbol'!$W$18</f>
        <v>56</v>
      </c>
      <c r="D1300" s="129">
        <f>'Free Spins Symbol'!$X$18</f>
        <v>40</v>
      </c>
      <c r="E1300" s="129">
        <f>'Free Spins Symbol'!$Y$18</f>
        <v>32</v>
      </c>
      <c r="F1300" s="129">
        <f>'Free Spins Symbol'!$Z$18</f>
        <v>48</v>
      </c>
      <c r="G1300" s="100">
        <f>(B1300*C1300*D1300-B1292*C1292*D1292)*(E1300-E1290)*F1300</f>
        <v>0</v>
      </c>
      <c r="H1300" s="118" t="e">
        <f t="shared" si="253"/>
        <v>#DIV/0!</v>
      </c>
      <c r="I1300" s="100">
        <v>10</v>
      </c>
      <c r="J1300" s="119">
        <f t="shared" si="257"/>
        <v>0</v>
      </c>
      <c r="K1300" s="120">
        <f t="shared" si="258"/>
        <v>0</v>
      </c>
    </row>
    <row r="1301" spans="1:11" x14ac:dyDescent="0.3">
      <c r="A1301" s="116" t="s">
        <v>268</v>
      </c>
      <c r="B1301" s="129">
        <f>'Free Spins Symbol'!$V$18</f>
        <v>100</v>
      </c>
      <c r="C1301" s="129">
        <f>'Free Spins Symbol'!$W$18</f>
        <v>56</v>
      </c>
      <c r="D1301" s="129">
        <f>'Free Spins Symbol'!$X$18</f>
        <v>40</v>
      </c>
      <c r="E1301" s="129">
        <f>'Free Spins Symbol'!$Y$18</f>
        <v>32</v>
      </c>
      <c r="F1301" s="129">
        <f>'Free Spins Symbol'!$Z$18</f>
        <v>48</v>
      </c>
      <c r="G1301" s="100">
        <f>(B1301*C1301*D1301-B1292*C1292*D1292)*(E1301-E1291)*F1301</f>
        <v>0</v>
      </c>
      <c r="H1301" s="118" t="e">
        <f t="shared" si="253"/>
        <v>#DIV/0!</v>
      </c>
      <c r="I1301" s="100">
        <v>10</v>
      </c>
      <c r="J1301" s="119">
        <f t="shared" si="257"/>
        <v>0</v>
      </c>
      <c r="K1301" s="120">
        <f t="shared" si="258"/>
        <v>0</v>
      </c>
    </row>
    <row r="1302" spans="1:11" x14ac:dyDescent="0.3">
      <c r="A1302" s="116" t="s">
        <v>269</v>
      </c>
      <c r="B1302" s="129">
        <f>'Free Spins Symbol'!$V$18</f>
        <v>100</v>
      </c>
      <c r="C1302" s="129">
        <f>'Free Spins Symbol'!$W$18</f>
        <v>56</v>
      </c>
      <c r="D1302" s="129">
        <f>'Free Spins Symbol'!$X$18</f>
        <v>40</v>
      </c>
      <c r="E1302" s="129">
        <f>'Free Spins Symbol'!$Y$18</f>
        <v>32</v>
      </c>
      <c r="F1302" s="129">
        <f>'Free Spins Symbol'!$Z$18</f>
        <v>48</v>
      </c>
      <c r="G1302" s="100">
        <f>(B1302*C1302*D1302-B1292*C1292*D1292)*(E1302-E1293)*F1302</f>
        <v>0</v>
      </c>
      <c r="H1302" s="118" t="e">
        <f t="shared" si="253"/>
        <v>#DIV/0!</v>
      </c>
      <c r="I1302" s="100">
        <v>5</v>
      </c>
      <c r="J1302" s="119">
        <f t="shared" si="257"/>
        <v>0</v>
      </c>
      <c r="K1302" s="120">
        <f t="shared" si="258"/>
        <v>0</v>
      </c>
    </row>
    <row r="1303" spans="1:11" x14ac:dyDescent="0.3">
      <c r="A1303" s="116" t="s">
        <v>270</v>
      </c>
      <c r="B1303" s="129">
        <f>'Free Spins Symbol'!$V$18</f>
        <v>100</v>
      </c>
      <c r="C1303" s="129">
        <f>'Free Spins Symbol'!$W$18</f>
        <v>56</v>
      </c>
      <c r="D1303" s="129">
        <f>'Free Spins Symbol'!$X$18</f>
        <v>40</v>
      </c>
      <c r="E1303" s="129">
        <f>'Free Spins Symbol'!$Y$18</f>
        <v>32</v>
      </c>
      <c r="F1303" s="129">
        <f>'Free Spins Symbol'!$Z$18</f>
        <v>48</v>
      </c>
      <c r="G1303" s="100">
        <f>(B1303*C1303*D1303-B1292*C1292*D1292)*(E1303-E1294)*F1303</f>
        <v>0</v>
      </c>
      <c r="H1303" s="118" t="e">
        <f t="shared" si="253"/>
        <v>#DIV/0!</v>
      </c>
      <c r="I1303" s="100">
        <v>5</v>
      </c>
      <c r="J1303" s="119">
        <f t="shared" si="257"/>
        <v>0</v>
      </c>
      <c r="K1303" s="120">
        <f t="shared" si="258"/>
        <v>0</v>
      </c>
    </row>
    <row r="1304" spans="1:11" x14ac:dyDescent="0.3">
      <c r="A1304" s="116" t="s">
        <v>271</v>
      </c>
      <c r="B1304" s="129">
        <f>'Free Spins Symbol'!$V$18</f>
        <v>100</v>
      </c>
      <c r="C1304" s="129">
        <f>'Free Spins Symbol'!$W$18</f>
        <v>56</v>
      </c>
      <c r="D1304" s="129">
        <f>'Free Spins Symbol'!$X$18</f>
        <v>40</v>
      </c>
      <c r="E1304" s="129">
        <f>'Free Spins Symbol'!$Y$18</f>
        <v>32</v>
      </c>
      <c r="F1304" s="129">
        <f>'Free Spins Symbol'!$Z$18</f>
        <v>48</v>
      </c>
      <c r="G1304" s="100">
        <f>(B1304*C1304*D1304-B1292*C1292*D1292)*(E1304-E1295)*F1304</f>
        <v>0</v>
      </c>
      <c r="H1304" s="118" t="e">
        <f t="shared" si="253"/>
        <v>#DIV/0!</v>
      </c>
      <c r="I1304" s="100">
        <v>5</v>
      </c>
      <c r="J1304" s="119">
        <f t="shared" si="257"/>
        <v>0</v>
      </c>
      <c r="K1304" s="120">
        <f t="shared" si="258"/>
        <v>0</v>
      </c>
    </row>
    <row r="1305" spans="1:11" x14ac:dyDescent="0.3">
      <c r="A1305" s="116" t="s">
        <v>272</v>
      </c>
      <c r="B1305" s="129">
        <f>'Free Spins Symbol'!$V$18</f>
        <v>100</v>
      </c>
      <c r="C1305" s="129">
        <f>'Free Spins Symbol'!$W$18</f>
        <v>56</v>
      </c>
      <c r="D1305" s="129">
        <f>'Free Spins Symbol'!$X$18</f>
        <v>40</v>
      </c>
      <c r="E1305" s="129">
        <f>'Free Spins Symbol'!$Y$18</f>
        <v>32</v>
      </c>
      <c r="F1305" s="129">
        <f>'Free Spins Symbol'!$Z$18</f>
        <v>48</v>
      </c>
      <c r="G1305" s="100">
        <f>(B1305*C1305*D1305-B1292*C1292*D1292)*(E1305-E1296)*F1305</f>
        <v>0</v>
      </c>
      <c r="H1305" s="118" t="e">
        <f t="shared" si="253"/>
        <v>#DIV/0!</v>
      </c>
      <c r="I1305" s="100">
        <v>5</v>
      </c>
      <c r="J1305" s="119">
        <f t="shared" si="257"/>
        <v>0</v>
      </c>
      <c r="K1305" s="120">
        <f t="shared" si="258"/>
        <v>0</v>
      </c>
    </row>
    <row r="1306" spans="1:11" x14ac:dyDescent="0.3">
      <c r="A1306" s="116" t="s">
        <v>273</v>
      </c>
      <c r="B1306" s="129">
        <f>'Free Spins Symbol'!$V$18</f>
        <v>100</v>
      </c>
      <c r="C1306" s="129">
        <f>'Free Spins Symbol'!$W$18</f>
        <v>56</v>
      </c>
      <c r="D1306" s="129">
        <f>'Free Spins Symbol'!$X$18</f>
        <v>40</v>
      </c>
      <c r="E1306" s="129">
        <f>'Free Spins Symbol'!$Y$18</f>
        <v>32</v>
      </c>
      <c r="F1306" s="129">
        <f>'Free Spins Symbol'!$Z$18</f>
        <v>48</v>
      </c>
      <c r="G1306" s="100">
        <f t="shared" ref="G1306" si="260">(B1306*C1306*D1306-B1294*C1294*D1294)*(E1306-E1297)*F1306</f>
        <v>0</v>
      </c>
      <c r="H1306" s="118" t="e">
        <f t="shared" si="253"/>
        <v>#DIV/0!</v>
      </c>
      <c r="I1306" s="100">
        <v>5</v>
      </c>
      <c r="J1306" s="119">
        <f t="shared" si="257"/>
        <v>0</v>
      </c>
      <c r="K1306" s="120">
        <f t="shared" si="258"/>
        <v>0</v>
      </c>
    </row>
    <row r="1307" spans="1:11" x14ac:dyDescent="0.3">
      <c r="A1307" s="116" t="s">
        <v>274</v>
      </c>
      <c r="B1307" s="129">
        <f>'Free Spins Symbol'!$V$18</f>
        <v>100</v>
      </c>
      <c r="C1307" s="129">
        <f>'Free Spins Symbol'!$W$18</f>
        <v>56</v>
      </c>
      <c r="D1307" s="129">
        <f>'Free Spins Symbol'!$X$18</f>
        <v>40</v>
      </c>
      <c r="E1307" s="129">
        <f>'Free Spins Symbol'!$Y$18</f>
        <v>32</v>
      </c>
      <c r="F1307" s="129">
        <f>'Free Spins Symbol'!$Z$18</f>
        <v>48</v>
      </c>
      <c r="G1307" s="100">
        <f>B1307*C1307*(D1307-D1306-D1305-D1304-D1303-D1302-D1301-D1300-D1299-D1298+8*D1292)*E1307*F1307</f>
        <v>0</v>
      </c>
      <c r="H1307" s="118" t="e">
        <f t="shared" si="253"/>
        <v>#DIV/0!</v>
      </c>
      <c r="I1307" s="100">
        <v>5</v>
      </c>
      <c r="J1307" s="119">
        <f t="shared" si="257"/>
        <v>0</v>
      </c>
      <c r="K1307" s="120">
        <f t="shared" si="258"/>
        <v>0</v>
      </c>
    </row>
    <row r="1308" spans="1:11" x14ac:dyDescent="0.3">
      <c r="A1308" s="116" t="s">
        <v>275</v>
      </c>
      <c r="B1308" s="129">
        <f>'Free Spins Symbol'!$V$18</f>
        <v>100</v>
      </c>
      <c r="C1308" s="129">
        <f>'Free Spins Symbol'!$W$18</f>
        <v>56</v>
      </c>
      <c r="D1308" s="129">
        <f>'Free Spins Symbol'!$X$18</f>
        <v>40</v>
      </c>
      <c r="E1308" s="129">
        <f>'Free Spins Symbol'!$Y$18</f>
        <v>32</v>
      </c>
      <c r="F1308" s="129">
        <f>'Free Spins Symbol'!$Z$18</f>
        <v>48</v>
      </c>
      <c r="G1308" s="100">
        <f>(B1308*C1308-B1307*C1307)*(D1308-D1298)*E1308*F1308</f>
        <v>0</v>
      </c>
      <c r="H1308" s="118" t="e">
        <f t="shared" si="253"/>
        <v>#DIV/0!</v>
      </c>
      <c r="I1308" s="100">
        <v>5</v>
      </c>
      <c r="J1308" s="119">
        <f t="shared" si="257"/>
        <v>0</v>
      </c>
      <c r="K1308" s="120">
        <f t="shared" si="258"/>
        <v>0</v>
      </c>
    </row>
    <row r="1309" spans="1:11" x14ac:dyDescent="0.3">
      <c r="A1309" s="116" t="s">
        <v>276</v>
      </c>
      <c r="B1309" s="129">
        <f>'Free Spins Symbol'!$V$18</f>
        <v>100</v>
      </c>
      <c r="C1309" s="129">
        <f>'Free Spins Symbol'!$W$18</f>
        <v>56</v>
      </c>
      <c r="D1309" s="129">
        <f>'Free Spins Symbol'!$X$18</f>
        <v>40</v>
      </c>
      <c r="E1309" s="129">
        <f>'Free Spins Symbol'!$Y$18</f>
        <v>32</v>
      </c>
      <c r="F1309" s="129">
        <f>'Free Spins Symbol'!$Z$18</f>
        <v>48</v>
      </c>
      <c r="G1309" s="100">
        <f>(B1309*C1309-B1307*C1307)*(D1309-D1299)*E1309*F1309</f>
        <v>0</v>
      </c>
      <c r="H1309" s="118" t="e">
        <f t="shared" si="253"/>
        <v>#DIV/0!</v>
      </c>
      <c r="I1309" s="100">
        <v>5</v>
      </c>
      <c r="J1309" s="119">
        <f t="shared" si="257"/>
        <v>0</v>
      </c>
      <c r="K1309" s="120">
        <f t="shared" si="258"/>
        <v>0</v>
      </c>
    </row>
    <row r="1310" spans="1:11" x14ac:dyDescent="0.3">
      <c r="A1310" s="116" t="s">
        <v>277</v>
      </c>
      <c r="B1310" s="129">
        <f>'Free Spins Symbol'!$V$18</f>
        <v>100</v>
      </c>
      <c r="C1310" s="129">
        <f>'Free Spins Symbol'!$W$18</f>
        <v>56</v>
      </c>
      <c r="D1310" s="129">
        <f>'Free Spins Symbol'!$X$18</f>
        <v>40</v>
      </c>
      <c r="E1310" s="129">
        <f>'Free Spins Symbol'!$Y$18</f>
        <v>32</v>
      </c>
      <c r="F1310" s="129">
        <f>'Free Spins Symbol'!$Z$18</f>
        <v>48</v>
      </c>
      <c r="G1310" s="100">
        <f>(B1310*C1310-B1307*C1307)*(D1310-D1300)*E1310*F1310</f>
        <v>0</v>
      </c>
      <c r="H1310" s="118" t="e">
        <f t="shared" si="253"/>
        <v>#DIV/0!</v>
      </c>
      <c r="I1310" s="100">
        <v>5</v>
      </c>
      <c r="J1310" s="119">
        <f t="shared" si="257"/>
        <v>0</v>
      </c>
      <c r="K1310" s="120">
        <f t="shared" si="258"/>
        <v>0</v>
      </c>
    </row>
    <row r="1311" spans="1:11" x14ac:dyDescent="0.3">
      <c r="A1311" s="116" t="s">
        <v>278</v>
      </c>
      <c r="B1311" s="129">
        <f>'Free Spins Symbol'!$V$18</f>
        <v>100</v>
      </c>
      <c r="C1311" s="129">
        <f>'Free Spins Symbol'!$W$18</f>
        <v>56</v>
      </c>
      <c r="D1311" s="129">
        <f>'Free Spins Symbol'!$X$18</f>
        <v>40</v>
      </c>
      <c r="E1311" s="129">
        <f>'Free Spins Symbol'!$Y$18</f>
        <v>32</v>
      </c>
      <c r="F1311" s="129">
        <f>'Free Spins Symbol'!$Z$18</f>
        <v>48</v>
      </c>
      <c r="G1311" s="100">
        <f>(B1311*C1311-B1307*C1307)*(D1311-D1301)*E1311*F1311</f>
        <v>0</v>
      </c>
      <c r="H1311" s="118" t="e">
        <f t="shared" si="253"/>
        <v>#DIV/0!</v>
      </c>
      <c r="I1311" s="100">
        <v>5</v>
      </c>
      <c r="J1311" s="119">
        <f t="shared" si="257"/>
        <v>0</v>
      </c>
      <c r="K1311" s="120">
        <f t="shared" si="258"/>
        <v>0</v>
      </c>
    </row>
    <row r="1312" spans="1:11" x14ac:dyDescent="0.3">
      <c r="A1312" s="122" t="s">
        <v>279</v>
      </c>
      <c r="B1312" s="117">
        <f>VLOOKUP(MID($A1312,1,2),'Free Spins Symbol'!$T$2:$Z$29,3,0)</f>
        <v>100</v>
      </c>
      <c r="C1312" s="117">
        <f>VLOOKUP(MID($A1312,4,2),'Free Spins Symbol'!$T$2:$Z$29,4,0)</f>
        <v>8</v>
      </c>
      <c r="D1312" s="117">
        <f>VLOOKUP(MID($A1312,7,2),'Free Spins Symbol'!$T$2:$Z$29,5,0)</f>
        <v>4</v>
      </c>
      <c r="E1312" s="117">
        <f>VLOOKUP(MID($A1312,10,2),'Free Spins Symbol'!$T$2:$Z$29,6,0)</f>
        <v>16</v>
      </c>
      <c r="F1312" s="117">
        <f>VLOOKUP(MID($A1312,13,2),'Free Spins Symbol'!$T$2:$Z$29,7,0)</f>
        <v>48</v>
      </c>
      <c r="G1312" s="100">
        <f>B1312*C1312*D1312*E1312*F1312</f>
        <v>2457600</v>
      </c>
      <c r="H1312" s="118">
        <f t="shared" si="253"/>
        <v>140</v>
      </c>
      <c r="I1312" s="123">
        <v>2</v>
      </c>
      <c r="J1312" s="124">
        <f t="shared" si="257"/>
        <v>1.4285714285714285E-2</v>
      </c>
      <c r="K1312" s="120">
        <f t="shared" si="258"/>
        <v>7.1428571428571426E-3</v>
      </c>
    </row>
  </sheetData>
  <mergeCells count="32">
    <mergeCell ref="B2:F2"/>
    <mergeCell ref="B43:F43"/>
    <mergeCell ref="B84:F84"/>
    <mergeCell ref="B125:F125"/>
    <mergeCell ref="B168:F168"/>
    <mergeCell ref="B209:F209"/>
    <mergeCell ref="B250:F250"/>
    <mergeCell ref="B291:F291"/>
    <mergeCell ref="B332:F332"/>
    <mergeCell ref="B373:F373"/>
    <mergeCell ref="B414:F414"/>
    <mergeCell ref="B455:F455"/>
    <mergeCell ref="B496:F496"/>
    <mergeCell ref="B537:F537"/>
    <mergeCell ref="B578:F578"/>
    <mergeCell ref="B619:F619"/>
    <mergeCell ref="B660:F660"/>
    <mergeCell ref="B701:F701"/>
    <mergeCell ref="B742:F742"/>
    <mergeCell ref="B783:F783"/>
    <mergeCell ref="B1275:F1275"/>
    <mergeCell ref="B824:F824"/>
    <mergeCell ref="B865:F865"/>
    <mergeCell ref="B906:F906"/>
    <mergeCell ref="B947:F947"/>
    <mergeCell ref="B988:F988"/>
    <mergeCell ref="B1029:F1029"/>
    <mergeCell ref="B1070:F1070"/>
    <mergeCell ref="B1111:F1111"/>
    <mergeCell ref="B1152:F1152"/>
    <mergeCell ref="B1193:F1193"/>
    <mergeCell ref="B1234:F1234"/>
  </mergeCells>
  <phoneticPr fontId="2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5"/>
  <sheetViews>
    <sheetView zoomScale="70" zoomScaleNormal="70" workbookViewId="0">
      <selection activeCell="B3" sqref="B3"/>
    </sheetView>
  </sheetViews>
  <sheetFormatPr defaultRowHeight="16.2" x14ac:dyDescent="0.3"/>
  <sheetData>
    <row r="1" spans="1:66" ht="16.8" thickBot="1" x14ac:dyDescent="0.35">
      <c r="A1" s="153"/>
      <c r="B1" s="154" t="s">
        <v>325</v>
      </c>
      <c r="C1" s="155" t="str">
        <f>AI1</f>
        <v>-- -- -- -- --</v>
      </c>
      <c r="D1" s="155" t="str">
        <f t="shared" ref="D1:AH1" si="0">AJ1</f>
        <v>WW -- -- -- --</v>
      </c>
      <c r="E1" s="155" t="str">
        <f t="shared" si="0"/>
        <v>-- WW -- -- --</v>
      </c>
      <c r="F1" s="155" t="str">
        <f t="shared" si="0"/>
        <v>-- -- WW -- --</v>
      </c>
      <c r="G1" s="155" t="str">
        <f t="shared" si="0"/>
        <v>-- -- -- WW --</v>
      </c>
      <c r="H1" s="155" t="str">
        <f t="shared" si="0"/>
        <v>-- -- -- -- WW</v>
      </c>
      <c r="I1" s="155" t="str">
        <f t="shared" si="0"/>
        <v>WW WW -- -- --</v>
      </c>
      <c r="J1" s="155" t="str">
        <f t="shared" si="0"/>
        <v>WW -- WW -- --</v>
      </c>
      <c r="K1" s="155" t="str">
        <f t="shared" si="0"/>
        <v>WW -- -- WW --</v>
      </c>
      <c r="L1" s="155" t="str">
        <f t="shared" si="0"/>
        <v>WW -- -- -- WW</v>
      </c>
      <c r="M1" s="155" t="str">
        <f t="shared" si="0"/>
        <v>-- WW WW -- --</v>
      </c>
      <c r="N1" s="155" t="str">
        <f t="shared" si="0"/>
        <v>-- WW -- WW --</v>
      </c>
      <c r="O1" s="155" t="str">
        <f t="shared" si="0"/>
        <v>-- WW -- -- WW</v>
      </c>
      <c r="P1" s="155" t="str">
        <f t="shared" si="0"/>
        <v>-- -- WW WW --</v>
      </c>
      <c r="Q1" s="155" t="str">
        <f t="shared" si="0"/>
        <v>-- -- WW -- WW</v>
      </c>
      <c r="R1" s="155" t="str">
        <f t="shared" si="0"/>
        <v>-- -- -- WW WW</v>
      </c>
      <c r="S1" s="155" t="str">
        <f t="shared" si="0"/>
        <v>WW WW WW -- --</v>
      </c>
      <c r="T1" s="155" t="str">
        <f t="shared" si="0"/>
        <v>WW WW -- WW --</v>
      </c>
      <c r="U1" s="155" t="str">
        <f t="shared" si="0"/>
        <v>WW -- WW WW --</v>
      </c>
      <c r="V1" s="155" t="str">
        <f t="shared" si="0"/>
        <v>-- WW WW WW --</v>
      </c>
      <c r="W1" s="155" t="str">
        <f t="shared" si="0"/>
        <v>WW WW -- -- WW</v>
      </c>
      <c r="X1" s="155" t="str">
        <f t="shared" si="0"/>
        <v>WW -- WW -- WW</v>
      </c>
      <c r="Y1" s="155" t="str">
        <f t="shared" si="0"/>
        <v>-- WW WW -- WW</v>
      </c>
      <c r="Z1" s="155" t="str">
        <f t="shared" si="0"/>
        <v>WW -- -- WW WW</v>
      </c>
      <c r="AA1" s="155" t="str">
        <f t="shared" si="0"/>
        <v>-- WW -- WW WW</v>
      </c>
      <c r="AB1" s="155" t="str">
        <f t="shared" si="0"/>
        <v>-- -- WW WW WW</v>
      </c>
      <c r="AC1" s="155" t="str">
        <f t="shared" si="0"/>
        <v>WW WW WW WW --</v>
      </c>
      <c r="AD1" s="155" t="str">
        <f t="shared" si="0"/>
        <v>WW WW WW -- WW</v>
      </c>
      <c r="AE1" s="155" t="str">
        <f t="shared" si="0"/>
        <v>WW WW -- WW WW</v>
      </c>
      <c r="AF1" s="155" t="str">
        <f t="shared" si="0"/>
        <v>WW -- WW WW WW</v>
      </c>
      <c r="AG1" s="155" t="str">
        <f t="shared" si="0"/>
        <v>-- WW WW WW WW</v>
      </c>
      <c r="AH1" s="156" t="str">
        <f t="shared" si="0"/>
        <v>WW WW WW WW WW</v>
      </c>
      <c r="AI1" s="157" t="s">
        <v>326</v>
      </c>
      <c r="AJ1" s="158" t="s">
        <v>327</v>
      </c>
      <c r="AK1" s="158" t="s">
        <v>328</v>
      </c>
      <c r="AL1" s="158" t="s">
        <v>329</v>
      </c>
      <c r="AM1" s="158" t="s">
        <v>330</v>
      </c>
      <c r="AN1" s="158" t="s">
        <v>331</v>
      </c>
      <c r="AO1" s="158" t="s">
        <v>332</v>
      </c>
      <c r="AP1" s="158" t="s">
        <v>333</v>
      </c>
      <c r="AQ1" s="158" t="s">
        <v>334</v>
      </c>
      <c r="AR1" s="158" t="s">
        <v>335</v>
      </c>
      <c r="AS1" s="158" t="s">
        <v>336</v>
      </c>
      <c r="AT1" s="158" t="s">
        <v>337</v>
      </c>
      <c r="AU1" s="158" t="s">
        <v>338</v>
      </c>
      <c r="AV1" s="158" t="s">
        <v>339</v>
      </c>
      <c r="AW1" s="158" t="s">
        <v>340</v>
      </c>
      <c r="AX1" s="158" t="s">
        <v>341</v>
      </c>
      <c r="AY1" s="158" t="s">
        <v>342</v>
      </c>
      <c r="AZ1" s="158" t="s">
        <v>343</v>
      </c>
      <c r="BA1" s="158" t="s">
        <v>344</v>
      </c>
      <c r="BB1" s="158" t="s">
        <v>345</v>
      </c>
      <c r="BC1" s="158" t="s">
        <v>346</v>
      </c>
      <c r="BD1" s="158" t="s">
        <v>347</v>
      </c>
      <c r="BE1" s="158" t="s">
        <v>348</v>
      </c>
      <c r="BF1" s="158" t="s">
        <v>349</v>
      </c>
      <c r="BG1" s="158" t="s">
        <v>350</v>
      </c>
      <c r="BH1" s="158" t="s">
        <v>351</v>
      </c>
      <c r="BI1" s="158" t="s">
        <v>352</v>
      </c>
      <c r="BJ1" s="158" t="s">
        <v>353</v>
      </c>
      <c r="BK1" s="158" t="s">
        <v>354</v>
      </c>
      <c r="BL1" s="158" t="s">
        <v>355</v>
      </c>
      <c r="BM1" s="158" t="s">
        <v>356</v>
      </c>
      <c r="BN1" s="159" t="s">
        <v>357</v>
      </c>
    </row>
    <row r="2" spans="1:66" x14ac:dyDescent="0.3">
      <c r="A2" s="160"/>
      <c r="B2" s="161" t="e">
        <f>B34</f>
        <v>#REF!</v>
      </c>
      <c r="C2" s="162" t="e">
        <f>VLOOKUP(MID($B2,1,2),'[2]Free Spins Symbol'!$AD$7:$AI$8,2,0)
*VLOOKUP(MID($B2,4,2),'[2]Free Spins Symbol'!$AD$7:$AI$8,3,0)
*VLOOKUP(MID($B2,7,2),'[2]Free Spins Symbol'!$AD$7:$AI$8,4,0)
*VLOOKUP(MID($B2,10,2),'[2]Free Spins Symbol'!$AD$7:$AI$8,5,0)
*VLOOKUP(MID($B2,13,2),'[2]Free Spins Symbol'!$AD$7:$AI$8,6,0)</f>
        <v>#REF!</v>
      </c>
      <c r="D2" s="163">
        <v>0</v>
      </c>
      <c r="E2" s="163">
        <v>0</v>
      </c>
      <c r="F2" s="163">
        <v>0</v>
      </c>
      <c r="G2" s="163">
        <v>0</v>
      </c>
      <c r="H2" s="163">
        <v>0</v>
      </c>
      <c r="I2" s="163">
        <v>0</v>
      </c>
      <c r="J2" s="163">
        <v>0</v>
      </c>
      <c r="K2" s="163">
        <v>0</v>
      </c>
      <c r="L2" s="163">
        <v>0</v>
      </c>
      <c r="M2" s="163">
        <v>0</v>
      </c>
      <c r="N2" s="163">
        <v>0</v>
      </c>
      <c r="O2" s="163">
        <v>0</v>
      </c>
      <c r="P2" s="163">
        <v>0</v>
      </c>
      <c r="Q2" s="163">
        <v>0</v>
      </c>
      <c r="R2" s="163">
        <v>0</v>
      </c>
      <c r="S2" s="163">
        <v>0</v>
      </c>
      <c r="T2" s="163">
        <v>0</v>
      </c>
      <c r="U2" s="163">
        <v>0</v>
      </c>
      <c r="V2" s="163">
        <v>0</v>
      </c>
      <c r="W2" s="163">
        <v>0</v>
      </c>
      <c r="X2" s="163">
        <v>0</v>
      </c>
      <c r="Y2" s="163">
        <v>0</v>
      </c>
      <c r="Z2" s="163">
        <v>0</v>
      </c>
      <c r="AA2" s="163">
        <v>0</v>
      </c>
      <c r="AB2" s="163">
        <v>0</v>
      </c>
      <c r="AC2" s="163">
        <v>0</v>
      </c>
      <c r="AD2" s="163">
        <v>0</v>
      </c>
      <c r="AE2" s="163">
        <v>0</v>
      </c>
      <c r="AF2" s="163">
        <v>0</v>
      </c>
      <c r="AG2" s="163">
        <v>0</v>
      </c>
      <c r="AH2" s="164">
        <v>0</v>
      </c>
      <c r="AI2" s="165" t="e">
        <f>VLOOKUP(MID($B2,1,2),'[2]Free Spins Symbol'!$AD$7:$AI$8,2,0)
*'[2]Held Stacked Wild'!$L$36
*VLOOKUP(MID($B2,13,2),'[2]Free Spins Symbol'!$AD$7:$AI$8,6,0)</f>
        <v>#REF!</v>
      </c>
      <c r="AJ2" s="163">
        <v>0</v>
      </c>
      <c r="AK2" s="163">
        <v>0</v>
      </c>
      <c r="AL2" s="163">
        <v>0</v>
      </c>
      <c r="AM2" s="163">
        <v>0</v>
      </c>
      <c r="AN2" s="163">
        <v>0</v>
      </c>
      <c r="AO2" s="163">
        <v>0</v>
      </c>
      <c r="AP2" s="163">
        <v>0</v>
      </c>
      <c r="AQ2" s="163">
        <v>0</v>
      </c>
      <c r="AR2" s="163">
        <v>0</v>
      </c>
      <c r="AS2" s="163">
        <v>0</v>
      </c>
      <c r="AT2" s="163">
        <v>0</v>
      </c>
      <c r="AU2" s="163">
        <v>0</v>
      </c>
      <c r="AV2" s="163">
        <v>0</v>
      </c>
      <c r="AW2" s="163">
        <v>0</v>
      </c>
      <c r="AX2" s="163">
        <v>0</v>
      </c>
      <c r="AY2" s="163">
        <v>0</v>
      </c>
      <c r="AZ2" s="163">
        <v>0</v>
      </c>
      <c r="BA2" s="163">
        <v>0</v>
      </c>
      <c r="BB2" s="163">
        <v>0</v>
      </c>
      <c r="BC2" s="163">
        <v>0</v>
      </c>
      <c r="BD2" s="163">
        <v>0</v>
      </c>
      <c r="BE2" s="163">
        <v>0</v>
      </c>
      <c r="BF2" s="163">
        <v>0</v>
      </c>
      <c r="BG2" s="163">
        <v>0</v>
      </c>
      <c r="BH2" s="163">
        <v>0</v>
      </c>
      <c r="BI2" s="163">
        <v>0</v>
      </c>
      <c r="BJ2" s="163">
        <v>0</v>
      </c>
      <c r="BK2" s="163">
        <v>0</v>
      </c>
      <c r="BL2" s="163">
        <v>0</v>
      </c>
      <c r="BM2" s="163">
        <v>0</v>
      </c>
      <c r="BN2" s="164">
        <v>0</v>
      </c>
    </row>
    <row r="3" spans="1:66" x14ac:dyDescent="0.3">
      <c r="A3" s="160"/>
      <c r="B3" s="166">
        <f t="shared" ref="B3:B33" si="1">B35</f>
        <v>0</v>
      </c>
      <c r="C3" s="167" t="e">
        <f>VLOOKUP(MID($B3,1,2),'[2]Free Spins Symbol'!$AD$7:$AI$8,2,0)
*VLOOKUP(MID($B3,4,2),'[2]Free Spins Symbol'!$AD$7:$AI$8,3,0)
*VLOOKUP(MID($B3,7,2),'[2]Free Spins Symbol'!$AD$7:$AI$8,4,0)
*VLOOKUP(MID($B3,10,2),'[2]Free Spins Symbol'!$AD$7:$AI$8,5,0)
*VLOOKUP(MID($B3,13,2),'[2]Free Spins Symbol'!$AD$7:$AI$8,6,0)</f>
        <v>#N/A</v>
      </c>
      <c r="D3" s="168" t="e">
        <f>1
*VLOOKUP(MID($B3,4,2),'[2]Free Spins Symbol'!$AD$7:$AI$8,3,0)
*VLOOKUP(MID($B3,7,2),'[2]Free Spins Symbol'!$AD$7:$AI$8,4,0)
*VLOOKUP(MID($B3,10,2),'[2]Free Spins Symbol'!$AD$7:$AI$8,5,0)
*VLOOKUP(MID($B3,13,2),'[2]Free Spins Symbol'!$AD$7:$AI$8,6,0)</f>
        <v>#N/A</v>
      </c>
      <c r="E3" s="169">
        <v>0</v>
      </c>
      <c r="F3" s="169">
        <v>0</v>
      </c>
      <c r="G3" s="169">
        <v>0</v>
      </c>
      <c r="H3" s="169">
        <v>0</v>
      </c>
      <c r="I3" s="169">
        <v>0</v>
      </c>
      <c r="J3" s="169">
        <v>0</v>
      </c>
      <c r="K3" s="169">
        <v>0</v>
      </c>
      <c r="L3" s="169">
        <v>0</v>
      </c>
      <c r="M3" s="169">
        <v>0</v>
      </c>
      <c r="N3" s="169">
        <v>0</v>
      </c>
      <c r="O3" s="169">
        <v>0</v>
      </c>
      <c r="P3" s="169">
        <v>0</v>
      </c>
      <c r="Q3" s="169">
        <v>0</v>
      </c>
      <c r="R3" s="169">
        <v>0</v>
      </c>
      <c r="S3" s="169">
        <v>0</v>
      </c>
      <c r="T3" s="169">
        <v>0</v>
      </c>
      <c r="U3" s="169">
        <v>0</v>
      </c>
      <c r="V3" s="169">
        <v>0</v>
      </c>
      <c r="W3" s="169">
        <v>0</v>
      </c>
      <c r="X3" s="169">
        <v>0</v>
      </c>
      <c r="Y3" s="169">
        <v>0</v>
      </c>
      <c r="Z3" s="169">
        <v>0</v>
      </c>
      <c r="AA3" s="169">
        <v>0</v>
      </c>
      <c r="AB3" s="169">
        <v>0</v>
      </c>
      <c r="AC3" s="169">
        <v>0</v>
      </c>
      <c r="AD3" s="169">
        <v>0</v>
      </c>
      <c r="AE3" s="169">
        <v>0</v>
      </c>
      <c r="AF3" s="169">
        <v>0</v>
      </c>
      <c r="AG3" s="169">
        <v>0</v>
      </c>
      <c r="AH3" s="170">
        <v>0</v>
      </c>
      <c r="AI3" s="171" t="e">
        <f>VLOOKUP(MID($B3,1,2),'[2]Free Spins Symbol'!$AD$7:$AI$8,2,0)
*'[2]Held Stacked Wild'!$L$36
*VLOOKUP(MID($B3,13,2),'[2]Free Spins Symbol'!$AD$7:$AI$8,6,0)</f>
        <v>#N/A</v>
      </c>
      <c r="AJ3" s="168" t="e">
        <f>1
*'[2]Held Stacked Wild'!$L$75
*VLOOKUP(MID($B3,13,2),'[2]Free Spins Symbol'!$AD$7:$AI$8,6,0)</f>
        <v>#N/A</v>
      </c>
      <c r="AK3" s="169">
        <v>0</v>
      </c>
      <c r="AL3" s="169">
        <v>0</v>
      </c>
      <c r="AM3" s="169">
        <v>0</v>
      </c>
      <c r="AN3" s="169">
        <v>0</v>
      </c>
      <c r="AO3" s="169">
        <v>0</v>
      </c>
      <c r="AP3" s="169">
        <v>0</v>
      </c>
      <c r="AQ3" s="169">
        <v>0</v>
      </c>
      <c r="AR3" s="169">
        <v>0</v>
      </c>
      <c r="AS3" s="169">
        <v>0</v>
      </c>
      <c r="AT3" s="169">
        <v>0</v>
      </c>
      <c r="AU3" s="169">
        <v>0</v>
      </c>
      <c r="AV3" s="169">
        <v>0</v>
      </c>
      <c r="AW3" s="169">
        <v>0</v>
      </c>
      <c r="AX3" s="169">
        <v>0</v>
      </c>
      <c r="AY3" s="169">
        <v>0</v>
      </c>
      <c r="AZ3" s="169">
        <v>0</v>
      </c>
      <c r="BA3" s="169">
        <v>0</v>
      </c>
      <c r="BB3" s="169">
        <v>0</v>
      </c>
      <c r="BC3" s="169">
        <v>0</v>
      </c>
      <c r="BD3" s="169">
        <v>0</v>
      </c>
      <c r="BE3" s="169">
        <v>0</v>
      </c>
      <c r="BF3" s="169">
        <v>0</v>
      </c>
      <c r="BG3" s="169">
        <v>0</v>
      </c>
      <c r="BH3" s="169">
        <v>0</v>
      </c>
      <c r="BI3" s="169">
        <v>0</v>
      </c>
      <c r="BJ3" s="169">
        <v>0</v>
      </c>
      <c r="BK3" s="169">
        <v>0</v>
      </c>
      <c r="BL3" s="169">
        <v>0</v>
      </c>
      <c r="BM3" s="169">
        <v>0</v>
      </c>
      <c r="BN3" s="170">
        <v>0</v>
      </c>
    </row>
    <row r="4" spans="1:66" x14ac:dyDescent="0.3">
      <c r="A4" s="160"/>
      <c r="B4" s="166">
        <f t="shared" si="1"/>
        <v>0</v>
      </c>
      <c r="C4" s="167" t="e">
        <f>VLOOKUP(MID($B4,1,2),'[2]Free Spins Symbol'!$AD$7:$AI$8,2,0)
*VLOOKUP(MID($B4,4,2),'[2]Free Spins Symbol'!$AD$7:$AI$8,3,0)
*VLOOKUP(MID($B4,7,2),'[2]Free Spins Symbol'!$AD$7:$AI$8,4,0)
*VLOOKUP(MID($B4,10,2),'[2]Free Spins Symbol'!$AD$7:$AI$8,5,0)
*VLOOKUP(MID($B4,13,2),'[2]Free Spins Symbol'!$AD$7:$AI$8,6,0)</f>
        <v>#N/A</v>
      </c>
      <c r="D4" s="169">
        <v>0</v>
      </c>
      <c r="E4" s="168" t="e">
        <f>VLOOKUP(MID($B4,1,2),'[2]Free Spins Symbol'!$AD$7:$AI$8,2,0)
*1
*VLOOKUP(MID($B4,7,2),'[2]Free Spins Symbol'!$AD$7:$AI$8,4,0)
*VLOOKUP(MID($B4,10,2),'[2]Free Spins Symbol'!$AD$7:$AI$8,5,0)
*VLOOKUP(MID($B4,13,2),'[2]Free Spins Symbol'!$AD$7:$AI$8,6,0)</f>
        <v>#N/A</v>
      </c>
      <c r="F4" s="169">
        <v>0</v>
      </c>
      <c r="G4" s="169">
        <v>0</v>
      </c>
      <c r="H4" s="169">
        <v>0</v>
      </c>
      <c r="I4" s="169">
        <v>0</v>
      </c>
      <c r="J4" s="169">
        <v>0</v>
      </c>
      <c r="K4" s="169">
        <v>0</v>
      </c>
      <c r="L4" s="169">
        <v>0</v>
      </c>
      <c r="M4" s="169">
        <v>0</v>
      </c>
      <c r="N4" s="169">
        <v>0</v>
      </c>
      <c r="O4" s="169">
        <v>0</v>
      </c>
      <c r="P4" s="169">
        <v>0</v>
      </c>
      <c r="Q4" s="169">
        <v>0</v>
      </c>
      <c r="R4" s="169">
        <v>0</v>
      </c>
      <c r="S4" s="169">
        <v>0</v>
      </c>
      <c r="T4" s="169">
        <v>0</v>
      </c>
      <c r="U4" s="169">
        <v>0</v>
      </c>
      <c r="V4" s="169">
        <v>0</v>
      </c>
      <c r="W4" s="169">
        <v>0</v>
      </c>
      <c r="X4" s="169">
        <v>0</v>
      </c>
      <c r="Y4" s="169">
        <v>0</v>
      </c>
      <c r="Z4" s="169">
        <v>0</v>
      </c>
      <c r="AA4" s="169">
        <v>0</v>
      </c>
      <c r="AB4" s="169">
        <v>0</v>
      </c>
      <c r="AC4" s="169">
        <v>0</v>
      </c>
      <c r="AD4" s="169">
        <v>0</v>
      </c>
      <c r="AE4" s="169">
        <v>0</v>
      </c>
      <c r="AF4" s="169">
        <v>0</v>
      </c>
      <c r="AG4" s="169">
        <v>0</v>
      </c>
      <c r="AH4" s="170">
        <v>0</v>
      </c>
      <c r="AI4" s="169">
        <v>0</v>
      </c>
      <c r="AJ4" s="169">
        <v>0</v>
      </c>
      <c r="AK4" s="172" t="e">
        <f>VLOOKUP(MID($B4,1,2),'[2]Free Spins Symbol'!$AD$7:$AI$8,2,0)
*'[2]Held Stacked Wild'!$L$114
*VLOOKUP(MID($B4,13,2),'[2]Free Spins Symbol'!$AD$7:$AI$8,6,0)</f>
        <v>#N/A</v>
      </c>
      <c r="AL4" s="169">
        <v>0</v>
      </c>
      <c r="AM4" s="169">
        <v>0</v>
      </c>
      <c r="AN4" s="169">
        <v>0</v>
      </c>
      <c r="AO4" s="169">
        <v>0</v>
      </c>
      <c r="AP4" s="169">
        <v>0</v>
      </c>
      <c r="AQ4" s="169">
        <v>0</v>
      </c>
      <c r="AR4" s="169">
        <v>0</v>
      </c>
      <c r="AS4" s="169">
        <v>0</v>
      </c>
      <c r="AT4" s="169">
        <v>0</v>
      </c>
      <c r="AU4" s="169">
        <v>0</v>
      </c>
      <c r="AV4" s="169">
        <v>0</v>
      </c>
      <c r="AW4" s="169">
        <v>0</v>
      </c>
      <c r="AX4" s="169">
        <v>0</v>
      </c>
      <c r="AY4" s="169">
        <v>0</v>
      </c>
      <c r="AZ4" s="169">
        <v>0</v>
      </c>
      <c r="BA4" s="169">
        <v>0</v>
      </c>
      <c r="BB4" s="169">
        <v>0</v>
      </c>
      <c r="BC4" s="169">
        <v>0</v>
      </c>
      <c r="BD4" s="169">
        <v>0</v>
      </c>
      <c r="BE4" s="169">
        <v>0</v>
      </c>
      <c r="BF4" s="169">
        <v>0</v>
      </c>
      <c r="BG4" s="169">
        <v>0</v>
      </c>
      <c r="BH4" s="169">
        <v>0</v>
      </c>
      <c r="BI4" s="169">
        <v>0</v>
      </c>
      <c r="BJ4" s="169">
        <v>0</v>
      </c>
      <c r="BK4" s="169">
        <v>0</v>
      </c>
      <c r="BL4" s="169">
        <v>0</v>
      </c>
      <c r="BM4" s="169">
        <v>0</v>
      </c>
      <c r="BN4" s="170">
        <v>0</v>
      </c>
    </row>
    <row r="5" spans="1:66" x14ac:dyDescent="0.3">
      <c r="A5" s="160"/>
      <c r="B5" s="166">
        <f t="shared" si="1"/>
        <v>0</v>
      </c>
      <c r="C5" s="167" t="e">
        <f>VLOOKUP(MID($B5,1,2),'[2]Free Spins Symbol'!$AD$7:$AI$8,2,0)
*VLOOKUP(MID($B5,4,2),'[2]Free Spins Symbol'!$AD$7:$AI$8,3,0)
*VLOOKUP(MID($B5,7,2),'[2]Free Spins Symbol'!$AD$7:$AI$8,4,0)
*VLOOKUP(MID($B5,10,2),'[2]Free Spins Symbol'!$AD$7:$AI$8,5,0)
*VLOOKUP(MID($B5,13,2),'[2]Free Spins Symbol'!$AD$7:$AI$8,6,0)</f>
        <v>#N/A</v>
      </c>
      <c r="D5" s="169">
        <v>0</v>
      </c>
      <c r="E5" s="169">
        <v>0</v>
      </c>
      <c r="F5" s="168" t="e">
        <f>VLOOKUP(MID($B5,1,2),'[2]Free Spins Symbol'!$AD$7:$AI$8,2,0)
*VLOOKUP(MID($B5,4,2),'[2]Free Spins Symbol'!$AD$7:$AI$8,3,0)
*1
*VLOOKUP(MID($B5,10,2),'[2]Free Spins Symbol'!$AD$7:$AI$8,5,0)
*VLOOKUP(MID($B5,13,2),'[2]Free Spins Symbol'!$AD$7:$AI$8,6,0)</f>
        <v>#N/A</v>
      </c>
      <c r="G5" s="169">
        <v>0</v>
      </c>
      <c r="H5" s="169">
        <v>0</v>
      </c>
      <c r="I5" s="169">
        <v>0</v>
      </c>
      <c r="J5" s="169">
        <v>0</v>
      </c>
      <c r="K5" s="169">
        <v>0</v>
      </c>
      <c r="L5" s="169">
        <v>0</v>
      </c>
      <c r="M5" s="169">
        <v>0</v>
      </c>
      <c r="N5" s="169">
        <v>0</v>
      </c>
      <c r="O5" s="169">
        <v>0</v>
      </c>
      <c r="P5" s="169">
        <v>0</v>
      </c>
      <c r="Q5" s="169">
        <v>0</v>
      </c>
      <c r="R5" s="169">
        <v>0</v>
      </c>
      <c r="S5" s="169">
        <v>0</v>
      </c>
      <c r="T5" s="169">
        <v>0</v>
      </c>
      <c r="U5" s="169">
        <v>0</v>
      </c>
      <c r="V5" s="169">
        <v>0</v>
      </c>
      <c r="W5" s="169">
        <v>0</v>
      </c>
      <c r="X5" s="169">
        <v>0</v>
      </c>
      <c r="Y5" s="169">
        <v>0</v>
      </c>
      <c r="Z5" s="169">
        <v>0</v>
      </c>
      <c r="AA5" s="169">
        <v>0</v>
      </c>
      <c r="AB5" s="169">
        <v>0</v>
      </c>
      <c r="AC5" s="169">
        <v>0</v>
      </c>
      <c r="AD5" s="169">
        <v>0</v>
      </c>
      <c r="AE5" s="169">
        <v>0</v>
      </c>
      <c r="AF5" s="169">
        <v>0</v>
      </c>
      <c r="AG5" s="169">
        <v>0</v>
      </c>
      <c r="AH5" s="170">
        <v>0</v>
      </c>
      <c r="AI5" s="169">
        <v>0</v>
      </c>
      <c r="AJ5" s="169">
        <v>0</v>
      </c>
      <c r="AK5" s="169">
        <v>0</v>
      </c>
      <c r="AL5" s="173" t="e">
        <f>VLOOKUP(MID($B5,1,2),'[2]Free Spins Symbol'!$AD$7:$AI$8,2,0)
*'[2]Held Stacked Wild'!$L$153
*VLOOKUP(MID($B5,13,2),'[2]Free Spins Symbol'!$AD$7:$AI$8,6,0)</f>
        <v>#N/A</v>
      </c>
      <c r="AM5" s="169">
        <v>0</v>
      </c>
      <c r="AN5" s="169">
        <v>0</v>
      </c>
      <c r="AO5" s="169">
        <v>0</v>
      </c>
      <c r="AP5" s="169">
        <v>0</v>
      </c>
      <c r="AQ5" s="169">
        <v>0</v>
      </c>
      <c r="AR5" s="169">
        <v>0</v>
      </c>
      <c r="AS5" s="169">
        <v>0</v>
      </c>
      <c r="AT5" s="169">
        <v>0</v>
      </c>
      <c r="AU5" s="169">
        <v>0</v>
      </c>
      <c r="AV5" s="169">
        <v>0</v>
      </c>
      <c r="AW5" s="169">
        <v>0</v>
      </c>
      <c r="AX5" s="169">
        <v>0</v>
      </c>
      <c r="AY5" s="169">
        <v>0</v>
      </c>
      <c r="AZ5" s="169">
        <v>0</v>
      </c>
      <c r="BA5" s="169">
        <v>0</v>
      </c>
      <c r="BB5" s="169">
        <v>0</v>
      </c>
      <c r="BC5" s="169">
        <v>0</v>
      </c>
      <c r="BD5" s="169">
        <v>0</v>
      </c>
      <c r="BE5" s="169">
        <v>0</v>
      </c>
      <c r="BF5" s="169">
        <v>0</v>
      </c>
      <c r="BG5" s="169">
        <v>0</v>
      </c>
      <c r="BH5" s="169">
        <v>0</v>
      </c>
      <c r="BI5" s="169">
        <v>0</v>
      </c>
      <c r="BJ5" s="169">
        <v>0</v>
      </c>
      <c r="BK5" s="169">
        <v>0</v>
      </c>
      <c r="BL5" s="169">
        <v>0</v>
      </c>
      <c r="BM5" s="169">
        <v>0</v>
      </c>
      <c r="BN5" s="170">
        <v>0</v>
      </c>
    </row>
    <row r="6" spans="1:66" x14ac:dyDescent="0.3">
      <c r="A6" s="160"/>
      <c r="B6" s="166">
        <f t="shared" si="1"/>
        <v>0</v>
      </c>
      <c r="C6" s="167" t="e">
        <f>VLOOKUP(MID($B6,1,2),'[2]Free Spins Symbol'!$AD$7:$AI$8,2,0)
*VLOOKUP(MID($B6,4,2),'[2]Free Spins Symbol'!$AD$7:$AI$8,3,0)
*VLOOKUP(MID($B6,7,2),'[2]Free Spins Symbol'!$AD$7:$AI$8,4,0)
*VLOOKUP(MID($B6,10,2),'[2]Free Spins Symbol'!$AD$7:$AI$8,5,0)
*VLOOKUP(MID($B6,13,2),'[2]Free Spins Symbol'!$AD$7:$AI$8,6,0)</f>
        <v>#N/A</v>
      </c>
      <c r="D6" s="169">
        <v>0</v>
      </c>
      <c r="E6" s="169">
        <v>0</v>
      </c>
      <c r="F6" s="169">
        <v>0</v>
      </c>
      <c r="G6" s="168" t="e">
        <f>VLOOKUP(MID($B6,1,2),'[2]Free Spins Symbol'!$AD$7:$AI$8,2,0)
*VLOOKUP(MID($B6,4,2),'[2]Free Spins Symbol'!$AD$7:$AI$8,3,0)
*VLOOKUP(MID($B6,7,2),'[2]Free Spins Symbol'!$AD$7:$AI$8,4,0)
*1
*VLOOKUP(MID($B6,13,2),'[2]Free Spins Symbol'!$AD$7:$AI$8,6,0)</f>
        <v>#N/A</v>
      </c>
      <c r="H6" s="169">
        <v>0</v>
      </c>
      <c r="I6" s="169">
        <v>0</v>
      </c>
      <c r="J6" s="169">
        <v>0</v>
      </c>
      <c r="K6" s="169">
        <v>0</v>
      </c>
      <c r="L6" s="169">
        <v>0</v>
      </c>
      <c r="M6" s="169">
        <v>0</v>
      </c>
      <c r="N6" s="169">
        <v>0</v>
      </c>
      <c r="O6" s="169">
        <v>0</v>
      </c>
      <c r="P6" s="169">
        <v>0</v>
      </c>
      <c r="Q6" s="169">
        <v>0</v>
      </c>
      <c r="R6" s="169">
        <v>0</v>
      </c>
      <c r="S6" s="169">
        <v>0</v>
      </c>
      <c r="T6" s="169">
        <v>0</v>
      </c>
      <c r="U6" s="169">
        <v>0</v>
      </c>
      <c r="V6" s="169">
        <v>0</v>
      </c>
      <c r="W6" s="169">
        <v>0</v>
      </c>
      <c r="X6" s="169">
        <v>0</v>
      </c>
      <c r="Y6" s="169">
        <v>0</v>
      </c>
      <c r="Z6" s="169">
        <v>0</v>
      </c>
      <c r="AA6" s="169">
        <v>0</v>
      </c>
      <c r="AB6" s="169">
        <v>0</v>
      </c>
      <c r="AC6" s="169">
        <v>0</v>
      </c>
      <c r="AD6" s="169">
        <v>0</v>
      </c>
      <c r="AE6" s="169">
        <v>0</v>
      </c>
      <c r="AF6" s="169">
        <v>0</v>
      </c>
      <c r="AG6" s="169">
        <v>0</v>
      </c>
      <c r="AH6" s="170">
        <v>0</v>
      </c>
      <c r="AI6" s="169">
        <v>0</v>
      </c>
      <c r="AJ6" s="169">
        <v>0</v>
      </c>
      <c r="AK6" s="169">
        <v>0</v>
      </c>
      <c r="AL6" s="169">
        <v>0</v>
      </c>
      <c r="AM6" s="168" t="e">
        <f>VLOOKUP(MID($B6,1,2),'[2]Free Spins Symbol'!$AD$7:$AI$8,2,0)
*'[2]Held Stacked Wild'!$L$192
*VLOOKUP(MID($B6,13,2),'[2]Free Spins Symbol'!$AD$7:$AI$8,6,0)</f>
        <v>#N/A</v>
      </c>
      <c r="AN6" s="169">
        <v>0</v>
      </c>
      <c r="AO6" s="169">
        <v>0</v>
      </c>
      <c r="AP6" s="169">
        <v>0</v>
      </c>
      <c r="AQ6" s="169">
        <v>0</v>
      </c>
      <c r="AR6" s="169">
        <v>0</v>
      </c>
      <c r="AS6" s="169">
        <v>0</v>
      </c>
      <c r="AT6" s="169">
        <v>0</v>
      </c>
      <c r="AU6" s="169">
        <v>0</v>
      </c>
      <c r="AV6" s="169">
        <v>0</v>
      </c>
      <c r="AW6" s="169">
        <v>0</v>
      </c>
      <c r="AX6" s="169">
        <v>0</v>
      </c>
      <c r="AY6" s="169">
        <v>0</v>
      </c>
      <c r="AZ6" s="169">
        <v>0</v>
      </c>
      <c r="BA6" s="169">
        <v>0</v>
      </c>
      <c r="BB6" s="169">
        <v>0</v>
      </c>
      <c r="BC6" s="169">
        <v>0</v>
      </c>
      <c r="BD6" s="169">
        <v>0</v>
      </c>
      <c r="BE6" s="169">
        <v>0</v>
      </c>
      <c r="BF6" s="169">
        <v>0</v>
      </c>
      <c r="BG6" s="169">
        <v>0</v>
      </c>
      <c r="BH6" s="169">
        <v>0</v>
      </c>
      <c r="BI6" s="169">
        <v>0</v>
      </c>
      <c r="BJ6" s="169">
        <v>0</v>
      </c>
      <c r="BK6" s="169">
        <v>0</v>
      </c>
      <c r="BL6" s="169">
        <v>0</v>
      </c>
      <c r="BM6" s="169">
        <v>0</v>
      </c>
      <c r="BN6" s="170">
        <v>0</v>
      </c>
    </row>
    <row r="7" spans="1:66" x14ac:dyDescent="0.3">
      <c r="A7" s="160"/>
      <c r="B7" s="166">
        <f t="shared" si="1"/>
        <v>0</v>
      </c>
      <c r="C7" s="167" t="e">
        <f>VLOOKUP(MID($B7,1,2),'[2]Free Spins Symbol'!$AD$7:$AI$8,2,0)
*VLOOKUP(MID($B7,4,2),'[2]Free Spins Symbol'!$AD$7:$AI$8,3,0)
*VLOOKUP(MID($B7,7,2),'[2]Free Spins Symbol'!$AD$7:$AI$8,4,0)
*VLOOKUP(MID($B7,10,2),'[2]Free Spins Symbol'!$AD$7:$AI$8,5,0)
*VLOOKUP(MID($B7,13,2),'[2]Free Spins Symbol'!$AD$7:$AI$8,6,0)</f>
        <v>#N/A</v>
      </c>
      <c r="D7" s="169">
        <v>0</v>
      </c>
      <c r="E7" s="169">
        <v>0</v>
      </c>
      <c r="F7" s="169">
        <v>0</v>
      </c>
      <c r="G7" s="169">
        <v>0</v>
      </c>
      <c r="H7" s="168" t="e">
        <f>VLOOKUP(MID($B7,1,2),'[2]Free Spins Symbol'!$AD$7:$AI$8,2,0)
*VLOOKUP(MID($B7,4,2),'[2]Free Spins Symbol'!$AD$7:$AI$8,3,0)
*VLOOKUP(MID($B7,7,2),'[2]Free Spins Symbol'!$AD$7:$AI$8,4,0)
*VLOOKUP(MID($B7,10,2),'[2]Free Spins Symbol'!$AD$7:$AI$8,5,0)
*1</f>
        <v>#N/A</v>
      </c>
      <c r="I7" s="169">
        <v>0</v>
      </c>
      <c r="J7" s="169">
        <v>0</v>
      </c>
      <c r="K7" s="169">
        <v>0</v>
      </c>
      <c r="L7" s="169">
        <v>0</v>
      </c>
      <c r="M7" s="169">
        <v>0</v>
      </c>
      <c r="N7" s="169">
        <v>0</v>
      </c>
      <c r="O7" s="169">
        <v>0</v>
      </c>
      <c r="P7" s="169">
        <v>0</v>
      </c>
      <c r="Q7" s="169">
        <v>0</v>
      </c>
      <c r="R7" s="169">
        <v>0</v>
      </c>
      <c r="S7" s="169">
        <v>0</v>
      </c>
      <c r="T7" s="169">
        <v>0</v>
      </c>
      <c r="U7" s="169">
        <v>0</v>
      </c>
      <c r="V7" s="169">
        <v>0</v>
      </c>
      <c r="W7" s="169">
        <v>0</v>
      </c>
      <c r="X7" s="169">
        <v>0</v>
      </c>
      <c r="Y7" s="169">
        <v>0</v>
      </c>
      <c r="Z7" s="169">
        <v>0</v>
      </c>
      <c r="AA7" s="169">
        <v>0</v>
      </c>
      <c r="AB7" s="169">
        <v>0</v>
      </c>
      <c r="AC7" s="169">
        <v>0</v>
      </c>
      <c r="AD7" s="169">
        <v>0</v>
      </c>
      <c r="AE7" s="169">
        <v>0</v>
      </c>
      <c r="AF7" s="169">
        <v>0</v>
      </c>
      <c r="AG7" s="169">
        <v>0</v>
      </c>
      <c r="AH7" s="170">
        <v>0</v>
      </c>
      <c r="AI7" s="171" t="e">
        <f>VLOOKUP(MID($B7,1,2),'[2]Free Spins Symbol'!$AD$7:$AI$8,2,0)
*'[2]Held Stacked Wild'!$L$36
*VLOOKUP(MID($B7,13,2),'[2]Free Spins Symbol'!$AD$7:$AI$8,6,0)</f>
        <v>#N/A</v>
      </c>
      <c r="AJ7" s="169">
        <v>0</v>
      </c>
      <c r="AK7" s="169">
        <v>0</v>
      </c>
      <c r="AL7" s="169">
        <v>0</v>
      </c>
      <c r="AM7" s="169">
        <v>0</v>
      </c>
      <c r="AN7" s="168" t="e">
        <f>VLOOKUP(MID($B7,1,2),'[2]Free Spins Symbol'!$AD$7:$AI$8,2,0)
*'[2]Held Stacked Wild'!$L$231
*1</f>
        <v>#N/A</v>
      </c>
      <c r="AO7" s="169">
        <v>0</v>
      </c>
      <c r="AP7" s="169">
        <v>0</v>
      </c>
      <c r="AQ7" s="169">
        <v>0</v>
      </c>
      <c r="AR7" s="169">
        <v>0</v>
      </c>
      <c r="AS7" s="169">
        <v>0</v>
      </c>
      <c r="AT7" s="169">
        <v>0</v>
      </c>
      <c r="AU7" s="169">
        <v>0</v>
      </c>
      <c r="AV7" s="169">
        <v>0</v>
      </c>
      <c r="AW7" s="169">
        <v>0</v>
      </c>
      <c r="AX7" s="169">
        <v>0</v>
      </c>
      <c r="AY7" s="169">
        <v>0</v>
      </c>
      <c r="AZ7" s="169">
        <v>0</v>
      </c>
      <c r="BA7" s="169">
        <v>0</v>
      </c>
      <c r="BB7" s="169">
        <v>0</v>
      </c>
      <c r="BC7" s="169">
        <v>0</v>
      </c>
      <c r="BD7" s="169">
        <v>0</v>
      </c>
      <c r="BE7" s="169">
        <v>0</v>
      </c>
      <c r="BF7" s="169">
        <v>0</v>
      </c>
      <c r="BG7" s="169">
        <v>0</v>
      </c>
      <c r="BH7" s="169">
        <v>0</v>
      </c>
      <c r="BI7" s="169">
        <v>0</v>
      </c>
      <c r="BJ7" s="169">
        <v>0</v>
      </c>
      <c r="BK7" s="169">
        <v>0</v>
      </c>
      <c r="BL7" s="169">
        <v>0</v>
      </c>
      <c r="BM7" s="169">
        <v>0</v>
      </c>
      <c r="BN7" s="170">
        <v>0</v>
      </c>
    </row>
    <row r="8" spans="1:66" x14ac:dyDescent="0.3">
      <c r="A8" s="160"/>
      <c r="B8" s="166">
        <f t="shared" si="1"/>
        <v>0</v>
      </c>
      <c r="C8" s="167" t="e">
        <f>VLOOKUP(MID($B8,1,2),'[2]Free Spins Symbol'!$AD$7:$AI$8,2,0)
*VLOOKUP(MID($B8,4,2),'[2]Free Spins Symbol'!$AD$7:$AI$8,3,0)
*VLOOKUP(MID($B8,7,2),'[2]Free Spins Symbol'!$AD$7:$AI$8,4,0)
*VLOOKUP(MID($B8,10,2),'[2]Free Spins Symbol'!$AD$7:$AI$8,5,0)
*VLOOKUP(MID($B8,13,2),'[2]Free Spins Symbol'!$AD$7:$AI$8,6,0)</f>
        <v>#N/A</v>
      </c>
      <c r="D8" s="168" t="e">
        <f>1
*VLOOKUP(MID($B8,4,2),'[2]Free Spins Symbol'!$AD$7:$AI$8,3,0)
*VLOOKUP(MID($B8,7,2),'[2]Free Spins Symbol'!$AD$7:$AI$8,4,0)
*VLOOKUP(MID($B8,10,2),'[2]Free Spins Symbol'!$AD$7:$AI$8,5,0)
*VLOOKUP(MID($B8,13,2),'[2]Free Spins Symbol'!$AD$7:$AI$8,6,0)</f>
        <v>#N/A</v>
      </c>
      <c r="E8" s="168" t="e">
        <f>VLOOKUP(MID($B8,1,2),'[2]Free Spins Symbol'!$AD$7:$AI$8,2,0)
*1
*VLOOKUP(MID($B8,7,2),'[2]Free Spins Symbol'!$AD$7:$AI$8,4,0)
*VLOOKUP(MID($B8,10,2),'[2]Free Spins Symbol'!$AD$7:$AI$8,5,0)
*VLOOKUP(MID($B8,13,2),'[2]Free Spins Symbol'!$AD$7:$AI$8,6,0)</f>
        <v>#N/A</v>
      </c>
      <c r="F8" s="169">
        <v>0</v>
      </c>
      <c r="G8" s="169">
        <v>0</v>
      </c>
      <c r="H8" s="169">
        <v>0</v>
      </c>
      <c r="I8" s="168" t="e">
        <f>1
*1
*VLOOKUP(MID($B8,7,2),'[2]Free Spins Symbol'!$AD$7:$AI$8,4,0)
*VLOOKUP(MID($B8,10,2),'[2]Free Spins Symbol'!$AD$7:$AI$8,5,0)
*VLOOKUP(MID($B8,13,2),'[2]Free Spins Symbol'!$AD$7:$AI$8,6,0)</f>
        <v>#N/A</v>
      </c>
      <c r="J8" s="169">
        <v>0</v>
      </c>
      <c r="K8" s="169">
        <v>0</v>
      </c>
      <c r="L8" s="169">
        <v>0</v>
      </c>
      <c r="M8" s="169">
        <v>0</v>
      </c>
      <c r="N8" s="169">
        <v>0</v>
      </c>
      <c r="O8" s="169">
        <v>0</v>
      </c>
      <c r="P8" s="169">
        <v>0</v>
      </c>
      <c r="Q8" s="169">
        <v>0</v>
      </c>
      <c r="R8" s="169">
        <v>0</v>
      </c>
      <c r="S8" s="169">
        <v>0</v>
      </c>
      <c r="T8" s="169">
        <v>0</v>
      </c>
      <c r="U8" s="169">
        <v>0</v>
      </c>
      <c r="V8" s="169">
        <v>0</v>
      </c>
      <c r="W8" s="169">
        <v>0</v>
      </c>
      <c r="X8" s="169">
        <v>0</v>
      </c>
      <c r="Y8" s="169">
        <v>0</v>
      </c>
      <c r="Z8" s="169">
        <v>0</v>
      </c>
      <c r="AA8" s="169">
        <v>0</v>
      </c>
      <c r="AB8" s="169">
        <v>0</v>
      </c>
      <c r="AC8" s="169">
        <v>0</v>
      </c>
      <c r="AD8" s="169">
        <v>0</v>
      </c>
      <c r="AE8" s="169">
        <v>0</v>
      </c>
      <c r="AF8" s="169">
        <v>0</v>
      </c>
      <c r="AG8" s="169">
        <v>0</v>
      </c>
      <c r="AH8" s="170">
        <v>0</v>
      </c>
      <c r="AI8" s="169">
        <v>0</v>
      </c>
      <c r="AJ8" s="169">
        <v>0</v>
      </c>
      <c r="AK8" s="168" t="e">
        <f>VLOOKUP(MID($B8,1,2),'[2]Free Spins Symbol'!$AD$7:$AI$8,2,0)
*'[2]Held Stacked Wild'!$L$114
*VLOOKUP(MID($B8,13,2),'[2]Free Spins Symbol'!$AD$7:$AI$8,6,0)</f>
        <v>#N/A</v>
      </c>
      <c r="AL8" s="169">
        <v>0</v>
      </c>
      <c r="AM8" s="169">
        <v>0</v>
      </c>
      <c r="AN8" s="169">
        <v>0</v>
      </c>
      <c r="AO8" s="168" t="e">
        <f>1
*'[2]Held Stacked Wild'!$L$270
*VLOOKUP(MID($B8,13,2),'[2]Free Spins Symbol'!$AD$7:$AI$8,6,0)</f>
        <v>#N/A</v>
      </c>
      <c r="AP8" s="169">
        <v>0</v>
      </c>
      <c r="AQ8" s="169">
        <v>0</v>
      </c>
      <c r="AR8" s="169">
        <v>0</v>
      </c>
      <c r="AS8" s="169">
        <v>0</v>
      </c>
      <c r="AT8" s="169">
        <v>0</v>
      </c>
      <c r="AU8" s="169">
        <v>0</v>
      </c>
      <c r="AV8" s="169">
        <v>0</v>
      </c>
      <c r="AW8" s="169">
        <v>0</v>
      </c>
      <c r="AX8" s="169">
        <v>0</v>
      </c>
      <c r="AY8" s="169">
        <v>0</v>
      </c>
      <c r="AZ8" s="169">
        <v>0</v>
      </c>
      <c r="BA8" s="169">
        <v>0</v>
      </c>
      <c r="BB8" s="169">
        <v>0</v>
      </c>
      <c r="BC8" s="169">
        <v>0</v>
      </c>
      <c r="BD8" s="169">
        <v>0</v>
      </c>
      <c r="BE8" s="169">
        <v>0</v>
      </c>
      <c r="BF8" s="169">
        <v>0</v>
      </c>
      <c r="BG8" s="169">
        <v>0</v>
      </c>
      <c r="BH8" s="169">
        <v>0</v>
      </c>
      <c r="BI8" s="169">
        <v>0</v>
      </c>
      <c r="BJ8" s="169">
        <v>0</v>
      </c>
      <c r="BK8" s="169">
        <v>0</v>
      </c>
      <c r="BL8" s="169">
        <v>0</v>
      </c>
      <c r="BM8" s="169">
        <v>0</v>
      </c>
      <c r="BN8" s="170">
        <v>0</v>
      </c>
    </row>
    <row r="9" spans="1:66" x14ac:dyDescent="0.3">
      <c r="A9" s="160"/>
      <c r="B9" s="166">
        <f t="shared" si="1"/>
        <v>0</v>
      </c>
      <c r="C9" s="167" t="e">
        <f>VLOOKUP(MID($B9,1,2),'[2]Free Spins Symbol'!$AD$7:$AI$8,2,0)
*VLOOKUP(MID($B9,4,2),'[2]Free Spins Symbol'!$AD$7:$AI$8,3,0)
*VLOOKUP(MID($B9,7,2),'[2]Free Spins Symbol'!$AD$7:$AI$8,4,0)
*VLOOKUP(MID($B9,10,2),'[2]Free Spins Symbol'!$AD$7:$AI$8,5,0)
*VLOOKUP(MID($B9,13,2),'[2]Free Spins Symbol'!$AD$7:$AI$8,6,0)</f>
        <v>#N/A</v>
      </c>
      <c r="D9" s="168" t="e">
        <f>1
*VLOOKUP(MID($B9,4,2),'[2]Free Spins Symbol'!$AD$7:$AI$8,3,0)
*VLOOKUP(MID($B9,7,2),'[2]Free Spins Symbol'!$AD$7:$AI$8,4,0)
*VLOOKUP(MID($B9,10,2),'[2]Free Spins Symbol'!$AD$7:$AI$8,5,0)
*VLOOKUP(MID($B9,13,2),'[2]Free Spins Symbol'!$AD$7:$AI$8,6,0)</f>
        <v>#N/A</v>
      </c>
      <c r="E9" s="169">
        <v>0</v>
      </c>
      <c r="F9" s="168" t="e">
        <f>VLOOKUP(MID($B9,1,2),'[2]Free Spins Symbol'!$AD$7:$AI$8,2,0)
*VLOOKUP(MID($B9,4,2),'[2]Free Spins Symbol'!$AD$7:$AI$8,3,0)
*1
*VLOOKUP(MID($B9,10,2),'[2]Free Spins Symbol'!$AD$7:$AI$8,5,0)
*VLOOKUP(MID($B9,13,2),'[2]Free Spins Symbol'!$AD$7:$AI$8,6,0)</f>
        <v>#N/A</v>
      </c>
      <c r="G9" s="169">
        <v>0</v>
      </c>
      <c r="H9" s="169">
        <v>0</v>
      </c>
      <c r="I9" s="169">
        <v>0</v>
      </c>
      <c r="J9" s="168" t="e">
        <f>1
*VLOOKUP(MID($B9,4,2),'[2]Free Spins Symbol'!$AD$7:$AI$8,3,0)
*1
*VLOOKUP(MID($B9,10,2),'[2]Free Spins Symbol'!$AD$7:$AI$8,5,0)
*VLOOKUP(MID($B9,13,2),'[2]Free Spins Symbol'!$AD$7:$AI$8,6,0)</f>
        <v>#N/A</v>
      </c>
      <c r="K9" s="169">
        <v>0</v>
      </c>
      <c r="L9" s="169">
        <v>0</v>
      </c>
      <c r="M9" s="169">
        <v>0</v>
      </c>
      <c r="N9" s="169">
        <v>0</v>
      </c>
      <c r="O9" s="169">
        <v>0</v>
      </c>
      <c r="P9" s="169">
        <v>0</v>
      </c>
      <c r="Q9" s="169">
        <v>0</v>
      </c>
      <c r="R9" s="169">
        <v>0</v>
      </c>
      <c r="S9" s="169">
        <v>0</v>
      </c>
      <c r="T9" s="169">
        <v>0</v>
      </c>
      <c r="U9" s="169">
        <v>0</v>
      </c>
      <c r="V9" s="169">
        <v>0</v>
      </c>
      <c r="W9" s="169">
        <v>0</v>
      </c>
      <c r="X9" s="169">
        <v>0</v>
      </c>
      <c r="Y9" s="169">
        <v>0</v>
      </c>
      <c r="Z9" s="169">
        <v>0</v>
      </c>
      <c r="AA9" s="169">
        <v>0</v>
      </c>
      <c r="AB9" s="169">
        <v>0</v>
      </c>
      <c r="AC9" s="169">
        <v>0</v>
      </c>
      <c r="AD9" s="169">
        <v>0</v>
      </c>
      <c r="AE9" s="169">
        <v>0</v>
      </c>
      <c r="AF9" s="169">
        <v>0</v>
      </c>
      <c r="AG9" s="169">
        <v>0</v>
      </c>
      <c r="AH9" s="170">
        <v>0</v>
      </c>
      <c r="AI9" s="169">
        <v>0</v>
      </c>
      <c r="AJ9" s="169">
        <v>0</v>
      </c>
      <c r="AK9" s="169">
        <v>0</v>
      </c>
      <c r="AL9" s="168" t="e">
        <f>VLOOKUP(MID($B9,1,2),'[2]Free Spins Symbol'!$AD$7:$AI$8,2,0)
*'[2]Held Stacked Wild'!$L$153
*VLOOKUP(MID($B9,13,2),'[2]Free Spins Symbol'!$AD$7:$AI$8,6,0)</f>
        <v>#N/A</v>
      </c>
      <c r="AM9" s="169">
        <v>0</v>
      </c>
      <c r="AN9" s="169">
        <v>0</v>
      </c>
      <c r="AO9" s="169">
        <v>0</v>
      </c>
      <c r="AP9" s="168" t="e">
        <f>1
*'[2]Held Stacked Wild'!$L$309
*VLOOKUP(MID($B9,13,2),'[2]Free Spins Symbol'!$AD$7:$AI$8,6,0)</f>
        <v>#N/A</v>
      </c>
      <c r="AQ9" s="169">
        <v>0</v>
      </c>
      <c r="AR9" s="169">
        <v>0</v>
      </c>
      <c r="AS9" s="169">
        <v>0</v>
      </c>
      <c r="AT9" s="169">
        <v>0</v>
      </c>
      <c r="AU9" s="169">
        <v>0</v>
      </c>
      <c r="AV9" s="169">
        <v>0</v>
      </c>
      <c r="AW9" s="169">
        <v>0</v>
      </c>
      <c r="AX9" s="169">
        <v>0</v>
      </c>
      <c r="AY9" s="169">
        <v>0</v>
      </c>
      <c r="AZ9" s="169">
        <v>0</v>
      </c>
      <c r="BA9" s="169">
        <v>0</v>
      </c>
      <c r="BB9" s="169">
        <v>0</v>
      </c>
      <c r="BC9" s="169">
        <v>0</v>
      </c>
      <c r="BD9" s="169">
        <v>0</v>
      </c>
      <c r="BE9" s="169">
        <v>0</v>
      </c>
      <c r="BF9" s="169">
        <v>0</v>
      </c>
      <c r="BG9" s="169">
        <v>0</v>
      </c>
      <c r="BH9" s="169">
        <v>0</v>
      </c>
      <c r="BI9" s="169">
        <v>0</v>
      </c>
      <c r="BJ9" s="169">
        <v>0</v>
      </c>
      <c r="BK9" s="169">
        <v>0</v>
      </c>
      <c r="BL9" s="169">
        <v>0</v>
      </c>
      <c r="BM9" s="169">
        <v>0</v>
      </c>
      <c r="BN9" s="170">
        <v>0</v>
      </c>
    </row>
    <row r="10" spans="1:66" x14ac:dyDescent="0.3">
      <c r="A10" s="160"/>
      <c r="B10" s="166">
        <f t="shared" si="1"/>
        <v>0</v>
      </c>
      <c r="C10" s="167" t="e">
        <f>VLOOKUP(MID($B10,1,2),'[2]Free Spins Symbol'!$AD$7:$AI$8,2,0)
*VLOOKUP(MID($B10,4,2),'[2]Free Spins Symbol'!$AD$7:$AI$8,3,0)
*VLOOKUP(MID($B10,7,2),'[2]Free Spins Symbol'!$AD$7:$AI$8,4,0)
*VLOOKUP(MID($B10,10,2),'[2]Free Spins Symbol'!$AD$7:$AI$8,5,0)
*VLOOKUP(MID($B10,13,2),'[2]Free Spins Symbol'!$AD$7:$AI$8,6,0)</f>
        <v>#N/A</v>
      </c>
      <c r="D10" s="168" t="e">
        <f>1
*VLOOKUP(MID($B10,4,2),'[2]Free Spins Symbol'!$AD$7:$AI$8,3,0)
*VLOOKUP(MID($B10,7,2),'[2]Free Spins Symbol'!$AD$7:$AI$8,4,0)
*VLOOKUP(MID($B10,10,2),'[2]Free Spins Symbol'!$AD$7:$AI$8,5,0)
*VLOOKUP(MID($B10,13,2),'[2]Free Spins Symbol'!$AD$7:$AI$8,6,0)</f>
        <v>#N/A</v>
      </c>
      <c r="E10" s="169">
        <v>0</v>
      </c>
      <c r="F10" s="169">
        <v>0</v>
      </c>
      <c r="G10" s="168" t="e">
        <f>VLOOKUP(MID($B10,1,2),'[2]Free Spins Symbol'!$AD$7:$AI$8,2,0)
*VLOOKUP(MID($B10,4,2),'[2]Free Spins Symbol'!$AD$7:$AI$8,3,0)
*VLOOKUP(MID($B10,7,2),'[2]Free Spins Symbol'!$AD$7:$AI$8,4,0)
*1
*VLOOKUP(MID($B10,13,2),'[2]Free Spins Symbol'!$AD$7:$AI$8,6,0)</f>
        <v>#N/A</v>
      </c>
      <c r="H10" s="169">
        <v>0</v>
      </c>
      <c r="I10" s="169">
        <v>0</v>
      </c>
      <c r="J10" s="169">
        <v>0</v>
      </c>
      <c r="K10" s="168" t="e">
        <f>1
*VLOOKUP(MID($B10,4,2),'[2]Free Spins Symbol'!$AD$7:$AI$8,3,0)
*VLOOKUP(MID($B10,7,2),'[2]Free Spins Symbol'!$AD$7:$AI$8,4,0)
*1
*VLOOKUP(MID($B10,13,2),'[2]Free Spins Symbol'!$AD$7:$AI$8,6,0)</f>
        <v>#N/A</v>
      </c>
      <c r="L10" s="169">
        <v>0</v>
      </c>
      <c r="M10" s="169">
        <v>0</v>
      </c>
      <c r="N10" s="169">
        <v>0</v>
      </c>
      <c r="O10" s="169">
        <v>0</v>
      </c>
      <c r="P10" s="169">
        <v>0</v>
      </c>
      <c r="Q10" s="169">
        <v>0</v>
      </c>
      <c r="R10" s="169">
        <v>0</v>
      </c>
      <c r="S10" s="169">
        <v>0</v>
      </c>
      <c r="T10" s="169">
        <v>0</v>
      </c>
      <c r="U10" s="169">
        <v>0</v>
      </c>
      <c r="V10" s="169">
        <v>0</v>
      </c>
      <c r="W10" s="169">
        <v>0</v>
      </c>
      <c r="X10" s="169">
        <v>0</v>
      </c>
      <c r="Y10" s="169">
        <v>0</v>
      </c>
      <c r="Z10" s="169">
        <v>0</v>
      </c>
      <c r="AA10" s="169">
        <v>0</v>
      </c>
      <c r="AB10" s="169">
        <v>0</v>
      </c>
      <c r="AC10" s="169">
        <v>0</v>
      </c>
      <c r="AD10" s="169">
        <v>0</v>
      </c>
      <c r="AE10" s="169">
        <v>0</v>
      </c>
      <c r="AF10" s="169">
        <v>0</v>
      </c>
      <c r="AG10" s="169">
        <v>0</v>
      </c>
      <c r="AH10" s="170">
        <v>0</v>
      </c>
      <c r="AI10" s="169">
        <v>0</v>
      </c>
      <c r="AJ10" s="169">
        <v>0</v>
      </c>
      <c r="AK10" s="169">
        <v>0</v>
      </c>
      <c r="AL10" s="169">
        <v>0</v>
      </c>
      <c r="AM10" s="168" t="e">
        <f>VLOOKUP(MID($B10,1,2),'[2]Free Spins Symbol'!$AD$7:$AI$8,2,0)
*'[2]Held Stacked Wild'!$L$192
*VLOOKUP(MID($B10,13,2),'[2]Free Spins Symbol'!$AD$7:$AI$8,6,0)</f>
        <v>#N/A</v>
      </c>
      <c r="AN10" s="169">
        <v>0</v>
      </c>
      <c r="AO10" s="169">
        <v>0</v>
      </c>
      <c r="AP10" s="169">
        <v>0</v>
      </c>
      <c r="AQ10" s="168" t="e">
        <f>1
*'[2]Held Stacked Wild'!$L$348
*VLOOKUP(MID($B10,13,2),'[2]Free Spins Symbol'!$AD$7:$AI$8,6,0)</f>
        <v>#N/A</v>
      </c>
      <c r="AR10" s="169">
        <v>0</v>
      </c>
      <c r="AS10" s="169">
        <v>0</v>
      </c>
      <c r="AT10" s="169">
        <v>0</v>
      </c>
      <c r="AU10" s="169">
        <v>0</v>
      </c>
      <c r="AV10" s="169">
        <v>0</v>
      </c>
      <c r="AW10" s="169">
        <v>0</v>
      </c>
      <c r="AX10" s="169">
        <v>0</v>
      </c>
      <c r="AY10" s="169">
        <v>0</v>
      </c>
      <c r="AZ10" s="169">
        <v>0</v>
      </c>
      <c r="BA10" s="169">
        <v>0</v>
      </c>
      <c r="BB10" s="169">
        <v>0</v>
      </c>
      <c r="BC10" s="169">
        <v>0</v>
      </c>
      <c r="BD10" s="169">
        <v>0</v>
      </c>
      <c r="BE10" s="169">
        <v>0</v>
      </c>
      <c r="BF10" s="169">
        <v>0</v>
      </c>
      <c r="BG10" s="169">
        <v>0</v>
      </c>
      <c r="BH10" s="169">
        <v>0</v>
      </c>
      <c r="BI10" s="169">
        <v>0</v>
      </c>
      <c r="BJ10" s="169">
        <v>0</v>
      </c>
      <c r="BK10" s="169">
        <v>0</v>
      </c>
      <c r="BL10" s="169">
        <v>0</v>
      </c>
      <c r="BM10" s="169">
        <v>0</v>
      </c>
      <c r="BN10" s="170">
        <v>0</v>
      </c>
    </row>
    <row r="11" spans="1:66" x14ac:dyDescent="0.3">
      <c r="A11" s="160"/>
      <c r="B11" s="166">
        <f t="shared" si="1"/>
        <v>0</v>
      </c>
      <c r="C11" s="167" t="e">
        <f>VLOOKUP(MID($B11,1,2),'[2]Free Spins Symbol'!$AD$7:$AI$8,2,0)
*VLOOKUP(MID($B11,4,2),'[2]Free Spins Symbol'!$AD$7:$AI$8,3,0)
*VLOOKUP(MID($B11,7,2),'[2]Free Spins Symbol'!$AD$7:$AI$8,4,0)
*VLOOKUP(MID($B11,10,2),'[2]Free Spins Symbol'!$AD$7:$AI$8,5,0)
*VLOOKUP(MID($B11,13,2),'[2]Free Spins Symbol'!$AD$7:$AI$8,6,0)</f>
        <v>#N/A</v>
      </c>
      <c r="D11" s="168" t="e">
        <f>1
*VLOOKUP(MID($B11,4,2),'[2]Free Spins Symbol'!$AD$7:$AI$8,3,0)
*VLOOKUP(MID($B11,7,2),'[2]Free Spins Symbol'!$AD$7:$AI$8,4,0)
*VLOOKUP(MID($B11,10,2),'[2]Free Spins Symbol'!$AD$7:$AI$8,5,0)
*VLOOKUP(MID($B11,13,2),'[2]Free Spins Symbol'!$AD$7:$AI$8,6,0)</f>
        <v>#N/A</v>
      </c>
      <c r="E11" s="169">
        <v>0</v>
      </c>
      <c r="F11" s="169">
        <v>0</v>
      </c>
      <c r="G11" s="169">
        <v>0</v>
      </c>
      <c r="H11" s="168" t="e">
        <f>VLOOKUP(MID($B11,1,2),'[2]Free Spins Symbol'!$AD$7:$AI$8,2,0)
*VLOOKUP(MID($B11,4,2),'[2]Free Spins Symbol'!$AD$7:$AI$8,3,0)
*VLOOKUP(MID($B11,7,2),'[2]Free Spins Symbol'!$AD$7:$AI$8,4,0)
*VLOOKUP(MID($B11,10,2),'[2]Free Spins Symbol'!$AD$7:$AI$8,5,0)
*1</f>
        <v>#N/A</v>
      </c>
      <c r="I11" s="169">
        <v>0</v>
      </c>
      <c r="J11" s="169">
        <v>0</v>
      </c>
      <c r="K11" s="169">
        <v>0</v>
      </c>
      <c r="L11" s="168" t="e">
        <f>1
*VLOOKUP(MID($B11,4,2),'[2]Free Spins Symbol'!$AD$7:$AI$8,3,0)
*VLOOKUP(MID($B11,7,2),'[2]Free Spins Symbol'!$AD$7:$AI$8,4,0)
*VLOOKUP(MID($B11,10,2),'[2]Free Spins Symbol'!$AD$7:$AI$8,5,0)
*1</f>
        <v>#N/A</v>
      </c>
      <c r="M11" s="169">
        <v>0</v>
      </c>
      <c r="N11" s="169">
        <v>0</v>
      </c>
      <c r="O11" s="169">
        <v>0</v>
      </c>
      <c r="P11" s="169">
        <v>0</v>
      </c>
      <c r="Q11" s="169">
        <v>0</v>
      </c>
      <c r="R11" s="169">
        <v>0</v>
      </c>
      <c r="S11" s="169">
        <v>0</v>
      </c>
      <c r="T11" s="169">
        <v>0</v>
      </c>
      <c r="U11" s="169">
        <v>0</v>
      </c>
      <c r="V11" s="169">
        <v>0</v>
      </c>
      <c r="W11" s="169">
        <v>0</v>
      </c>
      <c r="X11" s="169">
        <v>0</v>
      </c>
      <c r="Y11" s="169">
        <v>0</v>
      </c>
      <c r="Z11" s="169">
        <v>0</v>
      </c>
      <c r="AA11" s="169">
        <v>0</v>
      </c>
      <c r="AB11" s="169">
        <v>0</v>
      </c>
      <c r="AC11" s="169">
        <v>0</v>
      </c>
      <c r="AD11" s="169">
        <v>0</v>
      </c>
      <c r="AE11" s="169">
        <v>0</v>
      </c>
      <c r="AF11" s="169">
        <v>0</v>
      </c>
      <c r="AG11" s="169">
        <v>0</v>
      </c>
      <c r="AH11" s="170">
        <v>0</v>
      </c>
      <c r="AI11" s="171" t="e">
        <f>VLOOKUP(MID($B11,1,2),'[2]Free Spins Symbol'!$AD$7:$AI$8,2,0)
*'[2]Held Stacked Wild'!$L$36
*VLOOKUP(MID($B11,13,2),'[2]Free Spins Symbol'!$AD$7:$AI$8,6,0)</f>
        <v>#N/A</v>
      </c>
      <c r="AJ11" s="168" t="e">
        <f>1
*'[2]Held Stacked Wild'!$L$75
*VLOOKUP(MID($B11,13,2),'[2]Free Spins Symbol'!$AD$7:$AI$8,6,0)</f>
        <v>#N/A</v>
      </c>
      <c r="AK11" s="169">
        <v>0</v>
      </c>
      <c r="AL11" s="169">
        <v>0</v>
      </c>
      <c r="AM11" s="169">
        <v>0</v>
      </c>
      <c r="AN11" s="168" t="e">
        <f>VLOOKUP(MID($B11,1,2),'[2]Free Spins Symbol'!$AD$7:$AI$8,2,0)
*'[2]Held Stacked Wild'!$L$231
*1</f>
        <v>#N/A</v>
      </c>
      <c r="AO11" s="169">
        <v>0</v>
      </c>
      <c r="AP11" s="169">
        <v>0</v>
      </c>
      <c r="AQ11" s="169">
        <v>0</v>
      </c>
      <c r="AR11" s="168">
        <f>1
*'[2]Held Stacked Wild'!$L$387
*1</f>
        <v>6.1022120518688027E-3</v>
      </c>
      <c r="AS11" s="169">
        <v>0</v>
      </c>
      <c r="AT11" s="169">
        <v>0</v>
      </c>
      <c r="AU11" s="169">
        <v>0</v>
      </c>
      <c r="AV11" s="169">
        <v>0</v>
      </c>
      <c r="AW11" s="169">
        <v>0</v>
      </c>
      <c r="AX11" s="169">
        <v>0</v>
      </c>
      <c r="AY11" s="169">
        <v>0</v>
      </c>
      <c r="AZ11" s="169">
        <v>0</v>
      </c>
      <c r="BA11" s="169">
        <v>0</v>
      </c>
      <c r="BB11" s="169">
        <v>0</v>
      </c>
      <c r="BC11" s="169">
        <v>0</v>
      </c>
      <c r="BD11" s="169">
        <v>0</v>
      </c>
      <c r="BE11" s="169">
        <v>0</v>
      </c>
      <c r="BF11" s="169">
        <v>0</v>
      </c>
      <c r="BG11" s="169">
        <v>0</v>
      </c>
      <c r="BH11" s="169">
        <v>0</v>
      </c>
      <c r="BI11" s="169">
        <v>0</v>
      </c>
      <c r="BJ11" s="169">
        <v>0</v>
      </c>
      <c r="BK11" s="169">
        <v>0</v>
      </c>
      <c r="BL11" s="169">
        <v>0</v>
      </c>
      <c r="BM11" s="169">
        <v>0</v>
      </c>
      <c r="BN11" s="170">
        <v>0</v>
      </c>
    </row>
    <row r="12" spans="1:66" x14ac:dyDescent="0.3">
      <c r="A12" s="160"/>
      <c r="B12" s="166">
        <f t="shared" si="1"/>
        <v>0</v>
      </c>
      <c r="C12" s="167" t="e">
        <f>VLOOKUP(MID($B12,1,2),'[2]Free Spins Symbol'!$AD$7:$AI$8,2,0)
*VLOOKUP(MID($B12,4,2),'[2]Free Spins Symbol'!$AD$7:$AI$8,3,0)
*VLOOKUP(MID($B12,7,2),'[2]Free Spins Symbol'!$AD$7:$AI$8,4,0)
*VLOOKUP(MID($B12,10,2),'[2]Free Spins Symbol'!$AD$7:$AI$8,5,0)
*VLOOKUP(MID($B12,13,2),'[2]Free Spins Symbol'!$AD$7:$AI$8,6,0)</f>
        <v>#N/A</v>
      </c>
      <c r="D12" s="169">
        <v>0</v>
      </c>
      <c r="E12" s="168" t="e">
        <f>VLOOKUP(MID($B12,1,2),'[2]Free Spins Symbol'!$AD$7:$AI$8,2,0)
*1
*VLOOKUP(MID($B12,7,2),'[2]Free Spins Symbol'!$AD$7:$AI$8,4,0)
*VLOOKUP(MID($B12,10,2),'[2]Free Spins Symbol'!$AD$7:$AI$8,5,0)
*VLOOKUP(MID($B12,13,2),'[2]Free Spins Symbol'!$AD$7:$AI$8,6,0)</f>
        <v>#N/A</v>
      </c>
      <c r="F12" s="168" t="e">
        <f>VLOOKUP(MID($B12,1,2),'[2]Free Spins Symbol'!$AD$7:$AI$8,2,0)
*VLOOKUP(MID($B12,4,2),'[2]Free Spins Symbol'!$AD$7:$AI$8,3,0)
*1
*VLOOKUP(MID($B12,10,2),'[2]Free Spins Symbol'!$AD$7:$AI$8,5,0)
*VLOOKUP(MID($B12,13,2),'[2]Free Spins Symbol'!$AD$7:$AI$8,6,0)</f>
        <v>#N/A</v>
      </c>
      <c r="G12" s="169">
        <v>0</v>
      </c>
      <c r="H12" s="169">
        <v>0</v>
      </c>
      <c r="I12" s="169">
        <v>0</v>
      </c>
      <c r="J12" s="169">
        <v>0</v>
      </c>
      <c r="K12" s="169">
        <v>0</v>
      </c>
      <c r="L12" s="169">
        <v>0</v>
      </c>
      <c r="M12" s="168" t="e">
        <f>VLOOKUP(MID($B12,1,2),'[2]Free Spins Symbol'!$AD$7:$AI$8,2,0)
*1
*1
*VLOOKUP(MID($B12,10,2),'[2]Free Spins Symbol'!$AD$7:$AI$8,5,0)
*VLOOKUP(MID($B12,13,2),'[2]Free Spins Symbol'!$AD$7:$AI$8,6,0)</f>
        <v>#N/A</v>
      </c>
      <c r="N12" s="169">
        <v>0</v>
      </c>
      <c r="O12" s="169">
        <v>0</v>
      </c>
      <c r="P12" s="169">
        <v>0</v>
      </c>
      <c r="Q12" s="169">
        <v>0</v>
      </c>
      <c r="R12" s="169">
        <v>0</v>
      </c>
      <c r="S12" s="169">
        <v>0</v>
      </c>
      <c r="T12" s="169">
        <v>0</v>
      </c>
      <c r="U12" s="169">
        <v>0</v>
      </c>
      <c r="V12" s="169">
        <v>0</v>
      </c>
      <c r="W12" s="169">
        <v>0</v>
      </c>
      <c r="X12" s="169">
        <v>0</v>
      </c>
      <c r="Y12" s="169">
        <v>0</v>
      </c>
      <c r="Z12" s="169">
        <v>0</v>
      </c>
      <c r="AA12" s="169">
        <v>0</v>
      </c>
      <c r="AB12" s="169">
        <v>0</v>
      </c>
      <c r="AC12" s="169">
        <v>0</v>
      </c>
      <c r="AD12" s="169">
        <v>0</v>
      </c>
      <c r="AE12" s="169">
        <v>0</v>
      </c>
      <c r="AF12" s="169">
        <v>0</v>
      </c>
      <c r="AG12" s="169">
        <v>0</v>
      </c>
      <c r="AH12" s="170">
        <v>0</v>
      </c>
      <c r="AI12" s="169">
        <v>0</v>
      </c>
      <c r="AJ12" s="169">
        <v>0</v>
      </c>
      <c r="AK12" s="169">
        <v>0</v>
      </c>
      <c r="AL12" s="169">
        <v>0</v>
      </c>
      <c r="AM12" s="169">
        <v>0</v>
      </c>
      <c r="AN12" s="169">
        <v>0</v>
      </c>
      <c r="AO12" s="169">
        <v>0</v>
      </c>
      <c r="AP12" s="169">
        <v>0</v>
      </c>
      <c r="AQ12" s="169">
        <v>0</v>
      </c>
      <c r="AR12" s="169">
        <v>0</v>
      </c>
      <c r="AS12" s="168" t="e">
        <f>VLOOKUP(MID($B12,1,2),'[2]Free Spins Symbol'!$AD$7:$AI$8,2,0)
*'[2]Held Stacked Wild'!$L$426
*VLOOKUP(MID($B12,13,2),'[2]Free Spins Symbol'!$AD$7:$AI$8,6,0)</f>
        <v>#N/A</v>
      </c>
      <c r="AT12" s="169">
        <v>0</v>
      </c>
      <c r="AU12" s="169">
        <v>0</v>
      </c>
      <c r="AV12" s="169">
        <v>0</v>
      </c>
      <c r="AW12" s="169">
        <v>0</v>
      </c>
      <c r="AX12" s="169">
        <v>0</v>
      </c>
      <c r="AY12" s="169">
        <v>0</v>
      </c>
      <c r="AZ12" s="169">
        <v>0</v>
      </c>
      <c r="BA12" s="169">
        <v>0</v>
      </c>
      <c r="BB12" s="169">
        <v>0</v>
      </c>
      <c r="BC12" s="169">
        <v>0</v>
      </c>
      <c r="BD12" s="169">
        <v>0</v>
      </c>
      <c r="BE12" s="169">
        <v>0</v>
      </c>
      <c r="BF12" s="169">
        <v>0</v>
      </c>
      <c r="BG12" s="169">
        <v>0</v>
      </c>
      <c r="BH12" s="169">
        <v>0</v>
      </c>
      <c r="BI12" s="169">
        <v>0</v>
      </c>
      <c r="BJ12" s="169">
        <v>0</v>
      </c>
      <c r="BK12" s="169">
        <v>0</v>
      </c>
      <c r="BL12" s="169">
        <v>0</v>
      </c>
      <c r="BM12" s="169">
        <v>0</v>
      </c>
      <c r="BN12" s="170">
        <v>0</v>
      </c>
    </row>
    <row r="13" spans="1:66" x14ac:dyDescent="0.3">
      <c r="A13" s="160"/>
      <c r="B13" s="166">
        <f t="shared" si="1"/>
        <v>0</v>
      </c>
      <c r="C13" s="167" t="e">
        <f>VLOOKUP(MID($B13,1,2),'[2]Free Spins Symbol'!$AD$7:$AI$8,2,0)
*VLOOKUP(MID($B13,4,2),'[2]Free Spins Symbol'!$AD$7:$AI$8,3,0)
*VLOOKUP(MID($B13,7,2),'[2]Free Spins Symbol'!$AD$7:$AI$8,4,0)
*VLOOKUP(MID($B13,10,2),'[2]Free Spins Symbol'!$AD$7:$AI$8,5,0)
*VLOOKUP(MID($B13,13,2),'[2]Free Spins Symbol'!$AD$7:$AI$8,6,0)</f>
        <v>#N/A</v>
      </c>
      <c r="D13" s="169">
        <v>0</v>
      </c>
      <c r="E13" s="168" t="e">
        <f>VLOOKUP(MID($B13,1,2),'[2]Free Spins Symbol'!$AD$7:$AI$8,2,0)
*1
*VLOOKUP(MID($B13,7,2),'[2]Free Spins Symbol'!$AD$7:$AI$8,4,0)
*VLOOKUP(MID($B13,10,2),'[2]Free Spins Symbol'!$AD$7:$AI$8,5,0)
*VLOOKUP(MID($B13,13,2),'[2]Free Spins Symbol'!$AD$7:$AI$8,6,0)</f>
        <v>#N/A</v>
      </c>
      <c r="F13" s="169">
        <v>0</v>
      </c>
      <c r="G13" s="168" t="e">
        <f>VLOOKUP(MID($B13,1,2),'[2]Free Spins Symbol'!$AD$7:$AI$8,2,0)
*VLOOKUP(MID($B13,4,2),'[2]Free Spins Symbol'!$AD$7:$AI$8,3,0)
*VLOOKUP(MID($B13,7,2),'[2]Free Spins Symbol'!$AD$7:$AI$8,4,0)
*1
*VLOOKUP(MID($B13,13,2),'[2]Free Spins Symbol'!$AD$7:$AI$8,6,0)</f>
        <v>#N/A</v>
      </c>
      <c r="H13" s="169">
        <v>0</v>
      </c>
      <c r="I13" s="169">
        <v>0</v>
      </c>
      <c r="J13" s="169">
        <v>0</v>
      </c>
      <c r="K13" s="169">
        <v>0</v>
      </c>
      <c r="L13" s="169">
        <v>0</v>
      </c>
      <c r="M13" s="169">
        <v>0</v>
      </c>
      <c r="N13" s="168" t="e">
        <f>VLOOKUP(MID($B13,1,2),'[2]Free Spins Symbol'!$AD$7:$AI$8,2,0)
*1
*VLOOKUP(MID($B13,7,2),'[2]Free Spins Symbol'!$AD$7:$AI$8,4,0)
*1
*VLOOKUP(MID($B13,13,2),'[2]Free Spins Symbol'!$AD$7:$AI$8,6,0)</f>
        <v>#N/A</v>
      </c>
      <c r="O13" s="169">
        <v>0</v>
      </c>
      <c r="P13" s="169">
        <v>0</v>
      </c>
      <c r="Q13" s="169">
        <v>0</v>
      </c>
      <c r="R13" s="169">
        <v>0</v>
      </c>
      <c r="S13" s="169">
        <v>0</v>
      </c>
      <c r="T13" s="169">
        <v>0</v>
      </c>
      <c r="U13" s="169">
        <v>0</v>
      </c>
      <c r="V13" s="169">
        <v>0</v>
      </c>
      <c r="W13" s="169">
        <v>0</v>
      </c>
      <c r="X13" s="169">
        <v>0</v>
      </c>
      <c r="Y13" s="169">
        <v>0</v>
      </c>
      <c r="Z13" s="169">
        <v>0</v>
      </c>
      <c r="AA13" s="169">
        <v>0</v>
      </c>
      <c r="AB13" s="169">
        <v>0</v>
      </c>
      <c r="AC13" s="169">
        <v>0</v>
      </c>
      <c r="AD13" s="169">
        <v>0</v>
      </c>
      <c r="AE13" s="169">
        <v>0</v>
      </c>
      <c r="AF13" s="169">
        <v>0</v>
      </c>
      <c r="AG13" s="169">
        <v>0</v>
      </c>
      <c r="AH13" s="170">
        <v>0</v>
      </c>
      <c r="AI13" s="169">
        <v>0</v>
      </c>
      <c r="AJ13" s="169">
        <v>0</v>
      </c>
      <c r="AK13" s="169">
        <v>0</v>
      </c>
      <c r="AL13" s="169">
        <v>0</v>
      </c>
      <c r="AM13" s="169">
        <v>0</v>
      </c>
      <c r="AN13" s="169">
        <v>0</v>
      </c>
      <c r="AO13" s="169">
        <v>0</v>
      </c>
      <c r="AP13" s="169">
        <v>0</v>
      </c>
      <c r="AQ13" s="169">
        <v>0</v>
      </c>
      <c r="AR13" s="169">
        <v>0</v>
      </c>
      <c r="AS13" s="169">
        <v>0</v>
      </c>
      <c r="AT13" s="168" t="e">
        <f>VLOOKUP(MID($B13,1,2),'[2]Free Spins Symbol'!$AD$7:$AI$8,2,0)
*'[2]Held Stacked Wild'!$L$465
*VLOOKUP(MID($B13,13,2),'[2]Free Spins Symbol'!$AD$7:$AI$8,6,0)</f>
        <v>#N/A</v>
      </c>
      <c r="AU13" s="169">
        <v>0</v>
      </c>
      <c r="AV13" s="169">
        <v>0</v>
      </c>
      <c r="AW13" s="169">
        <v>0</v>
      </c>
      <c r="AX13" s="169">
        <v>0</v>
      </c>
      <c r="AY13" s="169">
        <v>0</v>
      </c>
      <c r="AZ13" s="169">
        <v>0</v>
      </c>
      <c r="BA13" s="169">
        <v>0</v>
      </c>
      <c r="BB13" s="169">
        <v>0</v>
      </c>
      <c r="BC13" s="169">
        <v>0</v>
      </c>
      <c r="BD13" s="169">
        <v>0</v>
      </c>
      <c r="BE13" s="169">
        <v>0</v>
      </c>
      <c r="BF13" s="169">
        <v>0</v>
      </c>
      <c r="BG13" s="169">
        <v>0</v>
      </c>
      <c r="BH13" s="169">
        <v>0</v>
      </c>
      <c r="BI13" s="169">
        <v>0</v>
      </c>
      <c r="BJ13" s="169">
        <v>0</v>
      </c>
      <c r="BK13" s="169">
        <v>0</v>
      </c>
      <c r="BL13" s="169">
        <v>0</v>
      </c>
      <c r="BM13" s="169">
        <v>0</v>
      </c>
      <c r="BN13" s="170">
        <v>0</v>
      </c>
    </row>
    <row r="14" spans="1:66" x14ac:dyDescent="0.3">
      <c r="A14" s="160"/>
      <c r="B14" s="166">
        <f t="shared" si="1"/>
        <v>0</v>
      </c>
      <c r="C14" s="167" t="e">
        <f>VLOOKUP(MID($B14,1,2),'[2]Free Spins Symbol'!$AD$7:$AI$8,2,0)
*VLOOKUP(MID($B14,4,2),'[2]Free Spins Symbol'!$AD$7:$AI$8,3,0)
*VLOOKUP(MID($B14,7,2),'[2]Free Spins Symbol'!$AD$7:$AI$8,4,0)
*VLOOKUP(MID($B14,10,2),'[2]Free Spins Symbol'!$AD$7:$AI$8,5,0)
*VLOOKUP(MID($B14,13,2),'[2]Free Spins Symbol'!$AD$7:$AI$8,6,0)</f>
        <v>#N/A</v>
      </c>
      <c r="D14" s="169">
        <v>0</v>
      </c>
      <c r="E14" s="168" t="e">
        <f>VLOOKUP(MID($B14,1,2),'[2]Free Spins Symbol'!$AD$7:$AI$8,2,0)
*1
*VLOOKUP(MID($B14,7,2),'[2]Free Spins Symbol'!$AD$7:$AI$8,4,0)
*VLOOKUP(MID($B14,10,2),'[2]Free Spins Symbol'!$AD$7:$AI$8,5,0)
*VLOOKUP(MID($B14,13,2),'[2]Free Spins Symbol'!$AD$7:$AI$8,6,0)</f>
        <v>#N/A</v>
      </c>
      <c r="F14" s="169">
        <v>0</v>
      </c>
      <c r="G14" s="169">
        <v>0</v>
      </c>
      <c r="H14" s="168" t="e">
        <f>VLOOKUP(MID($B14,1,2),'[2]Free Spins Symbol'!$AD$7:$AI$8,2,0)
*VLOOKUP(MID($B14,4,2),'[2]Free Spins Symbol'!$AD$7:$AI$8,3,0)
*VLOOKUP(MID($B14,7,2),'[2]Free Spins Symbol'!$AD$7:$AI$8,4,0)
*VLOOKUP(MID($B14,10,2),'[2]Free Spins Symbol'!$AD$7:$AI$8,5,0)
*1</f>
        <v>#N/A</v>
      </c>
      <c r="I14" s="169">
        <v>0</v>
      </c>
      <c r="J14" s="169">
        <v>0</v>
      </c>
      <c r="K14" s="169">
        <v>0</v>
      </c>
      <c r="L14" s="169">
        <v>0</v>
      </c>
      <c r="M14" s="169">
        <v>0</v>
      </c>
      <c r="N14" s="169">
        <v>0</v>
      </c>
      <c r="O14" s="168" t="e">
        <f>VLOOKUP(MID($B14,1,2),'[2]Free Spins Symbol'!$AD$7:$AI$8,2,0)
*1
*VLOOKUP(MID($B14,7,2),'[2]Free Spins Symbol'!$AD$7:$AI$8,4,0)
*VLOOKUP(MID($B14,10,2),'[2]Free Spins Symbol'!$AD$7:$AI$8,5,0)
*1</f>
        <v>#N/A</v>
      </c>
      <c r="P14" s="169">
        <v>0</v>
      </c>
      <c r="Q14" s="169">
        <v>0</v>
      </c>
      <c r="R14" s="169">
        <v>0</v>
      </c>
      <c r="S14" s="169">
        <v>0</v>
      </c>
      <c r="T14" s="169">
        <v>0</v>
      </c>
      <c r="U14" s="169">
        <v>0</v>
      </c>
      <c r="V14" s="169">
        <v>0</v>
      </c>
      <c r="W14" s="169">
        <v>0</v>
      </c>
      <c r="X14" s="169">
        <v>0</v>
      </c>
      <c r="Y14" s="169">
        <v>0</v>
      </c>
      <c r="Z14" s="169">
        <v>0</v>
      </c>
      <c r="AA14" s="169">
        <v>0</v>
      </c>
      <c r="AB14" s="169">
        <v>0</v>
      </c>
      <c r="AC14" s="169">
        <v>0</v>
      </c>
      <c r="AD14" s="169">
        <v>0</v>
      </c>
      <c r="AE14" s="169">
        <v>0</v>
      </c>
      <c r="AF14" s="169">
        <v>0</v>
      </c>
      <c r="AG14" s="169">
        <v>0</v>
      </c>
      <c r="AH14" s="170">
        <v>0</v>
      </c>
      <c r="AI14" s="169">
        <v>0</v>
      </c>
      <c r="AJ14" s="169">
        <v>0</v>
      </c>
      <c r="AK14" s="168" t="e">
        <f>VLOOKUP(MID($B14,1,2),'[2]Free Spins Symbol'!$AD$7:$AI$8,2,0)
*'[2]Held Stacked Wild'!$L$114
*VLOOKUP(MID($B14,13,2),'[2]Free Spins Symbol'!$AD$7:$AI$8,6,0)</f>
        <v>#N/A</v>
      </c>
      <c r="AL14" s="169">
        <v>0</v>
      </c>
      <c r="AM14" s="169">
        <v>0</v>
      </c>
      <c r="AN14" s="169">
        <v>0</v>
      </c>
      <c r="AO14" s="169">
        <v>0</v>
      </c>
      <c r="AP14" s="169">
        <v>0</v>
      </c>
      <c r="AQ14" s="169">
        <v>0</v>
      </c>
      <c r="AR14" s="169">
        <v>0</v>
      </c>
      <c r="AS14" s="169">
        <v>0</v>
      </c>
      <c r="AT14" s="169">
        <v>0</v>
      </c>
      <c r="AU14" s="168" t="e">
        <f>VLOOKUP(MID($B14,1,2),'[2]Free Spins Symbol'!$AD$7:$AI$8,2,0)
*'[2]Held Stacked Wild'!$L$504
*1</f>
        <v>#N/A</v>
      </c>
      <c r="AV14" s="169">
        <v>0</v>
      </c>
      <c r="AW14" s="169">
        <v>0</v>
      </c>
      <c r="AX14" s="169">
        <v>0</v>
      </c>
      <c r="AY14" s="169">
        <v>0</v>
      </c>
      <c r="AZ14" s="169">
        <v>0</v>
      </c>
      <c r="BA14" s="169">
        <v>0</v>
      </c>
      <c r="BB14" s="169">
        <v>0</v>
      </c>
      <c r="BC14" s="169">
        <v>0</v>
      </c>
      <c r="BD14" s="169">
        <v>0</v>
      </c>
      <c r="BE14" s="169">
        <v>0</v>
      </c>
      <c r="BF14" s="169">
        <v>0</v>
      </c>
      <c r="BG14" s="169">
        <v>0</v>
      </c>
      <c r="BH14" s="169">
        <v>0</v>
      </c>
      <c r="BI14" s="169">
        <v>0</v>
      </c>
      <c r="BJ14" s="169">
        <v>0</v>
      </c>
      <c r="BK14" s="169">
        <v>0</v>
      </c>
      <c r="BL14" s="169">
        <v>0</v>
      </c>
      <c r="BM14" s="169">
        <v>0</v>
      </c>
      <c r="BN14" s="170">
        <v>0</v>
      </c>
    </row>
    <row r="15" spans="1:66" x14ac:dyDescent="0.3">
      <c r="A15" s="160"/>
      <c r="B15" s="166">
        <f t="shared" si="1"/>
        <v>0</v>
      </c>
      <c r="C15" s="167" t="e">
        <f>VLOOKUP(MID($B15,1,2),'[2]Free Spins Symbol'!$AD$7:$AI$8,2,0)
*VLOOKUP(MID($B15,4,2),'[2]Free Spins Symbol'!$AD$7:$AI$8,3,0)
*VLOOKUP(MID($B15,7,2),'[2]Free Spins Symbol'!$AD$7:$AI$8,4,0)
*VLOOKUP(MID($B15,10,2),'[2]Free Spins Symbol'!$AD$7:$AI$8,5,0)
*VLOOKUP(MID($B15,13,2),'[2]Free Spins Symbol'!$AD$7:$AI$8,6,0)</f>
        <v>#N/A</v>
      </c>
      <c r="D15" s="169">
        <v>0</v>
      </c>
      <c r="E15" s="169">
        <v>0</v>
      </c>
      <c r="F15" s="168" t="e">
        <f>VLOOKUP(MID($B15,1,2),'[2]Free Spins Symbol'!$AD$7:$AI$8,2,0)
*VLOOKUP(MID($B15,4,2),'[2]Free Spins Symbol'!$AD$7:$AI$8,3,0)
*1
*VLOOKUP(MID($B15,10,2),'[2]Free Spins Symbol'!$AD$7:$AI$8,5,0)
*VLOOKUP(MID($B15,13,2),'[2]Free Spins Symbol'!$AD$7:$AI$8,6,0)</f>
        <v>#N/A</v>
      </c>
      <c r="G15" s="168" t="e">
        <f>VLOOKUP(MID($B15,1,2),'[2]Free Spins Symbol'!$AD$7:$AI$8,2,0)
*VLOOKUP(MID($B15,4,2),'[2]Free Spins Symbol'!$AD$7:$AI$8,3,0)
*VLOOKUP(MID($B15,7,2),'[2]Free Spins Symbol'!$AD$7:$AI$8,4,0)
*1
*VLOOKUP(MID($B15,13,2),'[2]Free Spins Symbol'!$AD$7:$AI$8,6,0)</f>
        <v>#N/A</v>
      </c>
      <c r="H15" s="169">
        <v>0</v>
      </c>
      <c r="I15" s="169">
        <v>0</v>
      </c>
      <c r="J15" s="169">
        <v>0</v>
      </c>
      <c r="K15" s="169">
        <v>0</v>
      </c>
      <c r="L15" s="169">
        <v>0</v>
      </c>
      <c r="M15" s="169">
        <v>0</v>
      </c>
      <c r="N15" s="169">
        <v>0</v>
      </c>
      <c r="O15" s="169">
        <v>0</v>
      </c>
      <c r="P15" s="168" t="e">
        <f>VLOOKUP(MID($B15,1,2),'[2]Free Spins Symbol'!$AD$7:$AI$8,2,0)
*VLOOKUP(MID($B15,4,2),'[2]Free Spins Symbol'!$AD$7:$AI$8,3,0)
*1
*1
*VLOOKUP(MID($B15,13,2),'[2]Free Spins Symbol'!$AD$7:$AI$8,6,0)</f>
        <v>#N/A</v>
      </c>
      <c r="Q15" s="169">
        <v>0</v>
      </c>
      <c r="R15" s="169">
        <v>0</v>
      </c>
      <c r="S15" s="169">
        <v>0</v>
      </c>
      <c r="T15" s="169">
        <v>0</v>
      </c>
      <c r="U15" s="169">
        <v>0</v>
      </c>
      <c r="V15" s="169">
        <v>0</v>
      </c>
      <c r="W15" s="169">
        <v>0</v>
      </c>
      <c r="X15" s="169">
        <v>0</v>
      </c>
      <c r="Y15" s="169">
        <v>0</v>
      </c>
      <c r="Z15" s="169">
        <v>0</v>
      </c>
      <c r="AA15" s="169">
        <v>0</v>
      </c>
      <c r="AB15" s="169">
        <v>0</v>
      </c>
      <c r="AC15" s="169">
        <v>0</v>
      </c>
      <c r="AD15" s="169">
        <v>0</v>
      </c>
      <c r="AE15" s="169">
        <v>0</v>
      </c>
      <c r="AF15" s="169">
        <v>0</v>
      </c>
      <c r="AG15" s="169">
        <v>0</v>
      </c>
      <c r="AH15" s="170">
        <v>0</v>
      </c>
      <c r="AI15" s="169">
        <v>0</v>
      </c>
      <c r="AJ15" s="169">
        <v>0</v>
      </c>
      <c r="AK15" s="169">
        <v>0</v>
      </c>
      <c r="AL15" s="169">
        <v>0</v>
      </c>
      <c r="AM15" s="169">
        <v>0</v>
      </c>
      <c r="AN15" s="169">
        <v>0</v>
      </c>
      <c r="AO15" s="169">
        <v>0</v>
      </c>
      <c r="AP15" s="169">
        <v>0</v>
      </c>
      <c r="AQ15" s="169">
        <v>0</v>
      </c>
      <c r="AR15" s="169">
        <v>0</v>
      </c>
      <c r="AS15" s="169">
        <v>0</v>
      </c>
      <c r="AT15" s="169">
        <v>0</v>
      </c>
      <c r="AU15" s="169">
        <v>0</v>
      </c>
      <c r="AV15" s="168" t="e">
        <f>VLOOKUP(MID($B15,1,2),'[2]Free Spins Symbol'!$AD$7:$AI$8,2,0)
*'[2]Held Stacked Wild'!$L$543
*VLOOKUP(MID($B15,13,2),'[2]Free Spins Symbol'!$AD$7:$AI$8,6,0)</f>
        <v>#N/A</v>
      </c>
      <c r="AW15" s="169">
        <v>0</v>
      </c>
      <c r="AX15" s="169">
        <v>0</v>
      </c>
      <c r="AY15" s="169">
        <v>0</v>
      </c>
      <c r="AZ15" s="169">
        <v>0</v>
      </c>
      <c r="BA15" s="169">
        <v>0</v>
      </c>
      <c r="BB15" s="169">
        <v>0</v>
      </c>
      <c r="BC15" s="169">
        <v>0</v>
      </c>
      <c r="BD15" s="169">
        <v>0</v>
      </c>
      <c r="BE15" s="169">
        <v>0</v>
      </c>
      <c r="BF15" s="169">
        <v>0</v>
      </c>
      <c r="BG15" s="169">
        <v>0</v>
      </c>
      <c r="BH15" s="169">
        <v>0</v>
      </c>
      <c r="BI15" s="169">
        <v>0</v>
      </c>
      <c r="BJ15" s="169">
        <v>0</v>
      </c>
      <c r="BK15" s="169">
        <v>0</v>
      </c>
      <c r="BL15" s="169">
        <v>0</v>
      </c>
      <c r="BM15" s="169">
        <v>0</v>
      </c>
      <c r="BN15" s="170">
        <v>0</v>
      </c>
    </row>
    <row r="16" spans="1:66" x14ac:dyDescent="0.3">
      <c r="A16" s="160"/>
      <c r="B16" s="166">
        <f t="shared" si="1"/>
        <v>0</v>
      </c>
      <c r="C16" s="167" t="e">
        <f>VLOOKUP(MID($B16,1,2),'[2]Free Spins Symbol'!$AD$7:$AI$8,2,0)
*VLOOKUP(MID($B16,4,2),'[2]Free Spins Symbol'!$AD$7:$AI$8,3,0)
*VLOOKUP(MID($B16,7,2),'[2]Free Spins Symbol'!$AD$7:$AI$8,4,0)
*VLOOKUP(MID($B16,10,2),'[2]Free Spins Symbol'!$AD$7:$AI$8,5,0)
*VLOOKUP(MID($B16,13,2),'[2]Free Spins Symbol'!$AD$7:$AI$8,6,0)</f>
        <v>#N/A</v>
      </c>
      <c r="D16" s="169">
        <v>0</v>
      </c>
      <c r="E16" s="169">
        <v>0</v>
      </c>
      <c r="F16" s="168" t="e">
        <f>VLOOKUP(MID($B16,1,2),'[2]Free Spins Symbol'!$AD$7:$AI$8,2,0)
*VLOOKUP(MID($B16,4,2),'[2]Free Spins Symbol'!$AD$7:$AI$8,3,0)
*1
*VLOOKUP(MID($B16,10,2),'[2]Free Spins Symbol'!$AD$7:$AI$8,5,0)
*VLOOKUP(MID($B16,13,2),'[2]Free Spins Symbol'!$AD$7:$AI$8,6,0)</f>
        <v>#N/A</v>
      </c>
      <c r="G16" s="169">
        <v>0</v>
      </c>
      <c r="H16" s="168" t="e">
        <f>VLOOKUP(MID($B16,1,2),'[2]Free Spins Symbol'!$AD$7:$AI$8,2,0)
*VLOOKUP(MID($B16,4,2),'[2]Free Spins Symbol'!$AD$7:$AI$8,3,0)
*VLOOKUP(MID($B16,7,2),'[2]Free Spins Symbol'!$AD$7:$AI$8,4,0)
*VLOOKUP(MID($B16,10,2),'[2]Free Spins Symbol'!$AD$7:$AI$8,5,0)
*1</f>
        <v>#N/A</v>
      </c>
      <c r="I16" s="169">
        <v>0</v>
      </c>
      <c r="J16" s="169">
        <v>0</v>
      </c>
      <c r="K16" s="169">
        <v>0</v>
      </c>
      <c r="L16" s="169">
        <v>0</v>
      </c>
      <c r="M16" s="169">
        <v>0</v>
      </c>
      <c r="N16" s="169">
        <v>0</v>
      </c>
      <c r="O16" s="169">
        <v>0</v>
      </c>
      <c r="P16" s="169">
        <v>0</v>
      </c>
      <c r="Q16" s="168" t="e">
        <f>VLOOKUP(MID($B16,1,2),'[2]Free Spins Symbol'!$AD$7:$AI$8,2,0)
*VLOOKUP(MID($B16,4,2),'[2]Free Spins Symbol'!$AD$7:$AI$8,3,0)
*1
*VLOOKUP(MID($B16,10,2),'[2]Free Spins Symbol'!$AD$7:$AI$8,5,0)
*1</f>
        <v>#N/A</v>
      </c>
      <c r="R16" s="169">
        <v>0</v>
      </c>
      <c r="S16" s="169">
        <v>0</v>
      </c>
      <c r="T16" s="169">
        <v>0</v>
      </c>
      <c r="U16" s="169">
        <v>0</v>
      </c>
      <c r="V16" s="169">
        <v>0</v>
      </c>
      <c r="W16" s="169">
        <v>0</v>
      </c>
      <c r="X16" s="169">
        <v>0</v>
      </c>
      <c r="Y16" s="169">
        <v>0</v>
      </c>
      <c r="Z16" s="169">
        <v>0</v>
      </c>
      <c r="AA16" s="169">
        <v>0</v>
      </c>
      <c r="AB16" s="169">
        <v>0</v>
      </c>
      <c r="AC16" s="169">
        <v>0</v>
      </c>
      <c r="AD16" s="169">
        <v>0</v>
      </c>
      <c r="AE16" s="169">
        <v>0</v>
      </c>
      <c r="AF16" s="169">
        <v>0</v>
      </c>
      <c r="AG16" s="169">
        <v>0</v>
      </c>
      <c r="AH16" s="170">
        <v>0</v>
      </c>
      <c r="AI16" s="169">
        <v>0</v>
      </c>
      <c r="AJ16" s="169">
        <v>0</v>
      </c>
      <c r="AK16" s="169">
        <v>0</v>
      </c>
      <c r="AL16" s="168" t="e">
        <f>VLOOKUP(MID($B16,1,2),'[2]Free Spins Symbol'!$AD$7:$AI$8,2,0)
*'[2]Held Stacked Wild'!$L$153
*VLOOKUP(MID($B16,13,2),'[2]Free Spins Symbol'!$AD$7:$AI$8,6,0)</f>
        <v>#N/A</v>
      </c>
      <c r="AM16" s="169">
        <v>0</v>
      </c>
      <c r="AN16" s="169">
        <v>0</v>
      </c>
      <c r="AO16" s="169">
        <v>0</v>
      </c>
      <c r="AP16" s="169">
        <v>0</v>
      </c>
      <c r="AQ16" s="169">
        <v>0</v>
      </c>
      <c r="AR16" s="169">
        <v>0</v>
      </c>
      <c r="AS16" s="169">
        <v>0</v>
      </c>
      <c r="AT16" s="169">
        <v>0</v>
      </c>
      <c r="AU16" s="169">
        <v>0</v>
      </c>
      <c r="AV16" s="169">
        <v>0</v>
      </c>
      <c r="AW16" s="168" t="e">
        <f>VLOOKUP(MID($B16,1,2),'[2]Free Spins Symbol'!$AD$7:$AI$8,2,0)
*'[2]Held Stacked Wild'!$L$582
*1</f>
        <v>#N/A</v>
      </c>
      <c r="AX16" s="169">
        <v>0</v>
      </c>
      <c r="AY16" s="169">
        <v>0</v>
      </c>
      <c r="AZ16" s="169">
        <v>0</v>
      </c>
      <c r="BA16" s="169">
        <v>0</v>
      </c>
      <c r="BB16" s="169">
        <v>0</v>
      </c>
      <c r="BC16" s="169">
        <v>0</v>
      </c>
      <c r="BD16" s="169">
        <v>0</v>
      </c>
      <c r="BE16" s="169">
        <v>0</v>
      </c>
      <c r="BF16" s="169">
        <v>0</v>
      </c>
      <c r="BG16" s="169">
        <v>0</v>
      </c>
      <c r="BH16" s="169">
        <v>0</v>
      </c>
      <c r="BI16" s="169">
        <v>0</v>
      </c>
      <c r="BJ16" s="169">
        <v>0</v>
      </c>
      <c r="BK16" s="169">
        <v>0</v>
      </c>
      <c r="BL16" s="169">
        <v>0</v>
      </c>
      <c r="BM16" s="169">
        <v>0</v>
      </c>
      <c r="BN16" s="170">
        <v>0</v>
      </c>
    </row>
    <row r="17" spans="1:66" x14ac:dyDescent="0.3">
      <c r="A17" s="160"/>
      <c r="B17" s="166">
        <f t="shared" si="1"/>
        <v>0</v>
      </c>
      <c r="C17" s="167" t="e">
        <f>VLOOKUP(MID($B17,1,2),'[2]Free Spins Symbol'!$AD$7:$AI$8,2,0)
*VLOOKUP(MID($B17,4,2),'[2]Free Spins Symbol'!$AD$7:$AI$8,3,0)
*VLOOKUP(MID($B17,7,2),'[2]Free Spins Symbol'!$AD$7:$AI$8,4,0)
*VLOOKUP(MID($B17,10,2),'[2]Free Spins Symbol'!$AD$7:$AI$8,5,0)
*VLOOKUP(MID($B17,13,2),'[2]Free Spins Symbol'!$AD$7:$AI$8,6,0)</f>
        <v>#N/A</v>
      </c>
      <c r="D17" s="169">
        <v>0</v>
      </c>
      <c r="E17" s="169">
        <v>0</v>
      </c>
      <c r="F17" s="169">
        <v>0</v>
      </c>
      <c r="G17" s="168" t="e">
        <f>VLOOKUP(MID($B17,1,2),'[2]Free Spins Symbol'!$AD$7:$AI$8,2,0)
*VLOOKUP(MID($B17,4,2),'[2]Free Spins Symbol'!$AD$7:$AI$8,3,0)
*VLOOKUP(MID($B17,7,2),'[2]Free Spins Symbol'!$AD$7:$AI$8,4,0)
*1
*VLOOKUP(MID($B17,13,2),'[2]Free Spins Symbol'!$AD$7:$AI$8,6,0)</f>
        <v>#N/A</v>
      </c>
      <c r="H17" s="168" t="e">
        <f>VLOOKUP(MID($B17,1,2),'[2]Free Spins Symbol'!$AD$7:$AI$8,2,0)
*VLOOKUP(MID($B17,4,2),'[2]Free Spins Symbol'!$AD$7:$AI$8,3,0)
*VLOOKUP(MID($B17,7,2),'[2]Free Spins Symbol'!$AD$7:$AI$8,4,0)
*VLOOKUP(MID($B17,10,2),'[2]Free Spins Symbol'!$AD$7:$AI$8,5,0)
*1</f>
        <v>#N/A</v>
      </c>
      <c r="I17" s="169">
        <v>0</v>
      </c>
      <c r="J17" s="169">
        <v>0</v>
      </c>
      <c r="K17" s="169">
        <v>0</v>
      </c>
      <c r="L17" s="169">
        <v>0</v>
      </c>
      <c r="M17" s="169">
        <v>0</v>
      </c>
      <c r="N17" s="169">
        <v>0</v>
      </c>
      <c r="O17" s="169">
        <v>0</v>
      </c>
      <c r="P17" s="169">
        <v>0</v>
      </c>
      <c r="Q17" s="169">
        <v>0</v>
      </c>
      <c r="R17" s="168" t="e">
        <f>VLOOKUP(MID($B17,1,2),'[2]Free Spins Symbol'!$AD$7:$AI$8,2,0)
*VLOOKUP(MID($B17,4,2),'[2]Free Spins Symbol'!$AD$7:$AI$8,3,0)
*VLOOKUP(MID($B17,7,2),'[2]Free Spins Symbol'!$AD$7:$AI$8,4,0)
*1
*1</f>
        <v>#N/A</v>
      </c>
      <c r="S17" s="169">
        <v>0</v>
      </c>
      <c r="T17" s="169">
        <v>0</v>
      </c>
      <c r="U17" s="169">
        <v>0</v>
      </c>
      <c r="V17" s="169">
        <v>0</v>
      </c>
      <c r="W17" s="169">
        <v>0</v>
      </c>
      <c r="X17" s="169">
        <v>0</v>
      </c>
      <c r="Y17" s="169">
        <v>0</v>
      </c>
      <c r="Z17" s="169">
        <v>0</v>
      </c>
      <c r="AA17" s="169">
        <v>0</v>
      </c>
      <c r="AB17" s="169">
        <v>0</v>
      </c>
      <c r="AC17" s="169">
        <v>0</v>
      </c>
      <c r="AD17" s="169">
        <v>0</v>
      </c>
      <c r="AE17" s="169">
        <v>0</v>
      </c>
      <c r="AF17" s="169">
        <v>0</v>
      </c>
      <c r="AG17" s="169">
        <v>0</v>
      </c>
      <c r="AH17" s="170">
        <v>0</v>
      </c>
      <c r="AI17" s="169">
        <v>0</v>
      </c>
      <c r="AJ17" s="169">
        <v>0</v>
      </c>
      <c r="AK17" s="169">
        <v>0</v>
      </c>
      <c r="AL17" s="169">
        <v>0</v>
      </c>
      <c r="AM17" s="168" t="e">
        <f>VLOOKUP(MID($B17,1,2),'[2]Free Spins Symbol'!$AD$7:$AI$8,2,0)
*'[2]Held Stacked Wild'!$L$192
*VLOOKUP(MID($B17,13,2),'[2]Free Spins Symbol'!$AD$7:$AI$8,6,0)</f>
        <v>#N/A</v>
      </c>
      <c r="AN17" s="169">
        <v>0</v>
      </c>
      <c r="AO17" s="169">
        <v>0</v>
      </c>
      <c r="AP17" s="169">
        <v>0</v>
      </c>
      <c r="AQ17" s="169">
        <v>0</v>
      </c>
      <c r="AR17" s="169">
        <v>0</v>
      </c>
      <c r="AS17" s="169">
        <v>0</v>
      </c>
      <c r="AT17" s="169">
        <v>0</v>
      </c>
      <c r="AU17" s="169">
        <v>0</v>
      </c>
      <c r="AV17" s="169">
        <v>0</v>
      </c>
      <c r="AW17" s="169">
        <v>0</v>
      </c>
      <c r="AX17" s="168" t="e">
        <f>VLOOKUP(MID($B17,1,2),'[2]Free Spins Symbol'!$AD$7:$AI$8,2,0)
*'[2]Held Stacked Wild'!$L$621
*1</f>
        <v>#N/A</v>
      </c>
      <c r="AY17" s="169">
        <v>0</v>
      </c>
      <c r="AZ17" s="169">
        <v>0</v>
      </c>
      <c r="BA17" s="169">
        <v>0</v>
      </c>
      <c r="BB17" s="169">
        <v>0</v>
      </c>
      <c r="BC17" s="169">
        <v>0</v>
      </c>
      <c r="BD17" s="169">
        <v>0</v>
      </c>
      <c r="BE17" s="169">
        <v>0</v>
      </c>
      <c r="BF17" s="169">
        <v>0</v>
      </c>
      <c r="BG17" s="169">
        <v>0</v>
      </c>
      <c r="BH17" s="169">
        <v>0</v>
      </c>
      <c r="BI17" s="169">
        <v>0</v>
      </c>
      <c r="BJ17" s="169">
        <v>0</v>
      </c>
      <c r="BK17" s="169">
        <v>0</v>
      </c>
      <c r="BL17" s="169">
        <v>0</v>
      </c>
      <c r="BM17" s="169">
        <v>0</v>
      </c>
      <c r="BN17" s="170">
        <v>0</v>
      </c>
    </row>
    <row r="18" spans="1:66" x14ac:dyDescent="0.3">
      <c r="A18" s="160"/>
      <c r="B18" s="166">
        <f t="shared" si="1"/>
        <v>0</v>
      </c>
      <c r="C18" s="167" t="e">
        <f>VLOOKUP(MID($B18,1,2),'[2]Free Spins Symbol'!$AD$7:$AI$8,2,0)
*VLOOKUP(MID($B18,4,2),'[2]Free Spins Symbol'!$AD$7:$AI$8,3,0)
*VLOOKUP(MID($B18,7,2),'[2]Free Spins Symbol'!$AD$7:$AI$8,4,0)
*VLOOKUP(MID($B18,10,2),'[2]Free Spins Symbol'!$AD$7:$AI$8,5,0)
*VLOOKUP(MID($B18,13,2),'[2]Free Spins Symbol'!$AD$7:$AI$8,6,0)</f>
        <v>#N/A</v>
      </c>
      <c r="D18" s="168" t="e">
        <f>1
*VLOOKUP(MID($B18,4,2),'[2]Free Spins Symbol'!$AD$7:$AI$8,3,0)
*VLOOKUP(MID($B18,7,2),'[2]Free Spins Symbol'!$AD$7:$AI$8,4,0)
*VLOOKUP(MID($B18,10,2),'[2]Free Spins Symbol'!$AD$7:$AI$8,5,0)
*VLOOKUP(MID($B18,13,2),'[2]Free Spins Symbol'!$AD$7:$AI$8,6,0)</f>
        <v>#N/A</v>
      </c>
      <c r="E18" s="168" t="e">
        <f>VLOOKUP(MID($B18,1,2),'[2]Free Spins Symbol'!$AD$7:$AI$8,2,0)
*1
*VLOOKUP(MID($B18,7,2),'[2]Free Spins Symbol'!$AD$7:$AI$8,4,0)
*VLOOKUP(MID($B18,10,2),'[2]Free Spins Symbol'!$AD$7:$AI$8,5,0)
*VLOOKUP(MID($B18,13,2),'[2]Free Spins Symbol'!$AD$7:$AI$8,6,0)</f>
        <v>#N/A</v>
      </c>
      <c r="F18" s="168" t="e">
        <f>VLOOKUP(MID($B18,1,2),'[2]Free Spins Symbol'!$AD$7:$AI$8,2,0)
*VLOOKUP(MID($B18,4,2),'[2]Free Spins Symbol'!$AD$7:$AI$8,3,0)
*1
*VLOOKUP(MID($B18,10,2),'[2]Free Spins Symbol'!$AD$7:$AI$8,5,0)
*VLOOKUP(MID($B18,13,2),'[2]Free Spins Symbol'!$AD$7:$AI$8,6,0)</f>
        <v>#N/A</v>
      </c>
      <c r="G18" s="169">
        <v>0</v>
      </c>
      <c r="H18" s="169">
        <v>0</v>
      </c>
      <c r="I18" s="168" t="e">
        <f>1
*1
*VLOOKUP(MID($B18,7,2),'[2]Free Spins Symbol'!$AD$7:$AI$8,4,0)
*VLOOKUP(MID($B18,10,2),'[2]Free Spins Symbol'!$AD$7:$AI$8,5,0)
*VLOOKUP(MID($B18,13,2),'[2]Free Spins Symbol'!$AD$7:$AI$8,6,0)</f>
        <v>#N/A</v>
      </c>
      <c r="J18" s="168" t="e">
        <f>1
*VLOOKUP(MID($B18,4,2),'[2]Free Spins Symbol'!$AD$7:$AI$8,3,0)
*1
*VLOOKUP(MID($B18,10,2),'[2]Free Spins Symbol'!$AD$7:$AI$8,5,0)
*VLOOKUP(MID($B18,13,2),'[2]Free Spins Symbol'!$AD$7:$AI$8,6,0)</f>
        <v>#N/A</v>
      </c>
      <c r="K18" s="169">
        <v>0</v>
      </c>
      <c r="L18" s="169">
        <v>0</v>
      </c>
      <c r="M18" s="168" t="e">
        <f>VLOOKUP(MID($B18,1,2),'[2]Free Spins Symbol'!$AD$7:$AI$8,2,0)
*1
*1
*VLOOKUP(MID($B18,10,2),'[2]Free Spins Symbol'!$AD$7:$AI$8,5,0)
*VLOOKUP(MID($B18,13,2),'[2]Free Spins Symbol'!$AD$7:$AI$8,6,0)</f>
        <v>#N/A</v>
      </c>
      <c r="N18" s="169">
        <v>0</v>
      </c>
      <c r="O18" s="169">
        <v>0</v>
      </c>
      <c r="P18" s="169">
        <v>0</v>
      </c>
      <c r="Q18" s="169">
        <v>0</v>
      </c>
      <c r="R18" s="169">
        <v>0</v>
      </c>
      <c r="S18" s="168" t="e">
        <f>1
*1
*1
*VLOOKUP(MID($B18,10,2),'[2]Free Spins Symbol'!$AD$7:$AI$8,5,0)
*VLOOKUP(MID($B18,13,2),'[2]Free Spins Symbol'!$AD$7:$AI$8,6,0)</f>
        <v>#N/A</v>
      </c>
      <c r="T18" s="169">
        <v>0</v>
      </c>
      <c r="U18" s="169">
        <v>0</v>
      </c>
      <c r="V18" s="169">
        <v>0</v>
      </c>
      <c r="W18" s="169">
        <v>0</v>
      </c>
      <c r="X18" s="169">
        <v>0</v>
      </c>
      <c r="Y18" s="169">
        <v>0</v>
      </c>
      <c r="Z18" s="169">
        <v>0</v>
      </c>
      <c r="AA18" s="169">
        <v>0</v>
      </c>
      <c r="AB18" s="169">
        <v>0</v>
      </c>
      <c r="AC18" s="169">
        <v>0</v>
      </c>
      <c r="AD18" s="169">
        <v>0</v>
      </c>
      <c r="AE18" s="169">
        <v>0</v>
      </c>
      <c r="AF18" s="169">
        <v>0</v>
      </c>
      <c r="AG18" s="169">
        <v>0</v>
      </c>
      <c r="AH18" s="170">
        <v>0</v>
      </c>
      <c r="AI18" s="169">
        <v>0</v>
      </c>
      <c r="AJ18" s="169">
        <v>0</v>
      </c>
      <c r="AK18" s="169">
        <v>0</v>
      </c>
      <c r="AL18" s="169">
        <v>0</v>
      </c>
      <c r="AM18" s="169">
        <v>0</v>
      </c>
      <c r="AN18" s="169">
        <v>0</v>
      </c>
      <c r="AO18" s="169">
        <v>0</v>
      </c>
      <c r="AP18" s="169">
        <v>0</v>
      </c>
      <c r="AQ18" s="169">
        <v>0</v>
      </c>
      <c r="AR18" s="169">
        <v>0</v>
      </c>
      <c r="AS18" s="168" t="e">
        <f>VLOOKUP(MID($B18,1,2),'[2]Free Spins Symbol'!$AD$7:$AI$8,2,0)
*'[2]Held Stacked Wild'!$L$426
*VLOOKUP(MID($B18,13,2),'[2]Free Spins Symbol'!$AD$7:$AI$8,6,0)</f>
        <v>#N/A</v>
      </c>
      <c r="AT18" s="169">
        <v>0</v>
      </c>
      <c r="AU18" s="169">
        <v>0</v>
      </c>
      <c r="AV18" s="169">
        <v>0</v>
      </c>
      <c r="AW18" s="169">
        <v>0</v>
      </c>
      <c r="AX18" s="169">
        <v>0</v>
      </c>
      <c r="AY18" s="168" t="e">
        <f>1
*'[2]Held Stacked Wild'!$L$660
*VLOOKUP(MID($B18,13,2),'[2]Free Spins Symbol'!$AD$7:$AI$8,6,0)</f>
        <v>#N/A</v>
      </c>
      <c r="AZ18" s="169">
        <v>0</v>
      </c>
      <c r="BA18" s="169">
        <v>0</v>
      </c>
      <c r="BB18" s="169">
        <v>0</v>
      </c>
      <c r="BC18" s="169">
        <v>0</v>
      </c>
      <c r="BD18" s="169">
        <v>0</v>
      </c>
      <c r="BE18" s="169">
        <v>0</v>
      </c>
      <c r="BF18" s="169">
        <v>0</v>
      </c>
      <c r="BG18" s="169">
        <v>0</v>
      </c>
      <c r="BH18" s="169">
        <v>0</v>
      </c>
      <c r="BI18" s="169">
        <v>0</v>
      </c>
      <c r="BJ18" s="169">
        <v>0</v>
      </c>
      <c r="BK18" s="169">
        <v>0</v>
      </c>
      <c r="BL18" s="169">
        <v>0</v>
      </c>
      <c r="BM18" s="169">
        <v>0</v>
      </c>
      <c r="BN18" s="170">
        <v>0</v>
      </c>
    </row>
    <row r="19" spans="1:66" x14ac:dyDescent="0.3">
      <c r="A19" s="160"/>
      <c r="B19" s="166">
        <f t="shared" si="1"/>
        <v>0</v>
      </c>
      <c r="C19" s="167" t="e">
        <f>VLOOKUP(MID($B19,1,2),'[2]Free Spins Symbol'!$AD$7:$AI$8,2,0)
*VLOOKUP(MID($B19,4,2),'[2]Free Spins Symbol'!$AD$7:$AI$8,3,0)
*VLOOKUP(MID($B19,7,2),'[2]Free Spins Symbol'!$AD$7:$AI$8,4,0)
*VLOOKUP(MID($B19,10,2),'[2]Free Spins Symbol'!$AD$7:$AI$8,5,0)
*VLOOKUP(MID($B19,13,2),'[2]Free Spins Symbol'!$AD$7:$AI$8,6,0)</f>
        <v>#N/A</v>
      </c>
      <c r="D19" s="168" t="e">
        <f>1
*VLOOKUP(MID($B19,4,2),'[2]Free Spins Symbol'!$AD$7:$AI$8,3,0)
*VLOOKUP(MID($B19,7,2),'[2]Free Spins Symbol'!$AD$7:$AI$8,4,0)
*VLOOKUP(MID($B19,10,2),'[2]Free Spins Symbol'!$AD$7:$AI$8,5,0)
*VLOOKUP(MID($B19,13,2),'[2]Free Spins Symbol'!$AD$7:$AI$8,6,0)</f>
        <v>#N/A</v>
      </c>
      <c r="E19" s="168" t="e">
        <f>VLOOKUP(MID($B19,1,2),'[2]Free Spins Symbol'!$AD$7:$AI$8,2,0)
*1
*VLOOKUP(MID($B19,7,2),'[2]Free Spins Symbol'!$AD$7:$AI$8,4,0)
*VLOOKUP(MID($B19,10,2),'[2]Free Spins Symbol'!$AD$7:$AI$8,5,0)
*VLOOKUP(MID($B19,13,2),'[2]Free Spins Symbol'!$AD$7:$AI$8,6,0)</f>
        <v>#N/A</v>
      </c>
      <c r="F19" s="169">
        <v>0</v>
      </c>
      <c r="G19" s="168" t="e">
        <f>VLOOKUP(MID($B19,1,2),'[2]Free Spins Symbol'!$AD$7:$AI$8,2,0)
*VLOOKUP(MID($B19,4,2),'[2]Free Spins Symbol'!$AD$7:$AI$8,3,0)
*VLOOKUP(MID($B19,7,2),'[2]Free Spins Symbol'!$AD$7:$AI$8,4,0)
*1
*VLOOKUP(MID($B19,13,2),'[2]Free Spins Symbol'!$AD$7:$AI$8,6,0)</f>
        <v>#N/A</v>
      </c>
      <c r="H19" s="169">
        <v>0</v>
      </c>
      <c r="I19" s="168" t="e">
        <f>1
*1
*VLOOKUP(MID($B19,7,2),'[2]Free Spins Symbol'!$AD$7:$AI$8,4,0)
*VLOOKUP(MID($B19,10,2),'[2]Free Spins Symbol'!$AD$7:$AI$8,5,0)
*VLOOKUP(MID($B19,13,2),'[2]Free Spins Symbol'!$AD$7:$AI$8,6,0)</f>
        <v>#N/A</v>
      </c>
      <c r="J19" s="169">
        <v>0</v>
      </c>
      <c r="K19" s="168" t="e">
        <f>1
*VLOOKUP(MID($B19,4,2),'[2]Free Spins Symbol'!$AD$7:$AI$8,3,0)
*VLOOKUP(MID($B19,7,2),'[2]Free Spins Symbol'!$AD$7:$AI$8,4,0)
*1
*VLOOKUP(MID($B19,13,2),'[2]Free Spins Symbol'!$AD$7:$AI$8,6,0)</f>
        <v>#N/A</v>
      </c>
      <c r="L19" s="169">
        <v>0</v>
      </c>
      <c r="M19" s="169">
        <v>0</v>
      </c>
      <c r="N19" s="168" t="e">
        <f>VLOOKUP(MID($B19,1,2),'[2]Free Spins Symbol'!$AD$7:$AI$8,2,0)
*1
*VLOOKUP(MID($B19,7,2),'[2]Free Spins Symbol'!$AD$7:$AI$8,4,0)
*1
*VLOOKUP(MID($B19,13,2),'[2]Free Spins Symbol'!$AD$7:$AI$8,6,0)</f>
        <v>#N/A</v>
      </c>
      <c r="O19" s="169">
        <v>0</v>
      </c>
      <c r="P19" s="169">
        <v>0</v>
      </c>
      <c r="Q19" s="169">
        <v>0</v>
      </c>
      <c r="R19" s="169">
        <v>0</v>
      </c>
      <c r="S19" s="169">
        <v>0</v>
      </c>
      <c r="T19" s="168" t="e">
        <f>1
*1
*VLOOKUP(MID($B19,7,2),'[2]Free Spins Symbol'!$AD$7:$AI$8,4,0)
*1
*VLOOKUP(MID($B19,13,2),'[2]Free Spins Symbol'!$AD$7:$AI$8,6,0)</f>
        <v>#N/A</v>
      </c>
      <c r="U19" s="169">
        <v>0</v>
      </c>
      <c r="V19" s="169">
        <v>0</v>
      </c>
      <c r="W19" s="169">
        <v>0</v>
      </c>
      <c r="X19" s="169">
        <v>0</v>
      </c>
      <c r="Y19" s="169">
        <v>0</v>
      </c>
      <c r="Z19" s="169">
        <v>0</v>
      </c>
      <c r="AA19" s="169">
        <v>0</v>
      </c>
      <c r="AB19" s="169">
        <v>0</v>
      </c>
      <c r="AC19" s="169">
        <v>0</v>
      </c>
      <c r="AD19" s="169">
        <v>0</v>
      </c>
      <c r="AE19" s="169">
        <v>0</v>
      </c>
      <c r="AF19" s="169">
        <v>0</v>
      </c>
      <c r="AG19" s="169">
        <v>0</v>
      </c>
      <c r="AH19" s="170">
        <v>0</v>
      </c>
      <c r="AI19" s="169">
        <v>0</v>
      </c>
      <c r="AJ19" s="169">
        <v>0</v>
      </c>
      <c r="AK19" s="169">
        <v>0</v>
      </c>
      <c r="AL19" s="169">
        <v>0</v>
      </c>
      <c r="AM19" s="169">
        <v>0</v>
      </c>
      <c r="AN19" s="169">
        <v>0</v>
      </c>
      <c r="AO19" s="169">
        <v>0</v>
      </c>
      <c r="AP19" s="169">
        <v>0</v>
      </c>
      <c r="AQ19" s="169">
        <v>0</v>
      </c>
      <c r="AR19" s="169">
        <v>0</v>
      </c>
      <c r="AS19" s="169">
        <v>0</v>
      </c>
      <c r="AT19" s="168" t="e">
        <f>VLOOKUP(MID($B19,1,2),'[2]Free Spins Symbol'!$AD$7:$AI$8,2,0)
*'[2]Held Stacked Wild'!$L$465
*VLOOKUP(MID($B19,13,2),'[2]Free Spins Symbol'!$AD$7:$AI$8,6,0)</f>
        <v>#N/A</v>
      </c>
      <c r="AU19" s="169">
        <v>0</v>
      </c>
      <c r="AV19" s="169">
        <v>0</v>
      </c>
      <c r="AW19" s="169">
        <v>0</v>
      </c>
      <c r="AX19" s="169">
        <v>0</v>
      </c>
      <c r="AY19" s="169">
        <v>0</v>
      </c>
      <c r="AZ19" s="168" t="e">
        <f>1
*'[2]Held Stacked Wild'!$L$699
*VLOOKUP(MID($B19,13,2),'[2]Free Spins Symbol'!$AD$7:$AI$8,6,0)</f>
        <v>#N/A</v>
      </c>
      <c r="BA19" s="169">
        <v>0</v>
      </c>
      <c r="BB19" s="169">
        <v>0</v>
      </c>
      <c r="BC19" s="169">
        <v>0</v>
      </c>
      <c r="BD19" s="169">
        <v>0</v>
      </c>
      <c r="BE19" s="169">
        <v>0</v>
      </c>
      <c r="BF19" s="169">
        <v>0</v>
      </c>
      <c r="BG19" s="169">
        <v>0</v>
      </c>
      <c r="BH19" s="169">
        <v>0</v>
      </c>
      <c r="BI19" s="169">
        <v>0</v>
      </c>
      <c r="BJ19" s="169">
        <v>0</v>
      </c>
      <c r="BK19" s="169">
        <v>0</v>
      </c>
      <c r="BL19" s="169">
        <v>0</v>
      </c>
      <c r="BM19" s="169">
        <v>0</v>
      </c>
      <c r="BN19" s="170">
        <v>0</v>
      </c>
    </row>
    <row r="20" spans="1:66" x14ac:dyDescent="0.3">
      <c r="A20" s="160"/>
      <c r="B20" s="166">
        <f t="shared" si="1"/>
        <v>0</v>
      </c>
      <c r="C20" s="167" t="e">
        <f>VLOOKUP(MID($B20,1,2),'[2]Free Spins Symbol'!$AD$7:$AI$8,2,0)
*VLOOKUP(MID($B20,4,2),'[2]Free Spins Symbol'!$AD$7:$AI$8,3,0)
*VLOOKUP(MID($B20,7,2),'[2]Free Spins Symbol'!$AD$7:$AI$8,4,0)
*VLOOKUP(MID($B20,10,2),'[2]Free Spins Symbol'!$AD$7:$AI$8,5,0)
*VLOOKUP(MID($B20,13,2),'[2]Free Spins Symbol'!$AD$7:$AI$8,6,0)</f>
        <v>#N/A</v>
      </c>
      <c r="D20" s="168" t="e">
        <f>1
*VLOOKUP(MID($B20,4,2),'[2]Free Spins Symbol'!$AD$7:$AI$8,3,0)
*VLOOKUP(MID($B20,7,2),'[2]Free Spins Symbol'!$AD$7:$AI$8,4,0)
*VLOOKUP(MID($B20,10,2),'[2]Free Spins Symbol'!$AD$7:$AI$8,5,0)
*VLOOKUP(MID($B20,13,2),'[2]Free Spins Symbol'!$AD$7:$AI$8,6,0)</f>
        <v>#N/A</v>
      </c>
      <c r="E20" s="169">
        <v>0</v>
      </c>
      <c r="F20" s="168" t="e">
        <f>VLOOKUP(MID($B20,1,2),'[2]Free Spins Symbol'!$AD$7:$AI$8,2,0)
*VLOOKUP(MID($B20,4,2),'[2]Free Spins Symbol'!$AD$7:$AI$8,3,0)
*1
*VLOOKUP(MID($B20,10,2),'[2]Free Spins Symbol'!$AD$7:$AI$8,5,0)
*VLOOKUP(MID($B20,13,2),'[2]Free Spins Symbol'!$AD$7:$AI$8,6,0)</f>
        <v>#N/A</v>
      </c>
      <c r="G20" s="168" t="e">
        <f>VLOOKUP(MID($B20,1,2),'[2]Free Spins Symbol'!$AD$7:$AI$8,2,0)
*VLOOKUP(MID($B20,4,2),'[2]Free Spins Symbol'!$AD$7:$AI$8,3,0)
*VLOOKUP(MID($B20,7,2),'[2]Free Spins Symbol'!$AD$7:$AI$8,4,0)
*1
*VLOOKUP(MID($B20,13,2),'[2]Free Spins Symbol'!$AD$7:$AI$8,6,0)</f>
        <v>#N/A</v>
      </c>
      <c r="H20" s="169">
        <v>0</v>
      </c>
      <c r="I20" s="169">
        <v>0</v>
      </c>
      <c r="J20" s="168" t="e">
        <f>1
*VLOOKUP(MID($B20,4,2),'[2]Free Spins Symbol'!$AD$7:$AI$8,3,0)
*1
*VLOOKUP(MID($B20,10,2),'[2]Free Spins Symbol'!$AD$7:$AI$8,5,0)
*VLOOKUP(MID($B20,13,2),'[2]Free Spins Symbol'!$AD$7:$AI$8,6,0)</f>
        <v>#N/A</v>
      </c>
      <c r="K20" s="168" t="e">
        <f>1
*VLOOKUP(MID($B20,4,2),'[2]Free Spins Symbol'!$AD$7:$AI$8,3,0)
*VLOOKUP(MID($B20,7,2),'[2]Free Spins Symbol'!$AD$7:$AI$8,4,0)
*1
*VLOOKUP(MID($B20,13,2),'[2]Free Spins Symbol'!$AD$7:$AI$8,6,0)</f>
        <v>#N/A</v>
      </c>
      <c r="L20" s="169">
        <v>0</v>
      </c>
      <c r="M20" s="169">
        <v>0</v>
      </c>
      <c r="N20" s="169">
        <v>0</v>
      </c>
      <c r="O20" s="169">
        <v>0</v>
      </c>
      <c r="P20" s="168" t="e">
        <f>VLOOKUP(MID($B20,1,2),'[2]Free Spins Symbol'!$AD$7:$AI$8,2,0)
*VLOOKUP(MID($B20,4,2),'[2]Free Spins Symbol'!$AD$7:$AI$8,3,0)
*1
*1
*VLOOKUP(MID($B20,13,2),'[2]Free Spins Symbol'!$AD$7:$AI$8,6,0)</f>
        <v>#N/A</v>
      </c>
      <c r="Q20" s="169">
        <v>0</v>
      </c>
      <c r="R20" s="169">
        <v>0</v>
      </c>
      <c r="S20" s="169">
        <v>0</v>
      </c>
      <c r="T20" s="169">
        <v>0</v>
      </c>
      <c r="U20" s="168" t="e">
        <f>1
*VLOOKUP(MID($B20,4,2),'[2]Free Spins Symbol'!$AD$7:$AI$8,3,0)
*1
*1
*VLOOKUP(MID($B20,13,2),'[2]Free Spins Symbol'!$AD$7:$AI$8,6,0)</f>
        <v>#N/A</v>
      </c>
      <c r="V20" s="169">
        <v>0</v>
      </c>
      <c r="W20" s="169">
        <v>0</v>
      </c>
      <c r="X20" s="169">
        <v>0</v>
      </c>
      <c r="Y20" s="169">
        <v>0</v>
      </c>
      <c r="Z20" s="169">
        <v>0</v>
      </c>
      <c r="AA20" s="169">
        <v>0</v>
      </c>
      <c r="AB20" s="169">
        <v>0</v>
      </c>
      <c r="AC20" s="169">
        <v>0</v>
      </c>
      <c r="AD20" s="169">
        <v>0</v>
      </c>
      <c r="AE20" s="169">
        <v>0</v>
      </c>
      <c r="AF20" s="169">
        <v>0</v>
      </c>
      <c r="AG20" s="169">
        <v>0</v>
      </c>
      <c r="AH20" s="170">
        <v>0</v>
      </c>
      <c r="AI20" s="169">
        <v>0</v>
      </c>
      <c r="AJ20" s="169">
        <v>0</v>
      </c>
      <c r="AK20" s="169">
        <v>0</v>
      </c>
      <c r="AL20" s="169">
        <v>0</v>
      </c>
      <c r="AM20" s="169">
        <v>0</v>
      </c>
      <c r="AN20" s="169">
        <v>0</v>
      </c>
      <c r="AO20" s="169">
        <v>0</v>
      </c>
      <c r="AP20" s="169">
        <v>0</v>
      </c>
      <c r="AQ20" s="169">
        <v>0</v>
      </c>
      <c r="AR20" s="169">
        <v>0</v>
      </c>
      <c r="AS20" s="169">
        <v>0</v>
      </c>
      <c r="AT20" s="169">
        <v>0</v>
      </c>
      <c r="AU20" s="169">
        <v>0</v>
      </c>
      <c r="AV20" s="168" t="e">
        <f>VLOOKUP(MID($B20,1,2),'[2]Free Spins Symbol'!$AD$7:$AI$8,2,0)
*'[2]Held Stacked Wild'!$L$543
*VLOOKUP(MID($B20,13,2),'[2]Free Spins Symbol'!$AD$7:$AI$8,6,0)</f>
        <v>#N/A</v>
      </c>
      <c r="AW20" s="169">
        <v>0</v>
      </c>
      <c r="AX20" s="169">
        <v>0</v>
      </c>
      <c r="AY20" s="169">
        <v>0</v>
      </c>
      <c r="AZ20" s="169">
        <v>0</v>
      </c>
      <c r="BA20" s="168" t="e">
        <f>1
*'[2]Held Stacked Wild'!$L$738
*VLOOKUP(MID($B20,13,2),'[2]Free Spins Symbol'!$AD$7:$AI$8,6,0)</f>
        <v>#N/A</v>
      </c>
      <c r="BB20" s="169">
        <v>0</v>
      </c>
      <c r="BC20" s="169">
        <v>0</v>
      </c>
      <c r="BD20" s="169">
        <v>0</v>
      </c>
      <c r="BE20" s="169">
        <v>0</v>
      </c>
      <c r="BF20" s="169">
        <v>0</v>
      </c>
      <c r="BG20" s="169">
        <v>0</v>
      </c>
      <c r="BH20" s="169">
        <v>0</v>
      </c>
      <c r="BI20" s="169">
        <v>0</v>
      </c>
      <c r="BJ20" s="169">
        <v>0</v>
      </c>
      <c r="BK20" s="169">
        <v>0</v>
      </c>
      <c r="BL20" s="169">
        <v>0</v>
      </c>
      <c r="BM20" s="169">
        <v>0</v>
      </c>
      <c r="BN20" s="170">
        <v>0</v>
      </c>
    </row>
    <row r="21" spans="1:66" x14ac:dyDescent="0.3">
      <c r="A21" s="160"/>
      <c r="B21" s="166">
        <f t="shared" si="1"/>
        <v>0</v>
      </c>
      <c r="C21" s="167" t="e">
        <f>VLOOKUP(MID($B21,1,2),'[2]Free Spins Symbol'!$AD$7:$AI$8,2,0)
*VLOOKUP(MID($B21,4,2),'[2]Free Spins Symbol'!$AD$7:$AI$8,3,0)
*VLOOKUP(MID($B21,7,2),'[2]Free Spins Symbol'!$AD$7:$AI$8,4,0)
*VLOOKUP(MID($B21,10,2),'[2]Free Spins Symbol'!$AD$7:$AI$8,5,0)
*VLOOKUP(MID($B21,13,2),'[2]Free Spins Symbol'!$AD$7:$AI$8,6,0)</f>
        <v>#N/A</v>
      </c>
      <c r="D21" s="169">
        <v>0</v>
      </c>
      <c r="E21" s="168" t="e">
        <f>VLOOKUP(MID($B21,1,2),'[2]Free Spins Symbol'!$AD$7:$AI$8,2,0)
*1
*VLOOKUP(MID($B21,7,2),'[2]Free Spins Symbol'!$AD$7:$AI$8,4,0)
*VLOOKUP(MID($B21,10,2),'[2]Free Spins Symbol'!$AD$7:$AI$8,5,0)
*VLOOKUP(MID($B21,13,2),'[2]Free Spins Symbol'!$AD$7:$AI$8,6,0)</f>
        <v>#N/A</v>
      </c>
      <c r="F21" s="168" t="e">
        <f>VLOOKUP(MID($B21,1,2),'[2]Free Spins Symbol'!$AD$7:$AI$8,2,0)
*VLOOKUP(MID($B21,4,2),'[2]Free Spins Symbol'!$AD$7:$AI$8,3,0)
*1
*VLOOKUP(MID($B21,10,2),'[2]Free Spins Symbol'!$AD$7:$AI$8,5,0)
*VLOOKUP(MID($B21,13,2),'[2]Free Spins Symbol'!$AD$7:$AI$8,6,0)</f>
        <v>#N/A</v>
      </c>
      <c r="G21" s="168" t="e">
        <f>VLOOKUP(MID($B21,1,2),'[2]Free Spins Symbol'!$AD$7:$AI$8,2,0)
*VLOOKUP(MID($B21,4,2),'[2]Free Spins Symbol'!$AD$7:$AI$8,3,0)
*VLOOKUP(MID($B21,7,2),'[2]Free Spins Symbol'!$AD$7:$AI$8,4,0)
*1
*VLOOKUP(MID($B21,13,2),'[2]Free Spins Symbol'!$AD$7:$AI$8,6,0)</f>
        <v>#N/A</v>
      </c>
      <c r="H21" s="169">
        <v>0</v>
      </c>
      <c r="I21" s="169">
        <v>0</v>
      </c>
      <c r="J21" s="169">
        <v>0</v>
      </c>
      <c r="K21" s="169">
        <v>0</v>
      </c>
      <c r="L21" s="169">
        <v>0</v>
      </c>
      <c r="M21" s="168" t="e">
        <f>VLOOKUP(MID($B21,1,2),'[2]Free Spins Symbol'!$AD$7:$AI$8,2,0)
*1
*1
*VLOOKUP(MID($B21,10,2),'[2]Free Spins Symbol'!$AD$7:$AI$8,5,0)
*VLOOKUP(MID($B21,13,2),'[2]Free Spins Symbol'!$AD$7:$AI$8,6,0)</f>
        <v>#N/A</v>
      </c>
      <c r="N21" s="168" t="e">
        <f>VLOOKUP(MID($B21,1,2),'[2]Free Spins Symbol'!$AD$7:$AI$8,2,0)
*1
*VLOOKUP(MID($B21,7,2),'[2]Free Spins Symbol'!$AD$7:$AI$8,4,0)
*1
*VLOOKUP(MID($B21,13,2),'[2]Free Spins Symbol'!$AD$7:$AI$8,6,0)</f>
        <v>#N/A</v>
      </c>
      <c r="O21" s="169">
        <v>0</v>
      </c>
      <c r="P21" s="168" t="e">
        <f>VLOOKUP(MID($B21,1,2),'[2]Free Spins Symbol'!$AD$7:$AI$8,2,0)
*VLOOKUP(MID($B21,4,2),'[2]Free Spins Symbol'!$AD$7:$AI$8,3,0)
*1
*1
*VLOOKUP(MID($B21,13,2),'[2]Free Spins Symbol'!$AD$7:$AI$8,6,0)</f>
        <v>#N/A</v>
      </c>
      <c r="Q21" s="169">
        <v>0</v>
      </c>
      <c r="R21" s="169">
        <v>0</v>
      </c>
      <c r="S21" s="169">
        <v>0</v>
      </c>
      <c r="T21" s="169">
        <v>0</v>
      </c>
      <c r="U21" s="169">
        <v>0</v>
      </c>
      <c r="V21" s="168" t="e">
        <f>VLOOKUP(MID($B21,1,2),'[2]Free Spins Symbol'!$AD$7:$AI$8,2,0)
*1
*1
*1
*VLOOKUP(MID($B21,13,2),'[2]Free Spins Symbol'!$AD$7:$AI$8,6,0)</f>
        <v>#N/A</v>
      </c>
      <c r="W21" s="169">
        <v>0</v>
      </c>
      <c r="X21" s="169">
        <v>0</v>
      </c>
      <c r="Y21" s="169">
        <v>0</v>
      </c>
      <c r="Z21" s="169">
        <v>0</v>
      </c>
      <c r="AA21" s="169">
        <v>0</v>
      </c>
      <c r="AB21" s="169">
        <v>0</v>
      </c>
      <c r="AC21" s="169">
        <v>0</v>
      </c>
      <c r="AD21" s="169">
        <v>0</v>
      </c>
      <c r="AE21" s="169">
        <v>0</v>
      </c>
      <c r="AF21" s="169">
        <v>0</v>
      </c>
      <c r="AG21" s="169">
        <v>0</v>
      </c>
      <c r="AH21" s="170">
        <v>0</v>
      </c>
      <c r="AI21" s="169">
        <v>0</v>
      </c>
      <c r="AJ21" s="169">
        <v>0</v>
      </c>
      <c r="AK21" s="169">
        <v>0</v>
      </c>
      <c r="AL21" s="169">
        <v>0</v>
      </c>
      <c r="AM21" s="169">
        <v>0</v>
      </c>
      <c r="AN21" s="169">
        <v>0</v>
      </c>
      <c r="AO21" s="169">
        <v>0</v>
      </c>
      <c r="AP21" s="169">
        <v>0</v>
      </c>
      <c r="AQ21" s="169">
        <v>0</v>
      </c>
      <c r="AR21" s="169">
        <v>0</v>
      </c>
      <c r="AS21" s="169">
        <v>0</v>
      </c>
      <c r="AT21" s="169">
        <v>0</v>
      </c>
      <c r="AU21" s="169">
        <v>0</v>
      </c>
      <c r="AV21" s="169">
        <v>0</v>
      </c>
      <c r="AW21" s="169">
        <v>0</v>
      </c>
      <c r="AX21" s="169">
        <v>0</v>
      </c>
      <c r="AY21" s="169">
        <v>0</v>
      </c>
      <c r="AZ21" s="169">
        <v>0</v>
      </c>
      <c r="BA21" s="169">
        <v>0</v>
      </c>
      <c r="BB21" s="168" t="e">
        <f>VLOOKUP(MID($B21,1,2),'[2]Free Spins Symbol'!$AD$7:$AI$8,2,0)
*'[2]Held Stacked Wild'!$L$777
*VLOOKUP(MID($B21,13,2),'[2]Free Spins Symbol'!$AD$7:$AI$8,6,0)</f>
        <v>#N/A</v>
      </c>
      <c r="BC21" s="169">
        <v>0</v>
      </c>
      <c r="BD21" s="169">
        <v>0</v>
      </c>
      <c r="BE21" s="169">
        <v>0</v>
      </c>
      <c r="BF21" s="169">
        <v>0</v>
      </c>
      <c r="BG21" s="169">
        <v>0</v>
      </c>
      <c r="BH21" s="169">
        <v>0</v>
      </c>
      <c r="BI21" s="169">
        <v>0</v>
      </c>
      <c r="BJ21" s="169">
        <v>0</v>
      </c>
      <c r="BK21" s="169">
        <v>0</v>
      </c>
      <c r="BL21" s="169">
        <v>0</v>
      </c>
      <c r="BM21" s="169">
        <v>0</v>
      </c>
      <c r="BN21" s="170">
        <v>0</v>
      </c>
    </row>
    <row r="22" spans="1:66" x14ac:dyDescent="0.3">
      <c r="A22" s="160"/>
      <c r="B22" s="166">
        <f t="shared" si="1"/>
        <v>0</v>
      </c>
      <c r="C22" s="167" t="e">
        <f>VLOOKUP(MID($B22,1,2),'[2]Free Spins Symbol'!$AD$7:$AI$8,2,0)
*VLOOKUP(MID($B22,4,2),'[2]Free Spins Symbol'!$AD$7:$AI$8,3,0)
*VLOOKUP(MID($B22,7,2),'[2]Free Spins Symbol'!$AD$7:$AI$8,4,0)
*VLOOKUP(MID($B22,10,2),'[2]Free Spins Symbol'!$AD$7:$AI$8,5,0)
*VLOOKUP(MID($B22,13,2),'[2]Free Spins Symbol'!$AD$7:$AI$8,6,0)</f>
        <v>#N/A</v>
      </c>
      <c r="D22" s="168" t="e">
        <f>1
*VLOOKUP(MID($B22,4,2),'[2]Free Spins Symbol'!$AD$7:$AI$8,3,0)
*VLOOKUP(MID($B22,7,2),'[2]Free Spins Symbol'!$AD$7:$AI$8,4,0)
*VLOOKUP(MID($B22,10,2),'[2]Free Spins Symbol'!$AD$7:$AI$8,5,0)
*VLOOKUP(MID($B22,13,2),'[2]Free Spins Symbol'!$AD$7:$AI$8,6,0)</f>
        <v>#N/A</v>
      </c>
      <c r="E22" s="168" t="e">
        <f>VLOOKUP(MID($B22,1,2),'[2]Free Spins Symbol'!$AD$7:$AI$8,2,0)
*1
*VLOOKUP(MID($B22,7,2),'[2]Free Spins Symbol'!$AD$7:$AI$8,4,0)
*VLOOKUP(MID($B22,10,2),'[2]Free Spins Symbol'!$AD$7:$AI$8,5,0)
*VLOOKUP(MID($B22,13,2),'[2]Free Spins Symbol'!$AD$7:$AI$8,6,0)</f>
        <v>#N/A</v>
      </c>
      <c r="F22" s="169">
        <v>0</v>
      </c>
      <c r="G22" s="169">
        <v>0</v>
      </c>
      <c r="H22" s="168" t="e">
        <f>VLOOKUP(MID($B22,1,2),'[2]Free Spins Symbol'!$AD$7:$AI$8,2,0)
*VLOOKUP(MID($B22,4,2),'[2]Free Spins Symbol'!$AD$7:$AI$8,3,0)
*VLOOKUP(MID($B22,7,2),'[2]Free Spins Symbol'!$AD$7:$AI$8,4,0)
*VLOOKUP(MID($B22,10,2),'[2]Free Spins Symbol'!$AD$7:$AI$8,5,0)
*1</f>
        <v>#N/A</v>
      </c>
      <c r="I22" s="168" t="e">
        <f>1
*1
*VLOOKUP(MID($B22,7,2),'[2]Free Spins Symbol'!$AD$7:$AI$8,4,0)
*VLOOKUP(MID($B22,10,2),'[2]Free Spins Symbol'!$AD$7:$AI$8,5,0)
*VLOOKUP(MID($B22,13,2),'[2]Free Spins Symbol'!$AD$7:$AI$8,6,0)</f>
        <v>#N/A</v>
      </c>
      <c r="J22" s="169">
        <v>0</v>
      </c>
      <c r="K22" s="169">
        <v>0</v>
      </c>
      <c r="L22" s="168" t="e">
        <f>1
*VLOOKUP(MID($B22,4,2),'[2]Free Spins Symbol'!$AD$7:$AI$8,3,0)
*VLOOKUP(MID($B22,7,2),'[2]Free Spins Symbol'!$AD$7:$AI$8,4,0)
*VLOOKUP(MID($B22,10,2),'[2]Free Spins Symbol'!$AD$7:$AI$8,5,0)
*1</f>
        <v>#N/A</v>
      </c>
      <c r="M22" s="169">
        <v>0</v>
      </c>
      <c r="N22" s="169">
        <v>0</v>
      </c>
      <c r="O22" s="168" t="e">
        <f>VLOOKUP(MID($B22,1,2),'[2]Free Spins Symbol'!$AD$7:$AI$8,2,0)
*1
*VLOOKUP(MID($B22,7,2),'[2]Free Spins Symbol'!$AD$7:$AI$8,4,0)
*VLOOKUP(MID($B22,10,2),'[2]Free Spins Symbol'!$AD$7:$AI$8,5,0)
*1</f>
        <v>#N/A</v>
      </c>
      <c r="P22" s="169">
        <v>0</v>
      </c>
      <c r="Q22" s="169">
        <v>0</v>
      </c>
      <c r="R22" s="169">
        <v>0</v>
      </c>
      <c r="S22" s="169">
        <v>0</v>
      </c>
      <c r="T22" s="169">
        <v>0</v>
      </c>
      <c r="U22" s="169">
        <v>0</v>
      </c>
      <c r="V22" s="169">
        <v>0</v>
      </c>
      <c r="W22" s="168" t="e">
        <f>1
*1
*VLOOKUP(MID($B22,7,2),'[2]Free Spins Symbol'!$AD$7:$AI$8,4,0)
*VLOOKUP(MID($B22,10,2),'[2]Free Spins Symbol'!$AD$7:$AI$8,5,0)
*1</f>
        <v>#N/A</v>
      </c>
      <c r="X22" s="169">
        <v>0</v>
      </c>
      <c r="Y22" s="169">
        <v>0</v>
      </c>
      <c r="Z22" s="169">
        <v>0</v>
      </c>
      <c r="AA22" s="169">
        <v>0</v>
      </c>
      <c r="AB22" s="169">
        <v>0</v>
      </c>
      <c r="AC22" s="169">
        <v>0</v>
      </c>
      <c r="AD22" s="169">
        <v>0</v>
      </c>
      <c r="AE22" s="169">
        <v>0</v>
      </c>
      <c r="AF22" s="169">
        <v>0</v>
      </c>
      <c r="AG22" s="169">
        <v>0</v>
      </c>
      <c r="AH22" s="170">
        <v>0</v>
      </c>
      <c r="AI22" s="169">
        <v>0</v>
      </c>
      <c r="AJ22" s="169">
        <v>0</v>
      </c>
      <c r="AK22" s="174" t="e">
        <f>VLOOKUP(MID($B22,1,2),'[2]Free Spins Symbol'!$AD$7:$AI$8,2,0)
*'[2]Held Stacked Wild'!$L$114
*VLOOKUP(MID($B22,13,2),'[2]Free Spins Symbol'!$AD$7:$AI$8,6,0)</f>
        <v>#N/A</v>
      </c>
      <c r="AL22" s="169">
        <v>0</v>
      </c>
      <c r="AM22" s="169">
        <v>0</v>
      </c>
      <c r="AN22" s="169">
        <v>0</v>
      </c>
      <c r="AO22" s="168" t="e">
        <f>1
*'[2]Held Stacked Wild'!$L$270
*VLOOKUP(MID($B22,13,2),'[2]Free Spins Symbol'!$AD$7:$AI$8,6,0)</f>
        <v>#N/A</v>
      </c>
      <c r="AP22" s="169">
        <v>0</v>
      </c>
      <c r="AQ22" s="169">
        <v>0</v>
      </c>
      <c r="AR22" s="169">
        <v>0</v>
      </c>
      <c r="AS22" s="169">
        <v>0</v>
      </c>
      <c r="AT22" s="169">
        <v>0</v>
      </c>
      <c r="AU22" s="168" t="e">
        <f>VLOOKUP(MID($B22,1,2),'[2]Free Spins Symbol'!$AD$7:$AI$8,2,0)
*'[2]Held Stacked Wild'!$L$504
*1</f>
        <v>#N/A</v>
      </c>
      <c r="AV22" s="169">
        <v>0</v>
      </c>
      <c r="AW22" s="169">
        <v>0</v>
      </c>
      <c r="AX22" s="169">
        <v>0</v>
      </c>
      <c r="AY22" s="169">
        <v>0</v>
      </c>
      <c r="AZ22" s="169">
        <v>0</v>
      </c>
      <c r="BA22" s="169">
        <v>0</v>
      </c>
      <c r="BB22" s="169">
        <v>0</v>
      </c>
      <c r="BC22" s="168">
        <f>1
*'[2]Held Stacked Wild'!$L$816
*1</f>
        <v>6.1022120518688027E-3</v>
      </c>
      <c r="BD22" s="169">
        <v>0</v>
      </c>
      <c r="BE22" s="169">
        <v>0</v>
      </c>
      <c r="BF22" s="169">
        <v>0</v>
      </c>
      <c r="BG22" s="169">
        <v>0</v>
      </c>
      <c r="BH22" s="169">
        <v>0</v>
      </c>
      <c r="BI22" s="169">
        <v>0</v>
      </c>
      <c r="BJ22" s="169">
        <v>0</v>
      </c>
      <c r="BK22" s="169">
        <v>0</v>
      </c>
      <c r="BL22" s="169">
        <v>0</v>
      </c>
      <c r="BM22" s="169">
        <v>0</v>
      </c>
      <c r="BN22" s="170">
        <v>0</v>
      </c>
    </row>
    <row r="23" spans="1:66" x14ac:dyDescent="0.3">
      <c r="A23" s="160"/>
      <c r="B23" s="166">
        <f t="shared" si="1"/>
        <v>0</v>
      </c>
      <c r="C23" s="167" t="e">
        <f>VLOOKUP(MID($B23,1,2),'[2]Free Spins Symbol'!$AD$7:$AI$8,2,0)
*VLOOKUP(MID($B23,4,2),'[2]Free Spins Symbol'!$AD$7:$AI$8,3,0)
*VLOOKUP(MID($B23,7,2),'[2]Free Spins Symbol'!$AD$7:$AI$8,4,0)
*VLOOKUP(MID($B23,10,2),'[2]Free Spins Symbol'!$AD$7:$AI$8,5,0)
*VLOOKUP(MID($B23,13,2),'[2]Free Spins Symbol'!$AD$7:$AI$8,6,0)</f>
        <v>#N/A</v>
      </c>
      <c r="D23" s="168" t="e">
        <f>1
*VLOOKUP(MID($B23,4,2),'[2]Free Spins Symbol'!$AD$7:$AI$8,3,0)
*VLOOKUP(MID($B23,7,2),'[2]Free Spins Symbol'!$AD$7:$AI$8,4,0)
*VLOOKUP(MID($B23,10,2),'[2]Free Spins Symbol'!$AD$7:$AI$8,5,0)
*VLOOKUP(MID($B23,13,2),'[2]Free Spins Symbol'!$AD$7:$AI$8,6,0)</f>
        <v>#N/A</v>
      </c>
      <c r="E23" s="169">
        <v>0</v>
      </c>
      <c r="F23" s="168" t="e">
        <f>VLOOKUP(MID($B23,1,2),'[2]Free Spins Symbol'!$AD$7:$AI$8,2,0)
*VLOOKUP(MID($B23,4,2),'[2]Free Spins Symbol'!$AD$7:$AI$8,3,0)
*1
*VLOOKUP(MID($B23,10,2),'[2]Free Spins Symbol'!$AD$7:$AI$8,5,0)
*VLOOKUP(MID($B23,13,2),'[2]Free Spins Symbol'!$AD$7:$AI$8,6,0)</f>
        <v>#N/A</v>
      </c>
      <c r="G23" s="169">
        <v>0</v>
      </c>
      <c r="H23" s="168" t="e">
        <f>VLOOKUP(MID($B23,1,2),'[2]Free Spins Symbol'!$AD$7:$AI$8,2,0)
*VLOOKUP(MID($B23,4,2),'[2]Free Spins Symbol'!$AD$7:$AI$8,3,0)
*VLOOKUP(MID($B23,7,2),'[2]Free Spins Symbol'!$AD$7:$AI$8,4,0)
*VLOOKUP(MID($B23,10,2),'[2]Free Spins Symbol'!$AD$7:$AI$8,5,0)
*1</f>
        <v>#N/A</v>
      </c>
      <c r="I23" s="169">
        <v>0</v>
      </c>
      <c r="J23" s="168" t="e">
        <f>1
*VLOOKUP(MID($B23,4,2),'[2]Free Spins Symbol'!$AD$7:$AI$8,3,0)
*1
*VLOOKUP(MID($B23,10,2),'[2]Free Spins Symbol'!$AD$7:$AI$8,5,0)
*VLOOKUP(MID($B23,13,2),'[2]Free Spins Symbol'!$AD$7:$AI$8,6,0)</f>
        <v>#N/A</v>
      </c>
      <c r="K23" s="169">
        <v>0</v>
      </c>
      <c r="L23" s="168" t="e">
        <f>1
*VLOOKUP(MID($B23,4,2),'[2]Free Spins Symbol'!$AD$7:$AI$8,3,0)
*VLOOKUP(MID($B23,7,2),'[2]Free Spins Symbol'!$AD$7:$AI$8,4,0)
*VLOOKUP(MID($B23,10,2),'[2]Free Spins Symbol'!$AD$7:$AI$8,5,0)
*1</f>
        <v>#N/A</v>
      </c>
      <c r="M23" s="169">
        <v>0</v>
      </c>
      <c r="N23" s="169">
        <v>0</v>
      </c>
      <c r="O23" s="169">
        <v>0</v>
      </c>
      <c r="P23" s="169">
        <v>0</v>
      </c>
      <c r="Q23" s="168" t="e">
        <f>VLOOKUP(MID($B23,1,2),'[2]Free Spins Symbol'!$AD$7:$AI$8,2,0)
*VLOOKUP(MID($B23,4,2),'[2]Free Spins Symbol'!$AD$7:$AI$8,3,0)
*1
*VLOOKUP(MID($B23,10,2),'[2]Free Spins Symbol'!$AD$7:$AI$8,5,0)
*1</f>
        <v>#N/A</v>
      </c>
      <c r="R23" s="169">
        <v>0</v>
      </c>
      <c r="S23" s="169">
        <v>0</v>
      </c>
      <c r="T23" s="169">
        <v>0</v>
      </c>
      <c r="U23" s="169">
        <v>0</v>
      </c>
      <c r="V23" s="169">
        <v>0</v>
      </c>
      <c r="W23" s="169">
        <v>0</v>
      </c>
      <c r="X23" s="168" t="e">
        <f>1
*VLOOKUP(MID($B23,4,2),'[2]Free Spins Symbol'!$AD$7:$AI$8,3,0)
*1
*VLOOKUP(MID($B23,10,2),'[2]Free Spins Symbol'!$AD$7:$AI$8,5,0)
*1</f>
        <v>#N/A</v>
      </c>
      <c r="Y23" s="169">
        <v>0</v>
      </c>
      <c r="Z23" s="169">
        <v>0</v>
      </c>
      <c r="AA23" s="169">
        <v>0</v>
      </c>
      <c r="AB23" s="169">
        <v>0</v>
      </c>
      <c r="AC23" s="169">
        <v>0</v>
      </c>
      <c r="AD23" s="169">
        <v>0</v>
      </c>
      <c r="AE23" s="169">
        <v>0</v>
      </c>
      <c r="AF23" s="169">
        <v>0</v>
      </c>
      <c r="AG23" s="169">
        <v>0</v>
      </c>
      <c r="AH23" s="170">
        <v>0</v>
      </c>
      <c r="AI23" s="169">
        <v>0</v>
      </c>
      <c r="AJ23" s="169">
        <v>0</v>
      </c>
      <c r="AK23" s="169">
        <v>0</v>
      </c>
      <c r="AL23" s="175" t="e">
        <f>VLOOKUP(MID($B23,1,2),'[2]Free Spins Symbol'!$AD$7:$AI$8,2,0)
*'[2]Held Stacked Wild'!$L$153
*VLOOKUP(MID($B23,13,2),'[2]Free Spins Symbol'!$AD$7:$AI$8,6,0)</f>
        <v>#N/A</v>
      </c>
      <c r="AM23" s="169">
        <v>0</v>
      </c>
      <c r="AN23" s="169">
        <v>0</v>
      </c>
      <c r="AO23" s="169">
        <v>0</v>
      </c>
      <c r="AP23" s="168" t="e">
        <f>1
*'[2]Held Stacked Wild'!$L$309
*VLOOKUP(MID($B23,13,2),'[2]Free Spins Symbol'!$AD$7:$AI$8,6,0)</f>
        <v>#N/A</v>
      </c>
      <c r="AQ23" s="169">
        <v>0</v>
      </c>
      <c r="AR23" s="169">
        <v>0</v>
      </c>
      <c r="AS23" s="169">
        <v>0</v>
      </c>
      <c r="AT23" s="169">
        <v>0</v>
      </c>
      <c r="AU23" s="169">
        <v>0</v>
      </c>
      <c r="AV23" s="169">
        <v>0</v>
      </c>
      <c r="AW23" s="168" t="e">
        <f>VLOOKUP(MID($B23,1,2),'[2]Free Spins Symbol'!$AD$7:$AI$8,2,0)
*'[2]Held Stacked Wild'!$L$582
*1</f>
        <v>#N/A</v>
      </c>
      <c r="AX23" s="169">
        <v>0</v>
      </c>
      <c r="AY23" s="169">
        <v>0</v>
      </c>
      <c r="AZ23" s="169">
        <v>0</v>
      </c>
      <c r="BA23" s="169">
        <v>0</v>
      </c>
      <c r="BB23" s="169">
        <v>0</v>
      </c>
      <c r="BC23" s="169">
        <v>0</v>
      </c>
      <c r="BD23" s="168">
        <f>1
*'[2]Held Stacked Wild'!$L$855
*1</f>
        <v>6.1022120518688027E-3</v>
      </c>
      <c r="BE23" s="169">
        <v>0</v>
      </c>
      <c r="BF23" s="169">
        <v>0</v>
      </c>
      <c r="BG23" s="169">
        <v>0</v>
      </c>
      <c r="BH23" s="169">
        <v>0</v>
      </c>
      <c r="BI23" s="169">
        <v>0</v>
      </c>
      <c r="BJ23" s="169">
        <v>0</v>
      </c>
      <c r="BK23" s="169">
        <v>0</v>
      </c>
      <c r="BL23" s="169">
        <v>0</v>
      </c>
      <c r="BM23" s="169">
        <v>0</v>
      </c>
      <c r="BN23" s="170">
        <v>0</v>
      </c>
    </row>
    <row r="24" spans="1:66" x14ac:dyDescent="0.3">
      <c r="A24" s="160"/>
      <c r="B24" s="166">
        <f t="shared" si="1"/>
        <v>0</v>
      </c>
      <c r="C24" s="167" t="e">
        <f>VLOOKUP(MID($B24,1,2),'[2]Free Spins Symbol'!$AD$7:$AI$8,2,0)
*VLOOKUP(MID($B24,4,2),'[2]Free Spins Symbol'!$AD$7:$AI$8,3,0)
*VLOOKUP(MID($B24,7,2),'[2]Free Spins Symbol'!$AD$7:$AI$8,4,0)
*VLOOKUP(MID($B24,10,2),'[2]Free Spins Symbol'!$AD$7:$AI$8,5,0)
*VLOOKUP(MID($B24,13,2),'[2]Free Spins Symbol'!$AD$7:$AI$8,6,0)</f>
        <v>#N/A</v>
      </c>
      <c r="D24" s="169">
        <v>0</v>
      </c>
      <c r="E24" s="168" t="e">
        <f>VLOOKUP(MID($B24,1,2),'[2]Free Spins Symbol'!$AD$7:$AI$8,2,0)
*1
*VLOOKUP(MID($B24,7,2),'[2]Free Spins Symbol'!$AD$7:$AI$8,4,0)
*VLOOKUP(MID($B24,10,2),'[2]Free Spins Symbol'!$AD$7:$AI$8,5,0)
*VLOOKUP(MID($B24,13,2),'[2]Free Spins Symbol'!$AD$7:$AI$8,6,0)</f>
        <v>#N/A</v>
      </c>
      <c r="F24" s="168" t="e">
        <f>VLOOKUP(MID($B24,1,2),'[2]Free Spins Symbol'!$AD$7:$AI$8,2,0)
*VLOOKUP(MID($B24,4,2),'[2]Free Spins Symbol'!$AD$7:$AI$8,3,0)
*1
*VLOOKUP(MID($B24,10,2),'[2]Free Spins Symbol'!$AD$7:$AI$8,5,0)
*VLOOKUP(MID($B24,13,2),'[2]Free Spins Symbol'!$AD$7:$AI$8,6,0)</f>
        <v>#N/A</v>
      </c>
      <c r="G24" s="169">
        <v>0</v>
      </c>
      <c r="H24" s="168" t="e">
        <f>VLOOKUP(MID($B24,1,2),'[2]Free Spins Symbol'!$AD$7:$AI$8,2,0)
*VLOOKUP(MID($B24,4,2),'[2]Free Spins Symbol'!$AD$7:$AI$8,3,0)
*VLOOKUP(MID($B24,7,2),'[2]Free Spins Symbol'!$AD$7:$AI$8,4,0)
*VLOOKUP(MID($B24,10,2),'[2]Free Spins Symbol'!$AD$7:$AI$8,5,0)
*1</f>
        <v>#N/A</v>
      </c>
      <c r="I24" s="169">
        <v>0</v>
      </c>
      <c r="J24" s="169">
        <v>0</v>
      </c>
      <c r="K24" s="169">
        <v>0</v>
      </c>
      <c r="L24" s="169">
        <v>0</v>
      </c>
      <c r="M24" s="168" t="e">
        <f>VLOOKUP(MID($B24,1,2),'[2]Free Spins Symbol'!$AD$7:$AI$8,2,0)
*1
*1
*VLOOKUP(MID($B24,10,2),'[2]Free Spins Symbol'!$AD$7:$AI$8,5,0)
*VLOOKUP(MID($B24,13,2),'[2]Free Spins Symbol'!$AD$7:$AI$8,6,0)</f>
        <v>#N/A</v>
      </c>
      <c r="N24" s="169">
        <v>0</v>
      </c>
      <c r="O24" s="168" t="e">
        <f>VLOOKUP(MID($B24,1,2),'[2]Free Spins Symbol'!$AD$7:$AI$8,2,0)
*1
*VLOOKUP(MID($B24,7,2),'[2]Free Spins Symbol'!$AD$7:$AI$8,4,0)
*VLOOKUP(MID($B24,10,2),'[2]Free Spins Symbol'!$AD$7:$AI$8,5,0)
*1</f>
        <v>#N/A</v>
      </c>
      <c r="P24" s="169">
        <v>0</v>
      </c>
      <c r="Q24" s="168" t="e">
        <f>VLOOKUP(MID($B24,1,2),'[2]Free Spins Symbol'!$AD$7:$AI$8,2,0)
*VLOOKUP(MID($B24,4,2),'[2]Free Spins Symbol'!$AD$7:$AI$8,3,0)
*1
*VLOOKUP(MID($B24,10,2),'[2]Free Spins Symbol'!$AD$7:$AI$8,5,0)
*1</f>
        <v>#N/A</v>
      </c>
      <c r="R24" s="169">
        <v>0</v>
      </c>
      <c r="S24" s="169">
        <v>0</v>
      </c>
      <c r="T24" s="169">
        <v>0</v>
      </c>
      <c r="U24" s="169">
        <v>0</v>
      </c>
      <c r="V24" s="169">
        <v>0</v>
      </c>
      <c r="W24" s="169">
        <v>0</v>
      </c>
      <c r="X24" s="169">
        <v>0</v>
      </c>
      <c r="Y24" s="168" t="e">
        <f>VLOOKUP(MID($B24,1,2),'[2]Free Spins Symbol'!$AD$7:$AI$8,2,0)
*1
*1
*VLOOKUP(MID($B24,10,2),'[2]Free Spins Symbol'!$AD$7:$AI$8,5,0)
*1</f>
        <v>#N/A</v>
      </c>
      <c r="Z24" s="169">
        <v>0</v>
      </c>
      <c r="AA24" s="169">
        <v>0</v>
      </c>
      <c r="AB24" s="169">
        <v>0</v>
      </c>
      <c r="AC24" s="169">
        <v>0</v>
      </c>
      <c r="AD24" s="169">
        <v>0</v>
      </c>
      <c r="AE24" s="169">
        <v>0</v>
      </c>
      <c r="AF24" s="169">
        <v>0</v>
      </c>
      <c r="AG24" s="169">
        <v>0</v>
      </c>
      <c r="AH24" s="170">
        <v>0</v>
      </c>
      <c r="AI24" s="169">
        <v>0</v>
      </c>
      <c r="AJ24" s="169">
        <v>0</v>
      </c>
      <c r="AK24" s="169">
        <v>0</v>
      </c>
      <c r="AL24" s="169">
        <v>0</v>
      </c>
      <c r="AM24" s="169">
        <v>0</v>
      </c>
      <c r="AN24" s="169">
        <v>0</v>
      </c>
      <c r="AO24" s="169">
        <v>0</v>
      </c>
      <c r="AP24" s="169">
        <v>0</v>
      </c>
      <c r="AQ24" s="169">
        <v>0</v>
      </c>
      <c r="AR24" s="169">
        <v>0</v>
      </c>
      <c r="AS24" s="168" t="e">
        <f>VLOOKUP(MID($B24,1,2),'[2]Free Spins Symbol'!$AD$7:$AI$8,2,0)
*'[2]Held Stacked Wild'!$L$426
*VLOOKUP(MID($B24,13,2),'[2]Free Spins Symbol'!$AD$7:$AI$8,6,0)</f>
        <v>#N/A</v>
      </c>
      <c r="AT24" s="169">
        <v>0</v>
      </c>
      <c r="AU24" s="169">
        <v>0</v>
      </c>
      <c r="AV24" s="169">
        <v>0</v>
      </c>
      <c r="AW24" s="169">
        <v>0</v>
      </c>
      <c r="AX24" s="169">
        <v>0</v>
      </c>
      <c r="AY24" s="169">
        <v>0</v>
      </c>
      <c r="AZ24" s="169">
        <v>0</v>
      </c>
      <c r="BA24" s="169">
        <v>0</v>
      </c>
      <c r="BB24" s="169">
        <v>0</v>
      </c>
      <c r="BC24" s="169">
        <v>0</v>
      </c>
      <c r="BD24" s="169">
        <v>0</v>
      </c>
      <c r="BE24" s="168" t="e">
        <f>VLOOKUP(MID($B24,1,2),'[2]Free Spins Symbol'!$AD$7:$AI$8,2,0)
*'[2]Held Stacked Wild'!$L$894
*1</f>
        <v>#N/A</v>
      </c>
      <c r="BF24" s="169">
        <v>0</v>
      </c>
      <c r="BG24" s="169">
        <v>0</v>
      </c>
      <c r="BH24" s="169">
        <v>0</v>
      </c>
      <c r="BI24" s="169">
        <v>0</v>
      </c>
      <c r="BJ24" s="169">
        <v>0</v>
      </c>
      <c r="BK24" s="169">
        <v>0</v>
      </c>
      <c r="BL24" s="169">
        <v>0</v>
      </c>
      <c r="BM24" s="169">
        <v>0</v>
      </c>
      <c r="BN24" s="170">
        <v>0</v>
      </c>
    </row>
    <row r="25" spans="1:66" x14ac:dyDescent="0.3">
      <c r="A25" s="160"/>
      <c r="B25" s="166">
        <f t="shared" si="1"/>
        <v>0</v>
      </c>
      <c r="C25" s="167" t="e">
        <f>VLOOKUP(MID($B25,1,2),'[2]Free Spins Symbol'!$AD$7:$AI$8,2,0)
*VLOOKUP(MID($B25,4,2),'[2]Free Spins Symbol'!$AD$7:$AI$8,3,0)
*VLOOKUP(MID($B25,7,2),'[2]Free Spins Symbol'!$AD$7:$AI$8,4,0)
*VLOOKUP(MID($B25,10,2),'[2]Free Spins Symbol'!$AD$7:$AI$8,5,0)
*VLOOKUP(MID($B25,13,2),'[2]Free Spins Symbol'!$AD$7:$AI$8,6,0)</f>
        <v>#N/A</v>
      </c>
      <c r="D25" s="168" t="e">
        <f>1
*VLOOKUP(MID($B25,4,2),'[2]Free Spins Symbol'!$AD$7:$AI$8,3,0)
*VLOOKUP(MID($B25,7,2),'[2]Free Spins Symbol'!$AD$7:$AI$8,4,0)
*VLOOKUP(MID($B25,10,2),'[2]Free Spins Symbol'!$AD$7:$AI$8,5,0)
*VLOOKUP(MID($B25,13,2),'[2]Free Spins Symbol'!$AD$7:$AI$8,6,0)</f>
        <v>#N/A</v>
      </c>
      <c r="E25" s="169">
        <v>0</v>
      </c>
      <c r="F25" s="169">
        <v>0</v>
      </c>
      <c r="G25" s="168" t="e">
        <f>VLOOKUP(MID($B25,1,2),'[2]Free Spins Symbol'!$AD$7:$AI$8,2,0)
*VLOOKUP(MID($B25,4,2),'[2]Free Spins Symbol'!$AD$7:$AI$8,3,0)
*VLOOKUP(MID($B25,7,2),'[2]Free Spins Symbol'!$AD$7:$AI$8,4,0)
*1
*VLOOKUP(MID($B25,13,2),'[2]Free Spins Symbol'!$AD$7:$AI$8,6,0)</f>
        <v>#N/A</v>
      </c>
      <c r="H25" s="168" t="e">
        <f>VLOOKUP(MID($B25,1,2),'[2]Free Spins Symbol'!$AD$7:$AI$8,2,0)
*VLOOKUP(MID($B25,4,2),'[2]Free Spins Symbol'!$AD$7:$AI$8,3,0)
*VLOOKUP(MID($B25,7,2),'[2]Free Spins Symbol'!$AD$7:$AI$8,4,0)
*VLOOKUP(MID($B25,10,2),'[2]Free Spins Symbol'!$AD$7:$AI$8,5,0)
*1</f>
        <v>#N/A</v>
      </c>
      <c r="I25" s="169">
        <v>0</v>
      </c>
      <c r="J25" s="169">
        <v>0</v>
      </c>
      <c r="K25" s="168" t="e">
        <f>1
*VLOOKUP(MID($B25,4,2),'[2]Free Spins Symbol'!$AD$7:$AI$8,3,0)
*VLOOKUP(MID($B25,7,2),'[2]Free Spins Symbol'!$AD$7:$AI$8,4,0)
*1
*VLOOKUP(MID($B25,13,2),'[2]Free Spins Symbol'!$AD$7:$AI$8,6,0)</f>
        <v>#N/A</v>
      </c>
      <c r="L25" s="168" t="e">
        <f>1
*VLOOKUP(MID($B25,4,2),'[2]Free Spins Symbol'!$AD$7:$AI$8,3,0)
*VLOOKUP(MID($B25,7,2),'[2]Free Spins Symbol'!$AD$7:$AI$8,4,0)
*VLOOKUP(MID($B25,10,2),'[2]Free Spins Symbol'!$AD$7:$AI$8,5,0)
*1</f>
        <v>#N/A</v>
      </c>
      <c r="M25" s="169">
        <v>0</v>
      </c>
      <c r="N25" s="169">
        <v>0</v>
      </c>
      <c r="O25" s="169">
        <v>0</v>
      </c>
      <c r="P25" s="169">
        <v>0</v>
      </c>
      <c r="Q25" s="169">
        <v>0</v>
      </c>
      <c r="R25" s="168" t="e">
        <f>VLOOKUP(MID($B25,1,2),'[2]Free Spins Symbol'!$AD$7:$AI$8,2,0)
*VLOOKUP(MID($B25,4,2),'[2]Free Spins Symbol'!$AD$7:$AI$8,3,0)
*VLOOKUP(MID($B25,7,2),'[2]Free Spins Symbol'!$AD$7:$AI$8,4,0)
*1
*1</f>
        <v>#N/A</v>
      </c>
      <c r="S25" s="169">
        <v>0</v>
      </c>
      <c r="T25" s="169">
        <v>0</v>
      </c>
      <c r="U25" s="169">
        <v>0</v>
      </c>
      <c r="V25" s="169">
        <v>0</v>
      </c>
      <c r="W25" s="169">
        <v>0</v>
      </c>
      <c r="X25" s="169">
        <v>0</v>
      </c>
      <c r="Y25" s="169">
        <v>0</v>
      </c>
      <c r="Z25" s="168" t="e">
        <f>1
*VLOOKUP(MID($B25,4,2),'[2]Free Spins Symbol'!$AD$7:$AI$8,3,0)
*VLOOKUP(MID($B25,7,2),'[2]Free Spins Symbol'!$AD$7:$AI$8,4,0)
*1
*1</f>
        <v>#N/A</v>
      </c>
      <c r="AA25" s="169">
        <v>0</v>
      </c>
      <c r="AB25" s="169">
        <v>0</v>
      </c>
      <c r="AC25" s="169">
        <v>0</v>
      </c>
      <c r="AD25" s="169">
        <v>0</v>
      </c>
      <c r="AE25" s="169">
        <v>0</v>
      </c>
      <c r="AF25" s="169">
        <v>0</v>
      </c>
      <c r="AG25" s="169">
        <v>0</v>
      </c>
      <c r="AH25" s="170">
        <v>0</v>
      </c>
      <c r="AI25" s="169">
        <v>0</v>
      </c>
      <c r="AJ25" s="169">
        <v>0</v>
      </c>
      <c r="AK25" s="169">
        <v>0</v>
      </c>
      <c r="AL25" s="169">
        <v>0</v>
      </c>
      <c r="AM25" s="168" t="e">
        <f>VLOOKUP(MID($B25,1,2),'[2]Free Spins Symbol'!$AD$7:$AI$8,2,0)
*'[2]Held Stacked Wild'!$L$192
*VLOOKUP(MID($B25,13,2),'[2]Free Spins Symbol'!$AD$7:$AI$8,6,0)</f>
        <v>#N/A</v>
      </c>
      <c r="AN25" s="169">
        <v>0</v>
      </c>
      <c r="AO25" s="169">
        <v>0</v>
      </c>
      <c r="AP25" s="169">
        <v>0</v>
      </c>
      <c r="AQ25" s="168" t="e">
        <f>1
*'[2]Held Stacked Wild'!$L$348
*VLOOKUP(MID($B25,13,2),'[2]Free Spins Symbol'!$AD$7:$AI$8,6,0)</f>
        <v>#N/A</v>
      </c>
      <c r="AR25" s="169">
        <v>0</v>
      </c>
      <c r="AS25" s="169">
        <v>0</v>
      </c>
      <c r="AT25" s="169">
        <v>0</v>
      </c>
      <c r="AU25" s="169">
        <v>0</v>
      </c>
      <c r="AV25" s="169">
        <v>0</v>
      </c>
      <c r="AW25" s="169">
        <v>0</v>
      </c>
      <c r="AX25" s="168" t="e">
        <f>VLOOKUP(MID($B25,1,2),'[2]Free Spins Symbol'!$AD$7:$AI$8,2,0)
*'[2]Held Stacked Wild'!$L$621
*1</f>
        <v>#N/A</v>
      </c>
      <c r="AY25" s="169">
        <v>0</v>
      </c>
      <c r="AZ25" s="169">
        <v>0</v>
      </c>
      <c r="BA25" s="169">
        <v>0</v>
      </c>
      <c r="BB25" s="169">
        <v>0</v>
      </c>
      <c r="BC25" s="169">
        <v>0</v>
      </c>
      <c r="BD25" s="169">
        <v>0</v>
      </c>
      <c r="BE25" s="169">
        <v>0</v>
      </c>
      <c r="BF25" s="168">
        <f>1
*'[2]Held Stacked Wild'!$L$933
*1</f>
        <v>6.1022120518688027E-3</v>
      </c>
      <c r="BG25" s="169">
        <v>0</v>
      </c>
      <c r="BH25" s="169">
        <v>0</v>
      </c>
      <c r="BI25" s="169">
        <v>0</v>
      </c>
      <c r="BJ25" s="169">
        <v>0</v>
      </c>
      <c r="BK25" s="169">
        <v>0</v>
      </c>
      <c r="BL25" s="169">
        <v>0</v>
      </c>
      <c r="BM25" s="169">
        <v>0</v>
      </c>
      <c r="BN25" s="170">
        <v>0</v>
      </c>
    </row>
    <row r="26" spans="1:66" x14ac:dyDescent="0.3">
      <c r="A26" s="160"/>
      <c r="B26" s="166">
        <f t="shared" si="1"/>
        <v>0</v>
      </c>
      <c r="C26" s="167" t="e">
        <f>VLOOKUP(MID($B26,1,2),'[2]Free Spins Symbol'!$AD$7:$AI$8,2,0)
*VLOOKUP(MID($B26,4,2),'[2]Free Spins Symbol'!$AD$7:$AI$8,3,0)
*VLOOKUP(MID($B26,7,2),'[2]Free Spins Symbol'!$AD$7:$AI$8,4,0)
*VLOOKUP(MID($B26,10,2),'[2]Free Spins Symbol'!$AD$7:$AI$8,5,0)
*VLOOKUP(MID($B26,13,2),'[2]Free Spins Symbol'!$AD$7:$AI$8,6,0)</f>
        <v>#N/A</v>
      </c>
      <c r="D26" s="169">
        <v>0</v>
      </c>
      <c r="E26" s="168" t="e">
        <f>VLOOKUP(MID($B26,1,2),'[2]Free Spins Symbol'!$AD$7:$AI$8,2,0)
*1
*VLOOKUP(MID($B26,7,2),'[2]Free Spins Symbol'!$AD$7:$AI$8,4,0)
*VLOOKUP(MID($B26,10,2),'[2]Free Spins Symbol'!$AD$7:$AI$8,5,0)
*VLOOKUP(MID($B26,13,2),'[2]Free Spins Symbol'!$AD$7:$AI$8,6,0)</f>
        <v>#N/A</v>
      </c>
      <c r="F26" s="169">
        <v>0</v>
      </c>
      <c r="G26" s="168" t="e">
        <f>VLOOKUP(MID($B26,1,2),'[2]Free Spins Symbol'!$AD$7:$AI$8,2,0)
*VLOOKUP(MID($B26,4,2),'[2]Free Spins Symbol'!$AD$7:$AI$8,3,0)
*VLOOKUP(MID($B26,7,2),'[2]Free Spins Symbol'!$AD$7:$AI$8,4,0)
*1
*VLOOKUP(MID($B26,13,2),'[2]Free Spins Symbol'!$AD$7:$AI$8,6,0)</f>
        <v>#N/A</v>
      </c>
      <c r="H26" s="168" t="e">
        <f>VLOOKUP(MID($B26,1,2),'[2]Free Spins Symbol'!$AD$7:$AI$8,2,0)
*VLOOKUP(MID($B26,4,2),'[2]Free Spins Symbol'!$AD$7:$AI$8,3,0)
*VLOOKUP(MID($B26,7,2),'[2]Free Spins Symbol'!$AD$7:$AI$8,4,0)
*VLOOKUP(MID($B26,10,2),'[2]Free Spins Symbol'!$AD$7:$AI$8,5,0)
*1</f>
        <v>#N/A</v>
      </c>
      <c r="I26" s="169">
        <v>0</v>
      </c>
      <c r="J26" s="169">
        <v>0</v>
      </c>
      <c r="K26" s="169">
        <v>0</v>
      </c>
      <c r="L26" s="169">
        <v>0</v>
      </c>
      <c r="M26" s="169">
        <v>0</v>
      </c>
      <c r="N26" s="168" t="e">
        <f>VLOOKUP(MID($B26,1,2),'[2]Free Spins Symbol'!$AD$7:$AI$8,2,0)
*1
*VLOOKUP(MID($B26,7,2),'[2]Free Spins Symbol'!$AD$7:$AI$8,4,0)
*1
*VLOOKUP(MID($B26,13,2),'[2]Free Spins Symbol'!$AD$7:$AI$8,6,0)</f>
        <v>#N/A</v>
      </c>
      <c r="O26" s="168" t="e">
        <f>VLOOKUP(MID($B26,1,2),'[2]Free Spins Symbol'!$AD$7:$AI$8,2,0)
*1
*VLOOKUP(MID($B26,7,2),'[2]Free Spins Symbol'!$AD$7:$AI$8,4,0)
*VLOOKUP(MID($B26,10,2),'[2]Free Spins Symbol'!$AD$7:$AI$8,5,0)
*1</f>
        <v>#N/A</v>
      </c>
      <c r="P26" s="169">
        <v>0</v>
      </c>
      <c r="Q26" s="169">
        <v>0</v>
      </c>
      <c r="R26" s="168" t="e">
        <f>VLOOKUP(MID($B26,1,2),'[2]Free Spins Symbol'!$AD$7:$AI$8,2,0)
*VLOOKUP(MID($B26,4,2),'[2]Free Spins Symbol'!$AD$7:$AI$8,3,0)
*VLOOKUP(MID($B26,7,2),'[2]Free Spins Symbol'!$AD$7:$AI$8,4,0)
*1
*1</f>
        <v>#N/A</v>
      </c>
      <c r="S26" s="169">
        <v>0</v>
      </c>
      <c r="T26" s="169">
        <v>0</v>
      </c>
      <c r="U26" s="169">
        <v>0</v>
      </c>
      <c r="V26" s="169">
        <v>0</v>
      </c>
      <c r="W26" s="169">
        <v>0</v>
      </c>
      <c r="X26" s="169">
        <v>0</v>
      </c>
      <c r="Y26" s="169">
        <v>0</v>
      </c>
      <c r="Z26" s="169">
        <v>0</v>
      </c>
      <c r="AA26" s="168" t="e">
        <f>VLOOKUP(MID($B26,1,2),'[2]Free Spins Symbol'!$AD$7:$AI$8,2,0)
*1
*VLOOKUP(MID($B26,7,2),'[2]Free Spins Symbol'!$AD$7:$AI$8,4,0)
*1
*1</f>
        <v>#N/A</v>
      </c>
      <c r="AB26" s="169">
        <v>0</v>
      </c>
      <c r="AC26" s="169">
        <v>0</v>
      </c>
      <c r="AD26" s="169">
        <v>0</v>
      </c>
      <c r="AE26" s="169">
        <v>0</v>
      </c>
      <c r="AF26" s="169">
        <v>0</v>
      </c>
      <c r="AG26" s="169">
        <v>0</v>
      </c>
      <c r="AH26" s="170">
        <v>0</v>
      </c>
      <c r="AI26" s="169">
        <v>0</v>
      </c>
      <c r="AJ26" s="169">
        <v>0</v>
      </c>
      <c r="AK26" s="169">
        <v>0</v>
      </c>
      <c r="AL26" s="169">
        <v>0</v>
      </c>
      <c r="AM26" s="169">
        <v>0</v>
      </c>
      <c r="AN26" s="169">
        <v>0</v>
      </c>
      <c r="AO26" s="169">
        <v>0</v>
      </c>
      <c r="AP26" s="169">
        <v>0</v>
      </c>
      <c r="AQ26" s="169">
        <v>0</v>
      </c>
      <c r="AR26" s="169">
        <v>0</v>
      </c>
      <c r="AS26" s="169">
        <v>0</v>
      </c>
      <c r="AT26" s="168" t="e">
        <f>VLOOKUP(MID($B26,1,2),'[2]Free Spins Symbol'!$AD$7:$AI$8,2,0)
*'[2]Held Stacked Wild'!$L$465
*VLOOKUP(MID($B26,13,2),'[2]Free Spins Symbol'!$AD$7:$AI$8,6,0)</f>
        <v>#N/A</v>
      </c>
      <c r="AU26" s="169">
        <v>0</v>
      </c>
      <c r="AV26" s="169">
        <v>0</v>
      </c>
      <c r="AW26" s="169">
        <v>0</v>
      </c>
      <c r="AX26" s="169">
        <v>0</v>
      </c>
      <c r="AY26" s="169">
        <v>0</v>
      </c>
      <c r="AZ26" s="169">
        <v>0</v>
      </c>
      <c r="BA26" s="169">
        <v>0</v>
      </c>
      <c r="BB26" s="169">
        <v>0</v>
      </c>
      <c r="BC26" s="169">
        <v>0</v>
      </c>
      <c r="BD26" s="169">
        <v>0</v>
      </c>
      <c r="BE26" s="169">
        <v>0</v>
      </c>
      <c r="BF26" s="169">
        <v>0</v>
      </c>
      <c r="BG26" s="168" t="e">
        <f>VLOOKUP(MID($B26,1,2),'[2]Free Spins Symbol'!$AD$7:$AI$8,2,0)
*'[2]Held Stacked Wild'!$L$972
*1</f>
        <v>#N/A</v>
      </c>
      <c r="BH26" s="169">
        <v>0</v>
      </c>
      <c r="BI26" s="169">
        <v>0</v>
      </c>
      <c r="BJ26" s="169">
        <v>0</v>
      </c>
      <c r="BK26" s="169">
        <v>0</v>
      </c>
      <c r="BL26" s="169">
        <v>0</v>
      </c>
      <c r="BM26" s="169">
        <v>0</v>
      </c>
      <c r="BN26" s="170">
        <v>0</v>
      </c>
    </row>
    <row r="27" spans="1:66" x14ac:dyDescent="0.3">
      <c r="A27" s="160"/>
      <c r="B27" s="166">
        <f t="shared" si="1"/>
        <v>0</v>
      </c>
      <c r="C27" s="167" t="e">
        <f>VLOOKUP(MID($B27,1,2),'[2]Free Spins Symbol'!$AD$7:$AI$8,2,0)
*VLOOKUP(MID($B27,4,2),'[2]Free Spins Symbol'!$AD$7:$AI$8,3,0)
*VLOOKUP(MID($B27,7,2),'[2]Free Spins Symbol'!$AD$7:$AI$8,4,0)
*VLOOKUP(MID($B27,10,2),'[2]Free Spins Symbol'!$AD$7:$AI$8,5,0)
*VLOOKUP(MID($B27,13,2),'[2]Free Spins Symbol'!$AD$7:$AI$8,6,0)</f>
        <v>#N/A</v>
      </c>
      <c r="D27" s="169">
        <v>0</v>
      </c>
      <c r="E27" s="169">
        <v>0</v>
      </c>
      <c r="F27" s="168" t="e">
        <f>VLOOKUP(MID($B27,1,2),'[2]Free Spins Symbol'!$AD$7:$AI$8,2,0)
*VLOOKUP(MID($B27,4,2),'[2]Free Spins Symbol'!$AD$7:$AI$8,3,0)
*1
*VLOOKUP(MID($B27,10,2),'[2]Free Spins Symbol'!$AD$7:$AI$8,5,0)
*VLOOKUP(MID($B27,13,2),'[2]Free Spins Symbol'!$AD$7:$AI$8,6,0)</f>
        <v>#N/A</v>
      </c>
      <c r="G27" s="168" t="e">
        <f>VLOOKUP(MID($B27,1,2),'[2]Free Spins Symbol'!$AD$7:$AI$8,2,0)
*VLOOKUP(MID($B27,4,2),'[2]Free Spins Symbol'!$AD$7:$AI$8,3,0)
*VLOOKUP(MID($B27,7,2),'[2]Free Spins Symbol'!$AD$7:$AI$8,4,0)
*1
*VLOOKUP(MID($B27,13,2),'[2]Free Spins Symbol'!$AD$7:$AI$8,6,0)</f>
        <v>#N/A</v>
      </c>
      <c r="H27" s="168" t="e">
        <f>VLOOKUP(MID($B27,1,2),'[2]Free Spins Symbol'!$AD$7:$AI$8,2,0)
*VLOOKUP(MID($B27,4,2),'[2]Free Spins Symbol'!$AD$7:$AI$8,3,0)
*VLOOKUP(MID($B27,7,2),'[2]Free Spins Symbol'!$AD$7:$AI$8,4,0)
*VLOOKUP(MID($B27,10,2),'[2]Free Spins Symbol'!$AD$7:$AI$8,5,0)
*1</f>
        <v>#N/A</v>
      </c>
      <c r="I27" s="169">
        <v>0</v>
      </c>
      <c r="J27" s="169">
        <v>0</v>
      </c>
      <c r="K27" s="169">
        <v>0</v>
      </c>
      <c r="L27" s="169">
        <v>0</v>
      </c>
      <c r="M27" s="169">
        <v>0</v>
      </c>
      <c r="N27" s="169">
        <v>0</v>
      </c>
      <c r="O27" s="169">
        <v>0</v>
      </c>
      <c r="P27" s="168" t="e">
        <f>VLOOKUP(MID($B27,1,2),'[2]Free Spins Symbol'!$AD$7:$AI$8,2,0)
*VLOOKUP(MID($B27,4,2),'[2]Free Spins Symbol'!$AD$7:$AI$8,3,0)
*1
*1
*VLOOKUP(MID($B27,13,2),'[2]Free Spins Symbol'!$AD$7:$AI$8,6,0)</f>
        <v>#N/A</v>
      </c>
      <c r="Q27" s="168" t="e">
        <f>VLOOKUP(MID($B27,1,2),'[2]Free Spins Symbol'!$AD$7:$AI$8,2,0)
*VLOOKUP(MID($B27,4,2),'[2]Free Spins Symbol'!$AD$7:$AI$8,3,0)
*1
*VLOOKUP(MID($B27,10,2),'[2]Free Spins Symbol'!$AD$7:$AI$8,5,0)
*1</f>
        <v>#N/A</v>
      </c>
      <c r="R27" s="168" t="e">
        <f>VLOOKUP(MID($B27,1,2),'[2]Free Spins Symbol'!$AD$7:$AI$8,2,0)
*VLOOKUP(MID($B27,4,2),'[2]Free Spins Symbol'!$AD$7:$AI$8,3,0)
*VLOOKUP(MID($B27,7,2),'[2]Free Spins Symbol'!$AD$7:$AI$8,4,0)
*1
*1</f>
        <v>#N/A</v>
      </c>
      <c r="S27" s="169">
        <v>0</v>
      </c>
      <c r="T27" s="169">
        <v>0</v>
      </c>
      <c r="U27" s="169">
        <v>0</v>
      </c>
      <c r="V27" s="169">
        <v>0</v>
      </c>
      <c r="W27" s="169">
        <v>0</v>
      </c>
      <c r="X27" s="169">
        <v>0</v>
      </c>
      <c r="Y27" s="169">
        <v>0</v>
      </c>
      <c r="Z27" s="169">
        <v>0</v>
      </c>
      <c r="AA27" s="169">
        <v>0</v>
      </c>
      <c r="AB27" s="168" t="e">
        <f>VLOOKUP(MID($B27,1,2),'[2]Free Spins Symbol'!$AD$7:$AI$8,2,0)
*VLOOKUP(MID($B27,4,2),'[2]Free Spins Symbol'!$AD$7:$AI$8,3,0)
*1
*1
*1</f>
        <v>#N/A</v>
      </c>
      <c r="AC27" s="169">
        <v>0</v>
      </c>
      <c r="AD27" s="169">
        <v>0</v>
      </c>
      <c r="AE27" s="169">
        <v>0</v>
      </c>
      <c r="AF27" s="169">
        <v>0</v>
      </c>
      <c r="AG27" s="169">
        <v>0</v>
      </c>
      <c r="AH27" s="170">
        <v>0</v>
      </c>
      <c r="AI27" s="169">
        <v>0</v>
      </c>
      <c r="AJ27" s="169">
        <v>0</v>
      </c>
      <c r="AK27" s="169">
        <v>0</v>
      </c>
      <c r="AL27" s="169">
        <v>0</v>
      </c>
      <c r="AM27" s="169">
        <v>0</v>
      </c>
      <c r="AN27" s="169">
        <v>0</v>
      </c>
      <c r="AO27" s="169">
        <v>0</v>
      </c>
      <c r="AP27" s="169">
        <v>0</v>
      </c>
      <c r="AQ27" s="169">
        <v>0</v>
      </c>
      <c r="AR27" s="169">
        <v>0</v>
      </c>
      <c r="AS27" s="169">
        <v>0</v>
      </c>
      <c r="AT27" s="169">
        <v>0</v>
      </c>
      <c r="AU27" s="169">
        <v>0</v>
      </c>
      <c r="AV27" s="168" t="e">
        <f>VLOOKUP(MID($B27,1,2),'[2]Free Spins Symbol'!$AD$7:$AI$8,2,0)
*'[2]Held Stacked Wild'!$L$543
*VLOOKUP(MID($B27,13,2),'[2]Free Spins Symbol'!$AD$7:$AI$8,6,0)</f>
        <v>#N/A</v>
      </c>
      <c r="AW27" s="169">
        <v>0</v>
      </c>
      <c r="AX27" s="169">
        <v>0</v>
      </c>
      <c r="AY27" s="169">
        <v>0</v>
      </c>
      <c r="AZ27" s="169">
        <v>0</v>
      </c>
      <c r="BA27" s="169">
        <v>0</v>
      </c>
      <c r="BB27" s="169">
        <v>0</v>
      </c>
      <c r="BC27" s="169">
        <v>0</v>
      </c>
      <c r="BD27" s="169">
        <v>0</v>
      </c>
      <c r="BE27" s="169">
        <v>0</v>
      </c>
      <c r="BF27" s="169">
        <v>0</v>
      </c>
      <c r="BG27" s="169">
        <v>0</v>
      </c>
      <c r="BH27" s="168" t="e">
        <f>VLOOKUP(MID($B27,1,2),'[2]Free Spins Symbol'!$AD$7:$AI$8,2,0)
*'[2]Held Stacked Wild'!$L$1011
*1</f>
        <v>#N/A</v>
      </c>
      <c r="BI27" s="169">
        <v>0</v>
      </c>
      <c r="BJ27" s="169">
        <v>0</v>
      </c>
      <c r="BK27" s="169">
        <v>0</v>
      </c>
      <c r="BL27" s="169">
        <v>0</v>
      </c>
      <c r="BM27" s="169">
        <v>0</v>
      </c>
      <c r="BN27" s="170">
        <v>0</v>
      </c>
    </row>
    <row r="28" spans="1:66" x14ac:dyDescent="0.3">
      <c r="A28" s="160"/>
      <c r="B28" s="166">
        <f t="shared" si="1"/>
        <v>0</v>
      </c>
      <c r="C28" s="167" t="e">
        <f>VLOOKUP(MID($B28,1,2),'[2]Free Spins Symbol'!$AD$7:$AI$8,2,0)
*VLOOKUP(MID($B28,4,2),'[2]Free Spins Symbol'!$AD$7:$AI$8,3,0)
*VLOOKUP(MID($B28,7,2),'[2]Free Spins Symbol'!$AD$7:$AI$8,4,0)
*VLOOKUP(MID($B28,10,2),'[2]Free Spins Symbol'!$AD$7:$AI$8,5,0)
*VLOOKUP(MID($B28,13,2),'[2]Free Spins Symbol'!$AD$7:$AI$8,6,0)</f>
        <v>#N/A</v>
      </c>
      <c r="D28" s="168" t="e">
        <f>1
*VLOOKUP(MID($B28,4,2),'[2]Free Spins Symbol'!$AD$7:$AI$8,3,0)
*VLOOKUP(MID($B28,7,2),'[2]Free Spins Symbol'!$AD$7:$AI$8,4,0)
*VLOOKUP(MID($B28,10,2),'[2]Free Spins Symbol'!$AD$7:$AI$8,5,0)
*VLOOKUP(MID($B28,13,2),'[2]Free Spins Symbol'!$AD$7:$AI$8,6,0)</f>
        <v>#N/A</v>
      </c>
      <c r="E28" s="168" t="e">
        <f>VLOOKUP(MID($B28,1,2),'[2]Free Spins Symbol'!$AD$7:$AI$8,2,0)
*1
*VLOOKUP(MID($B28,7,2),'[2]Free Spins Symbol'!$AD$7:$AI$8,4,0)
*VLOOKUP(MID($B28,10,2),'[2]Free Spins Symbol'!$AD$7:$AI$8,5,0)
*VLOOKUP(MID($B28,13,2),'[2]Free Spins Symbol'!$AD$7:$AI$8,6,0)</f>
        <v>#N/A</v>
      </c>
      <c r="F28" s="168" t="e">
        <f>VLOOKUP(MID($B28,1,2),'[2]Free Spins Symbol'!$AD$7:$AI$8,2,0)
*VLOOKUP(MID($B28,4,2),'[2]Free Spins Symbol'!$AD$7:$AI$8,3,0)
*1
*VLOOKUP(MID($B28,10,2),'[2]Free Spins Symbol'!$AD$7:$AI$8,5,0)
*VLOOKUP(MID($B28,13,2),'[2]Free Spins Symbol'!$AD$7:$AI$8,6,0)</f>
        <v>#N/A</v>
      </c>
      <c r="G28" s="168" t="e">
        <f>VLOOKUP(MID($B28,1,2),'[2]Free Spins Symbol'!$AD$7:$AI$8,2,0)
*VLOOKUP(MID($B28,4,2),'[2]Free Spins Symbol'!$AD$7:$AI$8,3,0)
*VLOOKUP(MID($B28,7,2),'[2]Free Spins Symbol'!$AD$7:$AI$8,4,0)
*1
*VLOOKUP(MID($B28,13,2),'[2]Free Spins Symbol'!$AD$7:$AI$8,6,0)</f>
        <v>#N/A</v>
      </c>
      <c r="H28" s="169">
        <v>0</v>
      </c>
      <c r="I28" s="168" t="e">
        <f>1
*1
*VLOOKUP(MID($B28,7,2),'[2]Free Spins Symbol'!$AD$7:$AI$8,4,0)
*VLOOKUP(MID($B28,10,2),'[2]Free Spins Symbol'!$AD$7:$AI$8,5,0)
*VLOOKUP(MID($B28,13,2),'[2]Free Spins Symbol'!$AD$7:$AI$8,6,0)</f>
        <v>#N/A</v>
      </c>
      <c r="J28" s="168" t="e">
        <f>1
*VLOOKUP(MID($B28,4,2),'[2]Free Spins Symbol'!$AD$7:$AI$8,3,0)
*1
*VLOOKUP(MID($B28,10,2),'[2]Free Spins Symbol'!$AD$7:$AI$8,5,0)
*VLOOKUP(MID($B28,13,2),'[2]Free Spins Symbol'!$AD$7:$AI$8,6,0)</f>
        <v>#N/A</v>
      </c>
      <c r="K28" s="168" t="e">
        <f>1
*VLOOKUP(MID($B28,4,2),'[2]Free Spins Symbol'!$AD$7:$AI$8,3,0)
*VLOOKUP(MID($B28,7,2),'[2]Free Spins Symbol'!$AD$7:$AI$8,4,0)
*1
*VLOOKUP(MID($B28,13,2),'[2]Free Spins Symbol'!$AD$7:$AI$8,6,0)</f>
        <v>#N/A</v>
      </c>
      <c r="L28" s="169">
        <v>0</v>
      </c>
      <c r="M28" s="168" t="e">
        <f>VLOOKUP(MID($B28,1,2),'[2]Free Spins Symbol'!$AD$7:$AI$8,2,0)
*1
*1
*VLOOKUP(MID($B28,10,2),'[2]Free Spins Symbol'!$AD$7:$AI$8,5,0)
*VLOOKUP(MID($B28,13,2),'[2]Free Spins Symbol'!$AD$7:$AI$8,6,0)</f>
        <v>#N/A</v>
      </c>
      <c r="N28" s="168" t="e">
        <f>VLOOKUP(MID($B28,1,2),'[2]Free Spins Symbol'!$AD$7:$AI$8,2,0)
*1
*VLOOKUP(MID($B28,7,2),'[2]Free Spins Symbol'!$AD$7:$AI$8,4,0)
*1
*VLOOKUP(MID($B28,13,2),'[2]Free Spins Symbol'!$AD$7:$AI$8,6,0)</f>
        <v>#N/A</v>
      </c>
      <c r="O28" s="169">
        <v>0</v>
      </c>
      <c r="P28" s="168" t="e">
        <f>VLOOKUP(MID($B28,1,2),'[2]Free Spins Symbol'!$AD$7:$AI$8,2,0)
*VLOOKUP(MID($B28,4,2),'[2]Free Spins Symbol'!$AD$7:$AI$8,3,0)
*1
*1
*VLOOKUP(MID($B28,13,2),'[2]Free Spins Symbol'!$AD$7:$AI$8,6,0)</f>
        <v>#N/A</v>
      </c>
      <c r="Q28" s="169">
        <v>0</v>
      </c>
      <c r="R28" s="169">
        <v>0</v>
      </c>
      <c r="S28" s="168" t="e">
        <f>1
*1
*1
*VLOOKUP(MID($B28,10,2),'[2]Free Spins Symbol'!$AD$7:$AI$8,5,0)
*VLOOKUP(MID($B28,13,2),'[2]Free Spins Symbol'!$AD$7:$AI$8,6,0)</f>
        <v>#N/A</v>
      </c>
      <c r="T28" s="168" t="e">
        <f>1
*1
*VLOOKUP(MID($B28,7,2),'[2]Free Spins Symbol'!$AD$7:$AI$8,4,0)
*1
*VLOOKUP(MID($B28,13,2),'[2]Free Spins Symbol'!$AD$7:$AI$8,6,0)</f>
        <v>#N/A</v>
      </c>
      <c r="U28" s="168" t="e">
        <f>1
*VLOOKUP(MID($B28,4,2),'[2]Free Spins Symbol'!$AD$7:$AI$8,3,0)
*1
*1
*VLOOKUP(MID($B28,13,2),'[2]Free Spins Symbol'!$AD$7:$AI$8,6,0)</f>
        <v>#N/A</v>
      </c>
      <c r="V28" s="168" t="e">
        <f>VLOOKUP(MID($B28,1,2),'[2]Free Spins Symbol'!$AD$7:$AI$8,2,0)
*1
*1
*1
*VLOOKUP(MID($B28,13,2),'[2]Free Spins Symbol'!$AD$7:$AI$8,6,0)</f>
        <v>#N/A</v>
      </c>
      <c r="W28" s="169">
        <v>0</v>
      </c>
      <c r="X28" s="169">
        <v>0</v>
      </c>
      <c r="Y28" s="169">
        <v>0</v>
      </c>
      <c r="Z28" s="169">
        <v>0</v>
      </c>
      <c r="AA28" s="169">
        <v>0</v>
      </c>
      <c r="AB28" s="169">
        <v>0</v>
      </c>
      <c r="AC28" s="168" t="e">
        <f>1
*1
*1
*1
*VLOOKUP(MID($B28,13,2),'[2]Free Spins Symbol'!$AD$7:$AI$8,6,0)</f>
        <v>#N/A</v>
      </c>
      <c r="AD28" s="169">
        <v>0</v>
      </c>
      <c r="AE28" s="169">
        <v>0</v>
      </c>
      <c r="AF28" s="169">
        <v>0</v>
      </c>
      <c r="AG28" s="169">
        <v>0</v>
      </c>
      <c r="AH28" s="170">
        <v>0</v>
      </c>
      <c r="AI28" s="169">
        <v>0</v>
      </c>
      <c r="AJ28" s="169">
        <v>0</v>
      </c>
      <c r="AK28" s="169">
        <v>0</v>
      </c>
      <c r="AL28" s="169">
        <v>0</v>
      </c>
      <c r="AM28" s="169">
        <v>0</v>
      </c>
      <c r="AN28" s="169">
        <v>0</v>
      </c>
      <c r="AO28" s="169">
        <v>0</v>
      </c>
      <c r="AP28" s="169">
        <v>0</v>
      </c>
      <c r="AQ28" s="169">
        <v>0</v>
      </c>
      <c r="AR28" s="169">
        <v>0</v>
      </c>
      <c r="AS28" s="169">
        <v>0</v>
      </c>
      <c r="AT28" s="169">
        <v>0</v>
      </c>
      <c r="AU28" s="169">
        <v>0</v>
      </c>
      <c r="AV28" s="169">
        <v>0</v>
      </c>
      <c r="AW28" s="169">
        <v>0</v>
      </c>
      <c r="AX28" s="169">
        <v>0</v>
      </c>
      <c r="AY28" s="169">
        <v>0</v>
      </c>
      <c r="AZ28" s="169">
        <v>0</v>
      </c>
      <c r="BA28" s="169">
        <v>0</v>
      </c>
      <c r="BB28" s="168" t="e">
        <f>VLOOKUP(MID($B28,1,2),'[2]Free Spins Symbol'!$AD$7:$AI$8,2,0)
*'[2]Held Stacked Wild'!$L$777
*VLOOKUP(MID($B28,13,2),'[2]Free Spins Symbol'!$AD$7:$AI$8,6,0)</f>
        <v>#N/A</v>
      </c>
      <c r="BC28" s="169">
        <v>0</v>
      </c>
      <c r="BD28" s="169">
        <v>0</v>
      </c>
      <c r="BE28" s="169">
        <v>0</v>
      </c>
      <c r="BF28" s="169">
        <v>0</v>
      </c>
      <c r="BG28" s="169">
        <v>0</v>
      </c>
      <c r="BH28" s="169">
        <v>0</v>
      </c>
      <c r="BI28" s="168" t="e">
        <f>1
*'[2]Held Stacked Wild'!$L$1050
*VLOOKUP(MID($B28,13,2),'[2]Free Spins Symbol'!$AD$7:$AI$8,6,0)</f>
        <v>#N/A</v>
      </c>
      <c r="BJ28" s="169">
        <v>0</v>
      </c>
      <c r="BK28" s="169">
        <v>0</v>
      </c>
      <c r="BL28" s="169">
        <v>0</v>
      </c>
      <c r="BM28" s="169">
        <v>0</v>
      </c>
      <c r="BN28" s="170">
        <v>0</v>
      </c>
    </row>
    <row r="29" spans="1:66" x14ac:dyDescent="0.3">
      <c r="A29" s="160"/>
      <c r="B29" s="166">
        <f t="shared" si="1"/>
        <v>0</v>
      </c>
      <c r="C29" s="167" t="e">
        <f>VLOOKUP(MID($B29,1,2),'[2]Free Spins Symbol'!$AD$7:$AI$8,2,0)
*VLOOKUP(MID($B29,4,2),'[2]Free Spins Symbol'!$AD$7:$AI$8,3,0)
*VLOOKUP(MID($B29,7,2),'[2]Free Spins Symbol'!$AD$7:$AI$8,4,0)
*VLOOKUP(MID($B29,10,2),'[2]Free Spins Symbol'!$AD$7:$AI$8,5,0)
*VLOOKUP(MID($B29,13,2),'[2]Free Spins Symbol'!$AD$7:$AI$8,6,0)</f>
        <v>#N/A</v>
      </c>
      <c r="D29" s="168" t="e">
        <f>1
*VLOOKUP(MID($B29,4,2),'[2]Free Spins Symbol'!$AD$7:$AI$8,3,0)
*VLOOKUP(MID($B29,7,2),'[2]Free Spins Symbol'!$AD$7:$AI$8,4,0)
*VLOOKUP(MID($B29,10,2),'[2]Free Spins Symbol'!$AD$7:$AI$8,5,0)
*VLOOKUP(MID($B29,13,2),'[2]Free Spins Symbol'!$AD$7:$AI$8,6,0)</f>
        <v>#N/A</v>
      </c>
      <c r="E29" s="168" t="e">
        <f>VLOOKUP(MID($B29,1,2),'[2]Free Spins Symbol'!$AD$7:$AI$8,2,0)
*1
*VLOOKUP(MID($B29,7,2),'[2]Free Spins Symbol'!$AD$7:$AI$8,4,0)
*VLOOKUP(MID($B29,10,2),'[2]Free Spins Symbol'!$AD$7:$AI$8,5,0)
*VLOOKUP(MID($B29,13,2),'[2]Free Spins Symbol'!$AD$7:$AI$8,6,0)</f>
        <v>#N/A</v>
      </c>
      <c r="F29" s="168" t="e">
        <f>VLOOKUP(MID($B29,1,2),'[2]Free Spins Symbol'!$AD$7:$AI$8,2,0)
*VLOOKUP(MID($B29,4,2),'[2]Free Spins Symbol'!$AD$7:$AI$8,3,0)
*1
*VLOOKUP(MID($B29,10,2),'[2]Free Spins Symbol'!$AD$7:$AI$8,5,0)
*VLOOKUP(MID($B29,13,2),'[2]Free Spins Symbol'!$AD$7:$AI$8,6,0)</f>
        <v>#N/A</v>
      </c>
      <c r="G29" s="169">
        <v>0</v>
      </c>
      <c r="H29" s="168" t="e">
        <f>VLOOKUP(MID($B29,1,2),'[2]Free Spins Symbol'!$AD$7:$AI$8,2,0)
*VLOOKUP(MID($B29,4,2),'[2]Free Spins Symbol'!$AD$7:$AI$8,3,0)
*VLOOKUP(MID($B29,7,2),'[2]Free Spins Symbol'!$AD$7:$AI$8,4,0)
*VLOOKUP(MID($B29,10,2),'[2]Free Spins Symbol'!$AD$7:$AI$8,5,0)
*1</f>
        <v>#N/A</v>
      </c>
      <c r="I29" s="168" t="e">
        <f>1
*1
*VLOOKUP(MID($B29,7,2),'[2]Free Spins Symbol'!$AD$7:$AI$8,4,0)
*VLOOKUP(MID($B29,10,2),'[2]Free Spins Symbol'!$AD$7:$AI$8,5,0)
*VLOOKUP(MID($B29,13,2),'[2]Free Spins Symbol'!$AD$7:$AI$8,6,0)</f>
        <v>#N/A</v>
      </c>
      <c r="J29" s="168" t="e">
        <f>1
*VLOOKUP(MID($B29,4,2),'[2]Free Spins Symbol'!$AD$7:$AI$8,3,0)
*1
*VLOOKUP(MID($B29,10,2),'[2]Free Spins Symbol'!$AD$7:$AI$8,5,0)
*VLOOKUP(MID($B29,13,2),'[2]Free Spins Symbol'!$AD$7:$AI$8,6,0)</f>
        <v>#N/A</v>
      </c>
      <c r="K29" s="169">
        <v>0</v>
      </c>
      <c r="L29" s="168" t="e">
        <f>1
*VLOOKUP(MID($B29,4,2),'[2]Free Spins Symbol'!$AD$7:$AI$8,3,0)
*VLOOKUP(MID($B29,7,2),'[2]Free Spins Symbol'!$AD$7:$AI$8,4,0)
*VLOOKUP(MID($B29,10,2),'[2]Free Spins Symbol'!$AD$7:$AI$8,5,0)
*1</f>
        <v>#N/A</v>
      </c>
      <c r="M29" s="168" t="e">
        <f>VLOOKUP(MID($B29,1,2),'[2]Free Spins Symbol'!$AD$7:$AI$8,2,0)
*1
*1
*VLOOKUP(MID($B29,10,2),'[2]Free Spins Symbol'!$AD$7:$AI$8,5,0)
*VLOOKUP(MID($B29,13,2),'[2]Free Spins Symbol'!$AD$7:$AI$8,6,0)</f>
        <v>#N/A</v>
      </c>
      <c r="N29" s="169">
        <v>0</v>
      </c>
      <c r="O29" s="168" t="e">
        <f>VLOOKUP(MID($B29,1,2),'[2]Free Spins Symbol'!$AD$7:$AI$8,2,0)
*1
*VLOOKUP(MID($B29,7,2),'[2]Free Spins Symbol'!$AD$7:$AI$8,4,0)
*VLOOKUP(MID($B29,10,2),'[2]Free Spins Symbol'!$AD$7:$AI$8,5,0)
*1</f>
        <v>#N/A</v>
      </c>
      <c r="P29" s="169">
        <v>0</v>
      </c>
      <c r="Q29" s="168" t="e">
        <f>VLOOKUP(MID($B29,1,2),'[2]Free Spins Symbol'!$AD$7:$AI$8,2,0)
*VLOOKUP(MID($B29,4,2),'[2]Free Spins Symbol'!$AD$7:$AI$8,3,0)
*1
*VLOOKUP(MID($B29,10,2),'[2]Free Spins Symbol'!$AD$7:$AI$8,5,0)
*1</f>
        <v>#N/A</v>
      </c>
      <c r="R29" s="169">
        <v>0</v>
      </c>
      <c r="S29" s="168" t="e">
        <f>1
*1
*1
*VLOOKUP(MID($B29,10,2),'[2]Free Spins Symbol'!$AD$7:$AI$8,5,0)
*VLOOKUP(MID($B29,13,2),'[2]Free Spins Symbol'!$AD$7:$AI$8,6,0)</f>
        <v>#N/A</v>
      </c>
      <c r="T29" s="169">
        <v>0</v>
      </c>
      <c r="U29" s="169">
        <v>0</v>
      </c>
      <c r="V29" s="169">
        <v>0</v>
      </c>
      <c r="W29" s="168" t="e">
        <f>1
*1
*VLOOKUP(MID($B29,7,2),'[2]Free Spins Symbol'!$AD$7:$AI$8,4,0)
*VLOOKUP(MID($B29,10,2),'[2]Free Spins Symbol'!$AD$7:$AI$8,5,0)
*1</f>
        <v>#N/A</v>
      </c>
      <c r="X29" s="168" t="e">
        <f>1
*VLOOKUP(MID($B29,4,2),'[2]Free Spins Symbol'!$AD$7:$AI$8,3,0)
*1
*VLOOKUP(MID($B29,10,2),'[2]Free Spins Symbol'!$AD$7:$AI$8,5,0)
*1</f>
        <v>#N/A</v>
      </c>
      <c r="Y29" s="168" t="e">
        <f>VLOOKUP(MID($B29,1,2),'[2]Free Spins Symbol'!$AD$7:$AI$8,2,0)
*1
*1
*VLOOKUP(MID($B29,10,2),'[2]Free Spins Symbol'!$AD$7:$AI$8,5,0)
*1</f>
        <v>#N/A</v>
      </c>
      <c r="Z29" s="169">
        <v>0</v>
      </c>
      <c r="AA29" s="169">
        <v>0</v>
      </c>
      <c r="AB29" s="169">
        <v>0</v>
      </c>
      <c r="AC29" s="169">
        <v>0</v>
      </c>
      <c r="AD29" s="168" t="e">
        <f>1
*1
*1
*VLOOKUP(MID($B29,10,2),'[2]Free Spins Symbol'!$AD$7:$AI$8,5,0)
*1</f>
        <v>#N/A</v>
      </c>
      <c r="AE29" s="169">
        <v>0</v>
      </c>
      <c r="AF29" s="169">
        <v>0</v>
      </c>
      <c r="AG29" s="169">
        <v>0</v>
      </c>
      <c r="AH29" s="170">
        <v>0</v>
      </c>
      <c r="AI29" s="169">
        <v>0</v>
      </c>
      <c r="AJ29" s="169">
        <v>0</v>
      </c>
      <c r="AK29" s="169">
        <v>0</v>
      </c>
      <c r="AL29" s="169">
        <v>0</v>
      </c>
      <c r="AM29" s="169">
        <v>0</v>
      </c>
      <c r="AN29" s="169">
        <v>0</v>
      </c>
      <c r="AO29" s="169">
        <v>0</v>
      </c>
      <c r="AP29" s="169">
        <v>0</v>
      </c>
      <c r="AQ29" s="169">
        <v>0</v>
      </c>
      <c r="AR29" s="169">
        <v>0</v>
      </c>
      <c r="AS29" s="168" t="e">
        <f>VLOOKUP(MID($B29,1,2),'[2]Free Spins Symbol'!$AD$7:$AI$8,2,0)
*'[2]Held Stacked Wild'!$L$426
*VLOOKUP(MID($B29,13,2),'[2]Free Spins Symbol'!$AD$7:$AI$8,6,0)</f>
        <v>#N/A</v>
      </c>
      <c r="AT29" s="169">
        <v>0</v>
      </c>
      <c r="AU29" s="169">
        <v>0</v>
      </c>
      <c r="AV29" s="169">
        <v>0</v>
      </c>
      <c r="AW29" s="169">
        <v>0</v>
      </c>
      <c r="AX29" s="169">
        <v>0</v>
      </c>
      <c r="AY29" s="168" t="e">
        <f>1
*'[2]Held Stacked Wild'!$L$660
*VLOOKUP(MID($B29,13,2),'[2]Free Spins Symbol'!$AD$7:$AI$8,6,0)</f>
        <v>#N/A</v>
      </c>
      <c r="AZ29" s="169">
        <v>0</v>
      </c>
      <c r="BA29" s="169">
        <v>0</v>
      </c>
      <c r="BB29" s="169">
        <v>0</v>
      </c>
      <c r="BC29" s="169">
        <v>0</v>
      </c>
      <c r="BD29" s="169">
        <v>0</v>
      </c>
      <c r="BE29" s="168" t="e">
        <f>VLOOKUP(MID($B29,1,2),'[2]Free Spins Symbol'!$AD$7:$AI$8,2,0)
*'[2]Held Stacked Wild'!$L$894
*1</f>
        <v>#N/A</v>
      </c>
      <c r="BF29" s="169">
        <v>0</v>
      </c>
      <c r="BG29" s="169">
        <v>0</v>
      </c>
      <c r="BH29" s="169">
        <v>0</v>
      </c>
      <c r="BI29" s="169">
        <v>0</v>
      </c>
      <c r="BJ29" s="168">
        <f>1
*'[2]Held Stacked Wild'!$L$1089
*1</f>
        <v>6.1022120518688027E-3</v>
      </c>
      <c r="BK29" s="169">
        <v>0</v>
      </c>
      <c r="BL29" s="169">
        <v>0</v>
      </c>
      <c r="BM29" s="169">
        <v>0</v>
      </c>
      <c r="BN29" s="170">
        <v>0</v>
      </c>
    </row>
    <row r="30" spans="1:66" x14ac:dyDescent="0.3">
      <c r="A30" s="160"/>
      <c r="B30" s="166">
        <f t="shared" si="1"/>
        <v>0</v>
      </c>
      <c r="C30" s="167" t="e">
        <f>VLOOKUP(MID($B30,1,2),'[2]Free Spins Symbol'!$AD$7:$AI$8,2,0)
*VLOOKUP(MID($B30,4,2),'[2]Free Spins Symbol'!$AD$7:$AI$8,3,0)
*VLOOKUP(MID($B30,7,2),'[2]Free Spins Symbol'!$AD$7:$AI$8,4,0)
*VLOOKUP(MID($B30,10,2),'[2]Free Spins Symbol'!$AD$7:$AI$8,5,0)
*VLOOKUP(MID($B30,13,2),'[2]Free Spins Symbol'!$AD$7:$AI$8,6,0)</f>
        <v>#N/A</v>
      </c>
      <c r="D30" s="168" t="e">
        <f>1
*VLOOKUP(MID($B30,4,2),'[2]Free Spins Symbol'!$AD$7:$AI$8,3,0)
*VLOOKUP(MID($B30,7,2),'[2]Free Spins Symbol'!$AD$7:$AI$8,4,0)
*VLOOKUP(MID($B30,10,2),'[2]Free Spins Symbol'!$AD$7:$AI$8,5,0)
*VLOOKUP(MID($B30,13,2),'[2]Free Spins Symbol'!$AD$7:$AI$8,6,0)</f>
        <v>#N/A</v>
      </c>
      <c r="E30" s="168" t="e">
        <f>VLOOKUP(MID($B30,1,2),'[2]Free Spins Symbol'!$AD$7:$AI$8,2,0)
*1
*VLOOKUP(MID($B30,7,2),'[2]Free Spins Symbol'!$AD$7:$AI$8,4,0)
*VLOOKUP(MID($B30,10,2),'[2]Free Spins Symbol'!$AD$7:$AI$8,5,0)
*VLOOKUP(MID($B30,13,2),'[2]Free Spins Symbol'!$AD$7:$AI$8,6,0)</f>
        <v>#N/A</v>
      </c>
      <c r="F30" s="169">
        <v>0</v>
      </c>
      <c r="G30" s="168" t="e">
        <f>VLOOKUP(MID($B30,1,2),'[2]Free Spins Symbol'!$AD$7:$AI$8,2,0)
*VLOOKUP(MID($B30,4,2),'[2]Free Spins Symbol'!$AD$7:$AI$8,3,0)
*VLOOKUP(MID($B30,7,2),'[2]Free Spins Symbol'!$AD$7:$AI$8,4,0)
*1
*VLOOKUP(MID($B30,13,2),'[2]Free Spins Symbol'!$AD$7:$AI$8,6,0)</f>
        <v>#N/A</v>
      </c>
      <c r="H30" s="168" t="e">
        <f>VLOOKUP(MID($B30,1,2),'[2]Free Spins Symbol'!$AD$7:$AI$8,2,0)
*VLOOKUP(MID($B30,4,2),'[2]Free Spins Symbol'!$AD$7:$AI$8,3,0)
*VLOOKUP(MID($B30,7,2),'[2]Free Spins Symbol'!$AD$7:$AI$8,4,0)
*VLOOKUP(MID($B30,10,2),'[2]Free Spins Symbol'!$AD$7:$AI$8,5,0)
*1</f>
        <v>#N/A</v>
      </c>
      <c r="I30" s="168" t="e">
        <f>1
*1
*VLOOKUP(MID($B30,7,2),'[2]Free Spins Symbol'!$AD$7:$AI$8,4,0)
*VLOOKUP(MID($B30,10,2),'[2]Free Spins Symbol'!$AD$7:$AI$8,5,0)
*VLOOKUP(MID($B30,13,2),'[2]Free Spins Symbol'!$AD$7:$AI$8,6,0)</f>
        <v>#N/A</v>
      </c>
      <c r="J30" s="169">
        <v>0</v>
      </c>
      <c r="K30" s="168" t="e">
        <f>1
*VLOOKUP(MID($B30,4,2),'[2]Free Spins Symbol'!$AD$7:$AI$8,3,0)
*VLOOKUP(MID($B30,7,2),'[2]Free Spins Symbol'!$AD$7:$AI$8,4,0)
*1
*VLOOKUP(MID($B30,13,2),'[2]Free Spins Symbol'!$AD$7:$AI$8,6,0)</f>
        <v>#N/A</v>
      </c>
      <c r="L30" s="168" t="e">
        <f>1
*VLOOKUP(MID($B30,4,2),'[2]Free Spins Symbol'!$AD$7:$AI$8,3,0)
*VLOOKUP(MID($B30,7,2),'[2]Free Spins Symbol'!$AD$7:$AI$8,4,0)
*VLOOKUP(MID($B30,10,2),'[2]Free Spins Symbol'!$AD$7:$AI$8,5,0)
*1</f>
        <v>#N/A</v>
      </c>
      <c r="M30" s="169">
        <v>0</v>
      </c>
      <c r="N30" s="168" t="e">
        <f>VLOOKUP(MID($B30,1,2),'[2]Free Spins Symbol'!$AD$7:$AI$8,2,0)
*1
*VLOOKUP(MID($B30,7,2),'[2]Free Spins Symbol'!$AD$7:$AI$8,4,0)
*1
*VLOOKUP(MID($B30,13,2),'[2]Free Spins Symbol'!$AD$7:$AI$8,6,0)</f>
        <v>#N/A</v>
      </c>
      <c r="O30" s="168" t="e">
        <f>VLOOKUP(MID($B30,1,2),'[2]Free Spins Symbol'!$AD$7:$AI$8,2,0)
*1
*VLOOKUP(MID($B30,7,2),'[2]Free Spins Symbol'!$AD$7:$AI$8,4,0)
*VLOOKUP(MID($B30,10,2),'[2]Free Spins Symbol'!$AD$7:$AI$8,5,0)
*1</f>
        <v>#N/A</v>
      </c>
      <c r="P30" s="169">
        <v>0</v>
      </c>
      <c r="Q30" s="169">
        <v>0</v>
      </c>
      <c r="R30" s="168" t="e">
        <f>VLOOKUP(MID($B30,1,2),'[2]Free Spins Symbol'!$AD$7:$AI$8,2,0)
*VLOOKUP(MID($B30,4,2),'[2]Free Spins Symbol'!$AD$7:$AI$8,3,0)
*VLOOKUP(MID($B30,7,2),'[2]Free Spins Symbol'!$AD$7:$AI$8,4,0)
*1
*1</f>
        <v>#N/A</v>
      </c>
      <c r="S30" s="169">
        <v>0</v>
      </c>
      <c r="T30" s="168" t="e">
        <f>1
*1
*VLOOKUP(MID($B30,7,2),'[2]Free Spins Symbol'!$AD$7:$AI$8,4,0)
*1
*VLOOKUP(MID($B30,13,2),'[2]Free Spins Symbol'!$AD$7:$AI$8,6,0)</f>
        <v>#N/A</v>
      </c>
      <c r="U30" s="169">
        <v>0</v>
      </c>
      <c r="V30" s="169">
        <v>0</v>
      </c>
      <c r="W30" s="168" t="e">
        <f>1
*1
*VLOOKUP(MID($B30,7,2),'[2]Free Spins Symbol'!$AD$7:$AI$8,4,0)
*VLOOKUP(MID($B30,10,2),'[2]Free Spins Symbol'!$AD$7:$AI$8,5,0)
*1</f>
        <v>#N/A</v>
      </c>
      <c r="X30" s="169">
        <v>0</v>
      </c>
      <c r="Y30" s="169">
        <v>0</v>
      </c>
      <c r="Z30" s="168" t="e">
        <f>1
*VLOOKUP(MID($B30,4,2),'[2]Free Spins Symbol'!$AD$7:$AI$8,3,0)
*VLOOKUP(MID($B30,7,2),'[2]Free Spins Symbol'!$AD$7:$AI$8,4,0)
*1
*1</f>
        <v>#N/A</v>
      </c>
      <c r="AA30" s="168" t="e">
        <f>VLOOKUP(MID($B30,1,2),'[2]Free Spins Symbol'!$AD$7:$AI$8,2,0)
*1
*VLOOKUP(MID($B30,7,2),'[2]Free Spins Symbol'!$AD$7:$AI$8,4,0)
*1
*1</f>
        <v>#N/A</v>
      </c>
      <c r="AB30" s="169">
        <v>0</v>
      </c>
      <c r="AC30" s="169">
        <v>0</v>
      </c>
      <c r="AD30" s="169">
        <v>0</v>
      </c>
      <c r="AE30" s="168" t="e">
        <f>1
*1
*VLOOKUP(MID($B30,7,2),'[2]Free Spins Symbol'!$AD$7:$AI$8,4,0)
*1
*1</f>
        <v>#N/A</v>
      </c>
      <c r="AF30" s="169">
        <v>0</v>
      </c>
      <c r="AG30" s="169">
        <v>0</v>
      </c>
      <c r="AH30" s="170">
        <v>0</v>
      </c>
      <c r="AI30" s="169">
        <v>0</v>
      </c>
      <c r="AJ30" s="169">
        <v>0</v>
      </c>
      <c r="AK30" s="169">
        <v>0</v>
      </c>
      <c r="AL30" s="169">
        <v>0</v>
      </c>
      <c r="AM30" s="169">
        <v>0</v>
      </c>
      <c r="AN30" s="169">
        <v>0</v>
      </c>
      <c r="AO30" s="169">
        <v>0</v>
      </c>
      <c r="AP30" s="169">
        <v>0</v>
      </c>
      <c r="AQ30" s="169">
        <v>0</v>
      </c>
      <c r="AR30" s="169">
        <v>0</v>
      </c>
      <c r="AS30" s="169">
        <v>0</v>
      </c>
      <c r="AT30" s="168" t="e">
        <f>VLOOKUP(MID($B30,1,2),'[2]Free Spins Symbol'!$AD$7:$AI$8,2,0)
*'[2]Held Stacked Wild'!$L$465
*VLOOKUP(MID($B30,13,2),'[2]Free Spins Symbol'!$AD$7:$AI$8,6,0)</f>
        <v>#N/A</v>
      </c>
      <c r="AU30" s="169">
        <v>0</v>
      </c>
      <c r="AV30" s="169">
        <v>0</v>
      </c>
      <c r="AW30" s="169">
        <v>0</v>
      </c>
      <c r="AX30" s="169">
        <v>0</v>
      </c>
      <c r="AY30" s="169">
        <v>0</v>
      </c>
      <c r="AZ30" s="168" t="e">
        <f>1
*'[2]Held Stacked Wild'!$L$699
*VLOOKUP(MID($B30,13,2),'[2]Free Spins Symbol'!$AD$7:$AI$8,6,0)</f>
        <v>#N/A</v>
      </c>
      <c r="BA30" s="169">
        <v>0</v>
      </c>
      <c r="BB30" s="169">
        <v>0</v>
      </c>
      <c r="BC30" s="169">
        <v>0</v>
      </c>
      <c r="BD30" s="169">
        <v>0</v>
      </c>
      <c r="BE30" s="169">
        <v>0</v>
      </c>
      <c r="BF30" s="169">
        <v>0</v>
      </c>
      <c r="BG30" s="168" t="e">
        <f>VLOOKUP(MID($B30,1,2),'[2]Free Spins Symbol'!$AD$7:$AI$8,2,0)
*'[2]Held Stacked Wild'!$L$972
*1</f>
        <v>#N/A</v>
      </c>
      <c r="BH30" s="169">
        <v>0</v>
      </c>
      <c r="BI30" s="169">
        <v>0</v>
      </c>
      <c r="BJ30" s="169">
        <v>0</v>
      </c>
      <c r="BK30" s="168">
        <f>1
*'[2]Held Stacked Wild'!$L$1128
*1</f>
        <v>6.1022120518688027E-3</v>
      </c>
      <c r="BL30" s="169">
        <v>0</v>
      </c>
      <c r="BM30" s="169">
        <v>0</v>
      </c>
      <c r="BN30" s="170">
        <v>0</v>
      </c>
    </row>
    <row r="31" spans="1:66" x14ac:dyDescent="0.3">
      <c r="A31" s="160"/>
      <c r="B31" s="166">
        <f t="shared" si="1"/>
        <v>0</v>
      </c>
      <c r="C31" s="167" t="e">
        <f>VLOOKUP(MID($B31,1,2),'[2]Free Spins Symbol'!$AD$7:$AI$8,2,0)
*VLOOKUP(MID($B31,4,2),'[2]Free Spins Symbol'!$AD$7:$AI$8,3,0)
*VLOOKUP(MID($B31,7,2),'[2]Free Spins Symbol'!$AD$7:$AI$8,4,0)
*VLOOKUP(MID($B31,10,2),'[2]Free Spins Symbol'!$AD$7:$AI$8,5,0)
*VLOOKUP(MID($B31,13,2),'[2]Free Spins Symbol'!$AD$7:$AI$8,6,0)</f>
        <v>#N/A</v>
      </c>
      <c r="D31" s="168" t="e">
        <f>1
*VLOOKUP(MID($B31,4,2),'[2]Free Spins Symbol'!$AD$7:$AI$8,3,0)
*VLOOKUP(MID($B31,7,2),'[2]Free Spins Symbol'!$AD$7:$AI$8,4,0)
*VLOOKUP(MID($B31,10,2),'[2]Free Spins Symbol'!$AD$7:$AI$8,5,0)
*VLOOKUP(MID($B31,13,2),'[2]Free Spins Symbol'!$AD$7:$AI$8,6,0)</f>
        <v>#N/A</v>
      </c>
      <c r="E31" s="169">
        <v>0</v>
      </c>
      <c r="F31" s="168" t="e">
        <f>VLOOKUP(MID($B31,1,2),'[2]Free Spins Symbol'!$AD$7:$AI$8,2,0)
*VLOOKUP(MID($B31,4,2),'[2]Free Spins Symbol'!$AD$7:$AI$8,3,0)
*1
*VLOOKUP(MID($B31,10,2),'[2]Free Spins Symbol'!$AD$7:$AI$8,5,0)
*VLOOKUP(MID($B31,13,2),'[2]Free Spins Symbol'!$AD$7:$AI$8,6,0)</f>
        <v>#N/A</v>
      </c>
      <c r="G31" s="168" t="e">
        <f>VLOOKUP(MID($B31,1,2),'[2]Free Spins Symbol'!$AD$7:$AI$8,2,0)
*VLOOKUP(MID($B31,4,2),'[2]Free Spins Symbol'!$AD$7:$AI$8,3,0)
*VLOOKUP(MID($B31,7,2),'[2]Free Spins Symbol'!$AD$7:$AI$8,4,0)
*1
*VLOOKUP(MID($B31,13,2),'[2]Free Spins Symbol'!$AD$7:$AI$8,6,0)</f>
        <v>#N/A</v>
      </c>
      <c r="H31" s="168" t="e">
        <f>VLOOKUP(MID($B31,1,2),'[2]Free Spins Symbol'!$AD$7:$AI$8,2,0)
*VLOOKUP(MID($B31,4,2),'[2]Free Spins Symbol'!$AD$7:$AI$8,3,0)
*VLOOKUP(MID($B31,7,2),'[2]Free Spins Symbol'!$AD$7:$AI$8,4,0)
*VLOOKUP(MID($B31,10,2),'[2]Free Spins Symbol'!$AD$7:$AI$8,5,0)
*1</f>
        <v>#N/A</v>
      </c>
      <c r="I31" s="169">
        <v>0</v>
      </c>
      <c r="J31" s="168" t="e">
        <f>1
*VLOOKUP(MID($B31,4,2),'[2]Free Spins Symbol'!$AD$7:$AI$8,3,0)
*1
*VLOOKUP(MID($B31,10,2),'[2]Free Spins Symbol'!$AD$7:$AI$8,5,0)
*VLOOKUP(MID($B31,13,2),'[2]Free Spins Symbol'!$AD$7:$AI$8,6,0)</f>
        <v>#N/A</v>
      </c>
      <c r="K31" s="168" t="e">
        <f>1
*VLOOKUP(MID($B31,4,2),'[2]Free Spins Symbol'!$AD$7:$AI$8,3,0)
*VLOOKUP(MID($B31,7,2),'[2]Free Spins Symbol'!$AD$7:$AI$8,4,0)
*1
*VLOOKUP(MID($B31,13,2),'[2]Free Spins Symbol'!$AD$7:$AI$8,6,0)</f>
        <v>#N/A</v>
      </c>
      <c r="L31" s="168" t="e">
        <f>1
*VLOOKUP(MID($B31,4,2),'[2]Free Spins Symbol'!$AD$7:$AI$8,3,0)
*VLOOKUP(MID($B31,7,2),'[2]Free Spins Symbol'!$AD$7:$AI$8,4,0)
*VLOOKUP(MID($B31,10,2),'[2]Free Spins Symbol'!$AD$7:$AI$8,5,0)
*1</f>
        <v>#N/A</v>
      </c>
      <c r="M31" s="169">
        <v>0</v>
      </c>
      <c r="N31" s="169">
        <v>0</v>
      </c>
      <c r="O31" s="169">
        <v>0</v>
      </c>
      <c r="P31" s="168" t="e">
        <f>VLOOKUP(MID($B31,1,2),'[2]Free Spins Symbol'!$AD$7:$AI$8,2,0)
*VLOOKUP(MID($B31,4,2),'[2]Free Spins Symbol'!$AD$7:$AI$8,3,0)
*1
*1
*VLOOKUP(MID($B31,13,2),'[2]Free Spins Symbol'!$AD$7:$AI$8,6,0)</f>
        <v>#N/A</v>
      </c>
      <c r="Q31" s="168" t="e">
        <f>VLOOKUP(MID($B31,1,2),'[2]Free Spins Symbol'!$AD$7:$AI$8,2,0)
*VLOOKUP(MID($B31,4,2),'[2]Free Spins Symbol'!$AD$7:$AI$8,3,0)
*1
*VLOOKUP(MID($B31,10,2),'[2]Free Spins Symbol'!$AD$7:$AI$8,5,0)
*1</f>
        <v>#N/A</v>
      </c>
      <c r="R31" s="168" t="e">
        <f>VLOOKUP(MID($B31,1,2),'[2]Free Spins Symbol'!$AD$7:$AI$8,2,0)
*VLOOKUP(MID($B31,4,2),'[2]Free Spins Symbol'!$AD$7:$AI$8,3,0)
*VLOOKUP(MID($B31,7,2),'[2]Free Spins Symbol'!$AD$7:$AI$8,4,0)
*1
*1</f>
        <v>#N/A</v>
      </c>
      <c r="S31" s="169">
        <v>0</v>
      </c>
      <c r="T31" s="169">
        <v>0</v>
      </c>
      <c r="U31" s="168" t="e">
        <f>1
*VLOOKUP(MID($B31,4,2),'[2]Free Spins Symbol'!$AD$7:$AI$8,3,0)
*1
*1
*VLOOKUP(MID($B31,13,2),'[2]Free Spins Symbol'!$AD$7:$AI$8,6,0)</f>
        <v>#N/A</v>
      </c>
      <c r="V31" s="169">
        <v>0</v>
      </c>
      <c r="W31" s="169">
        <v>0</v>
      </c>
      <c r="X31" s="168" t="e">
        <f>1
*VLOOKUP(MID($B31,4,2),'[2]Free Spins Symbol'!$AD$7:$AI$8,3,0)
*1
*VLOOKUP(MID($B31,10,2),'[2]Free Spins Symbol'!$AD$7:$AI$8,5,0)
*1</f>
        <v>#N/A</v>
      </c>
      <c r="Y31" s="169">
        <v>0</v>
      </c>
      <c r="Z31" s="168" t="e">
        <f>1
*VLOOKUP(MID($B31,4,2),'[2]Free Spins Symbol'!$AD$7:$AI$8,3,0)
*VLOOKUP(MID($B31,7,2),'[2]Free Spins Symbol'!$AD$7:$AI$8,4,0)
*1
*1</f>
        <v>#N/A</v>
      </c>
      <c r="AA31" s="169">
        <v>0</v>
      </c>
      <c r="AB31" s="168" t="e">
        <f>VLOOKUP(MID($B31,1,2),'[2]Free Spins Symbol'!$AD$7:$AI$8,2,0)
*VLOOKUP(MID($B31,4,2),'[2]Free Spins Symbol'!$AD$7:$AI$8,3,0)
*1
*1
*1</f>
        <v>#N/A</v>
      </c>
      <c r="AC31" s="169">
        <v>0</v>
      </c>
      <c r="AD31" s="169">
        <v>0</v>
      </c>
      <c r="AE31" s="169">
        <v>0</v>
      </c>
      <c r="AF31" s="168" t="e">
        <f>1
*VLOOKUP(MID($B31,4,2),'[2]Free Spins Symbol'!$AD$7:$AI$8,3,0)
*1
*1
*1</f>
        <v>#N/A</v>
      </c>
      <c r="AG31" s="169">
        <v>0</v>
      </c>
      <c r="AH31" s="170">
        <v>0</v>
      </c>
      <c r="AI31" s="169">
        <v>0</v>
      </c>
      <c r="AJ31" s="169">
        <v>0</v>
      </c>
      <c r="AK31" s="169">
        <v>0</v>
      </c>
      <c r="AL31" s="169">
        <v>0</v>
      </c>
      <c r="AM31" s="169">
        <v>0</v>
      </c>
      <c r="AN31" s="169">
        <v>0</v>
      </c>
      <c r="AO31" s="169">
        <v>0</v>
      </c>
      <c r="AP31" s="169">
        <v>0</v>
      </c>
      <c r="AQ31" s="169">
        <v>0</v>
      </c>
      <c r="AR31" s="169">
        <v>0</v>
      </c>
      <c r="AS31" s="169">
        <v>0</v>
      </c>
      <c r="AT31" s="169">
        <v>0</v>
      </c>
      <c r="AU31" s="169">
        <v>0</v>
      </c>
      <c r="AV31" s="168" t="e">
        <f>VLOOKUP(MID($B31,1,2),'[2]Free Spins Symbol'!$AD$7:$AI$8,2,0)
*'[2]Held Stacked Wild'!$L$543
*VLOOKUP(MID($B31,13,2),'[2]Free Spins Symbol'!$AD$7:$AI$8,6,0)</f>
        <v>#N/A</v>
      </c>
      <c r="AW31" s="169">
        <v>0</v>
      </c>
      <c r="AX31" s="169">
        <v>0</v>
      </c>
      <c r="AY31" s="169">
        <v>0</v>
      </c>
      <c r="AZ31" s="169">
        <v>0</v>
      </c>
      <c r="BA31" s="168" t="e">
        <f>1
*'[2]Held Stacked Wild'!$L$738
*VLOOKUP(MID($B31,13,2),'[2]Free Spins Symbol'!$AD$7:$AI$8,6,0)</f>
        <v>#N/A</v>
      </c>
      <c r="BB31" s="169">
        <v>0</v>
      </c>
      <c r="BC31" s="169">
        <v>0</v>
      </c>
      <c r="BD31" s="169">
        <v>0</v>
      </c>
      <c r="BE31" s="169">
        <v>0</v>
      </c>
      <c r="BF31" s="169">
        <v>0</v>
      </c>
      <c r="BG31" s="169">
        <v>0</v>
      </c>
      <c r="BH31" s="168" t="e">
        <f>VLOOKUP(MID($B31,1,2),'[2]Free Spins Symbol'!$AD$7:$AI$8,2,0)
*'[2]Held Stacked Wild'!$L$1011
*1</f>
        <v>#N/A</v>
      </c>
      <c r="BI31" s="169">
        <v>0</v>
      </c>
      <c r="BJ31" s="169">
        <v>0</v>
      </c>
      <c r="BK31" s="169">
        <v>0</v>
      </c>
      <c r="BL31" s="168">
        <f>1
*'[2]Held Stacked Wild'!$L$1167
*1</f>
        <v>6.1022120518688027E-3</v>
      </c>
      <c r="BM31" s="169">
        <v>0</v>
      </c>
      <c r="BN31" s="170">
        <v>0</v>
      </c>
    </row>
    <row r="32" spans="1:66" x14ac:dyDescent="0.3">
      <c r="A32" s="160"/>
      <c r="B32" s="166">
        <f t="shared" si="1"/>
        <v>0</v>
      </c>
      <c r="C32" s="167" t="e">
        <f>VLOOKUP(MID($B32,1,2),'[2]Free Spins Symbol'!$AD$7:$AI$8,2,0)
*VLOOKUP(MID($B32,4,2),'[2]Free Spins Symbol'!$AD$7:$AI$8,3,0)
*VLOOKUP(MID($B32,7,2),'[2]Free Spins Symbol'!$AD$7:$AI$8,4,0)
*VLOOKUP(MID($B32,10,2),'[2]Free Spins Symbol'!$AD$7:$AI$8,5,0)
*VLOOKUP(MID($B32,13,2),'[2]Free Spins Symbol'!$AD$7:$AI$8,6,0)</f>
        <v>#N/A</v>
      </c>
      <c r="D32" s="169">
        <v>0</v>
      </c>
      <c r="E32" s="168" t="e">
        <f>VLOOKUP(MID($B32,1,2),'[2]Free Spins Symbol'!$AD$7:$AI$8,2,0)
*1
*VLOOKUP(MID($B32,7,2),'[2]Free Spins Symbol'!$AD$7:$AI$8,4,0)
*VLOOKUP(MID($B32,10,2),'[2]Free Spins Symbol'!$AD$7:$AI$8,5,0)
*VLOOKUP(MID($B32,13,2),'[2]Free Spins Symbol'!$AD$7:$AI$8,6,0)</f>
        <v>#N/A</v>
      </c>
      <c r="F32" s="168" t="e">
        <f>VLOOKUP(MID($B32,1,2),'[2]Free Spins Symbol'!$AD$7:$AI$8,2,0)
*VLOOKUP(MID($B32,4,2),'[2]Free Spins Symbol'!$AD$7:$AI$8,3,0)
*1
*VLOOKUP(MID($B32,10,2),'[2]Free Spins Symbol'!$AD$7:$AI$8,5,0)
*VLOOKUP(MID($B32,13,2),'[2]Free Spins Symbol'!$AD$7:$AI$8,6,0)</f>
        <v>#N/A</v>
      </c>
      <c r="G32" s="168" t="e">
        <f>VLOOKUP(MID($B32,1,2),'[2]Free Spins Symbol'!$AD$7:$AI$8,2,0)
*VLOOKUP(MID($B32,4,2),'[2]Free Spins Symbol'!$AD$7:$AI$8,3,0)
*VLOOKUP(MID($B32,7,2),'[2]Free Spins Symbol'!$AD$7:$AI$8,4,0)
*1
*VLOOKUP(MID($B32,13,2),'[2]Free Spins Symbol'!$AD$7:$AI$8,6,0)</f>
        <v>#N/A</v>
      </c>
      <c r="H32" s="168" t="e">
        <f>VLOOKUP(MID($B32,1,2),'[2]Free Spins Symbol'!$AD$7:$AI$8,2,0)
*VLOOKUP(MID($B32,4,2),'[2]Free Spins Symbol'!$AD$7:$AI$8,3,0)
*VLOOKUP(MID($B32,7,2),'[2]Free Spins Symbol'!$AD$7:$AI$8,4,0)
*VLOOKUP(MID($B32,10,2),'[2]Free Spins Symbol'!$AD$7:$AI$8,5,0)
*1</f>
        <v>#N/A</v>
      </c>
      <c r="I32" s="169">
        <v>0</v>
      </c>
      <c r="J32" s="169">
        <v>0</v>
      </c>
      <c r="K32" s="169">
        <v>0</v>
      </c>
      <c r="L32" s="169">
        <v>0</v>
      </c>
      <c r="M32" s="168" t="e">
        <f>VLOOKUP(MID($B32,1,2),'[2]Free Spins Symbol'!$AD$7:$AI$8,2,0)
*1
*1
*VLOOKUP(MID($B32,10,2),'[2]Free Spins Symbol'!$AD$7:$AI$8,5,0)
*VLOOKUP(MID($B32,13,2),'[2]Free Spins Symbol'!$AD$7:$AI$8,6,0)</f>
        <v>#N/A</v>
      </c>
      <c r="N32" s="168" t="e">
        <f>VLOOKUP(MID($B32,1,2),'[2]Free Spins Symbol'!$AD$7:$AI$8,2,0)
*1
*VLOOKUP(MID($B32,7,2),'[2]Free Spins Symbol'!$AD$7:$AI$8,4,0)
*1
*VLOOKUP(MID($B32,13,2),'[2]Free Spins Symbol'!$AD$7:$AI$8,6,0)</f>
        <v>#N/A</v>
      </c>
      <c r="O32" s="168" t="e">
        <f>VLOOKUP(MID($B32,1,2),'[2]Free Spins Symbol'!$AD$7:$AI$8,2,0)
*1
*VLOOKUP(MID($B32,7,2),'[2]Free Spins Symbol'!$AD$7:$AI$8,4,0)
*VLOOKUP(MID($B32,10,2),'[2]Free Spins Symbol'!$AD$7:$AI$8,5,0)
*1</f>
        <v>#N/A</v>
      </c>
      <c r="P32" s="168" t="e">
        <f>VLOOKUP(MID($B32,1,2),'[2]Free Spins Symbol'!$AD$7:$AI$8,2,0)
*VLOOKUP(MID($B32,4,2),'[2]Free Spins Symbol'!$AD$7:$AI$8,3,0)
*1
*1
*VLOOKUP(MID($B32,13,2),'[2]Free Spins Symbol'!$AD$7:$AI$8,6,0)</f>
        <v>#N/A</v>
      </c>
      <c r="Q32" s="168" t="e">
        <f>VLOOKUP(MID($B32,1,2),'[2]Free Spins Symbol'!$AD$7:$AI$8,2,0)
*VLOOKUP(MID($B32,4,2),'[2]Free Spins Symbol'!$AD$7:$AI$8,3,0)
*1
*VLOOKUP(MID($B32,10,2),'[2]Free Spins Symbol'!$AD$7:$AI$8,5,0)
*1</f>
        <v>#N/A</v>
      </c>
      <c r="R32" s="168" t="e">
        <f>VLOOKUP(MID($B32,1,2),'[2]Free Spins Symbol'!$AD$7:$AI$8,2,0)
*VLOOKUP(MID($B32,4,2),'[2]Free Spins Symbol'!$AD$7:$AI$8,3,0)
*VLOOKUP(MID($B32,7,2),'[2]Free Spins Symbol'!$AD$7:$AI$8,4,0)
*1
*1</f>
        <v>#N/A</v>
      </c>
      <c r="S32" s="169">
        <v>0</v>
      </c>
      <c r="T32" s="169">
        <v>0</v>
      </c>
      <c r="U32" s="169">
        <v>0</v>
      </c>
      <c r="V32" s="168" t="e">
        <f>VLOOKUP(MID($B32,1,2),'[2]Free Spins Symbol'!$AD$7:$AI$8,2,0)
*1
*1
*1
*VLOOKUP(MID($B32,13,2),'[2]Free Spins Symbol'!$AD$7:$AI$8,6,0)</f>
        <v>#N/A</v>
      </c>
      <c r="W32" s="169">
        <v>0</v>
      </c>
      <c r="X32" s="169">
        <v>0</v>
      </c>
      <c r="Y32" s="168" t="e">
        <f>VLOOKUP(MID($B32,1,2),'[2]Free Spins Symbol'!$AD$7:$AI$8,2,0)
*1
*1
*VLOOKUP(MID($B32,10,2),'[2]Free Spins Symbol'!$AD$7:$AI$8,5,0)
*1</f>
        <v>#N/A</v>
      </c>
      <c r="Z32" s="169">
        <v>0</v>
      </c>
      <c r="AA32" s="168" t="e">
        <f>VLOOKUP(MID($B32,1,2),'[2]Free Spins Symbol'!$AD$7:$AI$8,2,0)
*1
*VLOOKUP(MID($B32,7,2),'[2]Free Spins Symbol'!$AD$7:$AI$8,4,0)
*1
*1</f>
        <v>#N/A</v>
      </c>
      <c r="AB32" s="168" t="e">
        <f>VLOOKUP(MID($B32,1,2),'[2]Free Spins Symbol'!$AD$7:$AI$8,2,0)
*VLOOKUP(MID($B32,4,2),'[2]Free Spins Symbol'!$AD$7:$AI$8,3,0)
*1
*1
*1</f>
        <v>#N/A</v>
      </c>
      <c r="AC32" s="169">
        <v>0</v>
      </c>
      <c r="AD32" s="169">
        <v>0</v>
      </c>
      <c r="AE32" s="169">
        <v>0</v>
      </c>
      <c r="AF32" s="169">
        <v>0</v>
      </c>
      <c r="AG32" s="168" t="e">
        <f>VLOOKUP(MID($B32,1,2),'[2]Free Spins Symbol'!$AD$7:$AI$8,2,0)
*1
*1
*1
*1</f>
        <v>#N/A</v>
      </c>
      <c r="AH32" s="170">
        <v>0</v>
      </c>
      <c r="AI32" s="169">
        <v>0</v>
      </c>
      <c r="AJ32" s="169">
        <v>0</v>
      </c>
      <c r="AK32" s="169">
        <v>0</v>
      </c>
      <c r="AL32" s="169">
        <v>0</v>
      </c>
      <c r="AM32" s="169">
        <v>0</v>
      </c>
      <c r="AN32" s="169">
        <v>0</v>
      </c>
      <c r="AO32" s="169">
        <v>0</v>
      </c>
      <c r="AP32" s="169">
        <v>0</v>
      </c>
      <c r="AQ32" s="169">
        <v>0</v>
      </c>
      <c r="AR32" s="169">
        <v>0</v>
      </c>
      <c r="AS32" s="169">
        <v>0</v>
      </c>
      <c r="AT32" s="169">
        <v>0</v>
      </c>
      <c r="AU32" s="169">
        <v>0</v>
      </c>
      <c r="AV32" s="169">
        <v>0</v>
      </c>
      <c r="AW32" s="169">
        <v>0</v>
      </c>
      <c r="AX32" s="169">
        <v>0</v>
      </c>
      <c r="AY32" s="169">
        <v>0</v>
      </c>
      <c r="AZ32" s="169">
        <v>0</v>
      </c>
      <c r="BA32" s="169">
        <v>0</v>
      </c>
      <c r="BB32" s="168" t="e">
        <f>VLOOKUP(MID($B32,1,2),'[2]Free Spins Symbol'!$AD$7:$AI$8,2,0)
*'[2]Held Stacked Wild'!$L$777
*VLOOKUP(MID($B32,13,2),'[2]Free Spins Symbol'!$AD$7:$AI$8,6,0)</f>
        <v>#N/A</v>
      </c>
      <c r="BC32" s="169">
        <v>0</v>
      </c>
      <c r="BD32" s="169">
        <v>0</v>
      </c>
      <c r="BE32" s="169">
        <v>0</v>
      </c>
      <c r="BF32" s="169">
        <v>0</v>
      </c>
      <c r="BG32" s="169">
        <v>0</v>
      </c>
      <c r="BH32" s="169">
        <v>0</v>
      </c>
      <c r="BI32" s="169">
        <v>0</v>
      </c>
      <c r="BJ32" s="169">
        <v>0</v>
      </c>
      <c r="BK32" s="169">
        <v>0</v>
      </c>
      <c r="BL32" s="169">
        <v>0</v>
      </c>
      <c r="BM32" s="168" t="e">
        <f>VLOOKUP(MID($B32,1,2),'[2]Free Spins Symbol'!$AD$7:$AI$8,2,0)
*'[2]Held Stacked Wild'!$L$1206
*1</f>
        <v>#N/A</v>
      </c>
      <c r="BN32" s="170">
        <v>0</v>
      </c>
    </row>
    <row r="33" spans="1:66" ht="16.8" thickBot="1" x14ac:dyDescent="0.35">
      <c r="A33" s="160"/>
      <c r="B33" s="176">
        <f t="shared" si="1"/>
        <v>0</v>
      </c>
      <c r="C33" s="177" t="e">
        <f>VLOOKUP(MID($B33,1,2),'[2]Free Spins Symbol'!$AD$7:$AI$8,2,0)
*VLOOKUP(MID($B33,4,2),'[2]Free Spins Symbol'!$AD$7:$AI$8,3,0)
*VLOOKUP(MID($B33,7,2),'[2]Free Spins Symbol'!$AD$7:$AI$8,4,0)
*VLOOKUP(MID($B33,10,2),'[2]Free Spins Symbol'!$AD$7:$AI$8,5,0)
*VLOOKUP(MID($B33,13,2),'[2]Free Spins Symbol'!$AD$7:$AI$8,6,0)</f>
        <v>#N/A</v>
      </c>
      <c r="D33" s="178" t="e">
        <f>1
*VLOOKUP(MID($B33,4,2),'[2]Free Spins Symbol'!$AD$7:$AI$8,3,0)
*VLOOKUP(MID($B33,7,2),'[2]Free Spins Symbol'!$AD$7:$AI$8,4,0)
*VLOOKUP(MID($B33,10,2),'[2]Free Spins Symbol'!$AD$7:$AI$8,5,0)
*VLOOKUP(MID($B33,13,2),'[2]Free Spins Symbol'!$AD$7:$AI$8,6,0)</f>
        <v>#N/A</v>
      </c>
      <c r="E33" s="178" t="e">
        <f>VLOOKUP(MID($B33,1,2),'[2]Free Spins Symbol'!$AD$7:$AI$8,2,0)
*1
*VLOOKUP(MID($B33,7,2),'[2]Free Spins Symbol'!$AD$7:$AI$8,4,0)
*VLOOKUP(MID($B33,10,2),'[2]Free Spins Symbol'!$AD$7:$AI$8,5,0)
*VLOOKUP(MID($B33,13,2),'[2]Free Spins Symbol'!$AD$7:$AI$8,6,0)</f>
        <v>#N/A</v>
      </c>
      <c r="F33" s="178" t="e">
        <f>VLOOKUP(MID($B33,1,2),'[2]Free Spins Symbol'!$AD$7:$AI$8,2,0)
*VLOOKUP(MID($B33,4,2),'[2]Free Spins Symbol'!$AD$7:$AI$8,3,0)
*1
*VLOOKUP(MID($B33,10,2),'[2]Free Spins Symbol'!$AD$7:$AI$8,5,0)
*VLOOKUP(MID($B33,13,2),'[2]Free Spins Symbol'!$AD$7:$AI$8,6,0)</f>
        <v>#N/A</v>
      </c>
      <c r="G33" s="178" t="e">
        <f>VLOOKUP(MID($B33,1,2),'[2]Free Spins Symbol'!$AD$7:$AI$8,2,0)
*VLOOKUP(MID($B33,4,2),'[2]Free Spins Symbol'!$AD$7:$AI$8,3,0)
*VLOOKUP(MID($B33,7,2),'[2]Free Spins Symbol'!$AD$7:$AI$8,4,0)
*1
*VLOOKUP(MID($B33,13,2),'[2]Free Spins Symbol'!$AD$7:$AI$8,6,0)</f>
        <v>#N/A</v>
      </c>
      <c r="H33" s="178" t="e">
        <f>VLOOKUP(MID($B33,1,2),'[2]Free Spins Symbol'!$AD$7:$AI$8,2,0)
*VLOOKUP(MID($B33,4,2),'[2]Free Spins Symbol'!$AD$7:$AI$8,3,0)
*VLOOKUP(MID($B33,7,2),'[2]Free Spins Symbol'!$AD$7:$AI$8,4,0)
*VLOOKUP(MID($B33,10,2),'[2]Free Spins Symbol'!$AD$7:$AI$8,5,0)
*1</f>
        <v>#N/A</v>
      </c>
      <c r="I33" s="178" t="e">
        <f>1
*1
*VLOOKUP(MID($B33,7,2),'[2]Free Spins Symbol'!$AD$7:$AI$8,4,0)
*VLOOKUP(MID($B33,10,2),'[2]Free Spins Symbol'!$AD$7:$AI$8,5,0)
*VLOOKUP(MID($B33,13,2),'[2]Free Spins Symbol'!$AD$7:$AI$8,6,0)</f>
        <v>#N/A</v>
      </c>
      <c r="J33" s="178" t="e">
        <f>1
*VLOOKUP(MID($B33,4,2),'[2]Free Spins Symbol'!$AD$7:$AI$8,3,0)
*1
*VLOOKUP(MID($B33,10,2),'[2]Free Spins Symbol'!$AD$7:$AI$8,5,0)
*VLOOKUP(MID($B33,13,2),'[2]Free Spins Symbol'!$AD$7:$AI$8,6,0)</f>
        <v>#N/A</v>
      </c>
      <c r="K33" s="178" t="e">
        <f>1
*VLOOKUP(MID($B33,4,2),'[2]Free Spins Symbol'!$AD$7:$AI$8,3,0)
*VLOOKUP(MID($B33,7,2),'[2]Free Spins Symbol'!$AD$7:$AI$8,4,0)
*1
*VLOOKUP(MID($B33,13,2),'[2]Free Spins Symbol'!$AD$7:$AI$8,6,0)</f>
        <v>#N/A</v>
      </c>
      <c r="L33" s="178" t="e">
        <f>1
*VLOOKUP(MID($B33,4,2),'[2]Free Spins Symbol'!$AD$7:$AI$8,3,0)
*VLOOKUP(MID($B33,7,2),'[2]Free Spins Symbol'!$AD$7:$AI$8,4,0)
*VLOOKUP(MID($B33,10,2),'[2]Free Spins Symbol'!$AD$7:$AI$8,5,0)
*1</f>
        <v>#N/A</v>
      </c>
      <c r="M33" s="178" t="e">
        <f>VLOOKUP(MID($B33,1,2),'[2]Free Spins Symbol'!$AD$7:$AI$8,2,0)
*1
*1
*VLOOKUP(MID($B33,10,2),'[2]Free Spins Symbol'!$AD$7:$AI$8,5,0)
*VLOOKUP(MID($B33,13,2),'[2]Free Spins Symbol'!$AD$7:$AI$8,6,0)</f>
        <v>#N/A</v>
      </c>
      <c r="N33" s="178" t="e">
        <f>VLOOKUP(MID($B33,1,2),'[2]Free Spins Symbol'!$AD$7:$AI$8,2,0)
*1
*VLOOKUP(MID($B33,7,2),'[2]Free Spins Symbol'!$AD$7:$AI$8,4,0)
*1
*VLOOKUP(MID($B33,13,2),'[2]Free Spins Symbol'!$AD$7:$AI$8,6,0)</f>
        <v>#N/A</v>
      </c>
      <c r="O33" s="178" t="e">
        <f>VLOOKUP(MID($B33,1,2),'[2]Free Spins Symbol'!$AD$7:$AI$8,2,0)
*1
*VLOOKUP(MID($B33,7,2),'[2]Free Spins Symbol'!$AD$7:$AI$8,4,0)
*VLOOKUP(MID($B33,10,2),'[2]Free Spins Symbol'!$AD$7:$AI$8,5,0)
*1</f>
        <v>#N/A</v>
      </c>
      <c r="P33" s="178" t="e">
        <f>VLOOKUP(MID($B33,1,2),'[2]Free Spins Symbol'!$AD$7:$AI$8,2,0)
*VLOOKUP(MID($B33,4,2),'[2]Free Spins Symbol'!$AD$7:$AI$8,3,0)
*1
*1
*VLOOKUP(MID($B33,13,2),'[2]Free Spins Symbol'!$AD$7:$AI$8,6,0)</f>
        <v>#N/A</v>
      </c>
      <c r="Q33" s="178" t="e">
        <f>VLOOKUP(MID($B33,1,2),'[2]Free Spins Symbol'!$AD$7:$AI$8,2,0)
*VLOOKUP(MID($B33,4,2),'[2]Free Spins Symbol'!$AD$7:$AI$8,3,0)
*1
*VLOOKUP(MID($B33,10,2),'[2]Free Spins Symbol'!$AD$7:$AI$8,5,0)
*1</f>
        <v>#N/A</v>
      </c>
      <c r="R33" s="178" t="e">
        <f>VLOOKUP(MID($B33,1,2),'[2]Free Spins Symbol'!$AD$7:$AI$8,2,0)
*VLOOKUP(MID($B33,4,2),'[2]Free Spins Symbol'!$AD$7:$AI$8,3,0)
*VLOOKUP(MID($B33,7,2),'[2]Free Spins Symbol'!$AD$7:$AI$8,4,0)
*1
*1</f>
        <v>#N/A</v>
      </c>
      <c r="S33" s="178" t="e">
        <f>1
*1
*1
*VLOOKUP(MID($B33,10,2),'[2]Free Spins Symbol'!$AD$7:$AI$8,5,0)
*VLOOKUP(MID($B33,13,2),'[2]Free Spins Symbol'!$AD$7:$AI$8,6,0)</f>
        <v>#N/A</v>
      </c>
      <c r="T33" s="178" t="e">
        <f>1
*1
*VLOOKUP(MID($B33,7,2),'[2]Free Spins Symbol'!$AD$7:$AI$8,4,0)
*1
*VLOOKUP(MID($B33,13,2),'[2]Free Spins Symbol'!$AD$7:$AI$8,6,0)</f>
        <v>#N/A</v>
      </c>
      <c r="U33" s="178" t="e">
        <f>1
*VLOOKUP(MID($B33,4,2),'[2]Free Spins Symbol'!$AD$7:$AI$8,3,0)
*1
*1
*VLOOKUP(MID($B33,13,2),'[2]Free Spins Symbol'!$AD$7:$AI$8,6,0)</f>
        <v>#N/A</v>
      </c>
      <c r="V33" s="178" t="e">
        <f>VLOOKUP(MID($B33,1,2),'[2]Free Spins Symbol'!$AD$7:$AI$8,2,0)
*1
*1
*1
*VLOOKUP(MID($B33,13,2),'[2]Free Spins Symbol'!$AD$7:$AI$8,6,0)</f>
        <v>#N/A</v>
      </c>
      <c r="W33" s="178" t="e">
        <f>1
*1
*VLOOKUP(MID($B33,7,2),'[2]Free Spins Symbol'!$AD$7:$AI$8,4,0)
*VLOOKUP(MID($B33,10,2),'[2]Free Spins Symbol'!$AD$7:$AI$8,5,0)
*1</f>
        <v>#N/A</v>
      </c>
      <c r="X33" s="178" t="e">
        <f>1
*VLOOKUP(MID($B33,4,2),'[2]Free Spins Symbol'!$AD$7:$AI$8,3,0)
*1
*VLOOKUP(MID($B33,10,2),'[2]Free Spins Symbol'!$AD$7:$AI$8,5,0)
*1</f>
        <v>#N/A</v>
      </c>
      <c r="Y33" s="178" t="e">
        <f>VLOOKUP(MID($B33,1,2),'[2]Free Spins Symbol'!$AD$7:$AI$8,2,0)
*1
*1
*VLOOKUP(MID($B33,10,2),'[2]Free Spins Symbol'!$AD$7:$AI$8,5,0)
*1</f>
        <v>#N/A</v>
      </c>
      <c r="Z33" s="178" t="e">
        <f>1
*VLOOKUP(MID($B33,4,2),'[2]Free Spins Symbol'!$AD$7:$AI$8,3,0)
*VLOOKUP(MID($B33,7,2),'[2]Free Spins Symbol'!$AD$7:$AI$8,4,0)
*1
*1</f>
        <v>#N/A</v>
      </c>
      <c r="AA33" s="178" t="e">
        <f>VLOOKUP(MID($B33,1,2),'[2]Free Spins Symbol'!$AD$7:$AI$8,2,0)
*1
*VLOOKUP(MID($B33,7,2),'[2]Free Spins Symbol'!$AD$7:$AI$8,4,0)
*1
*1</f>
        <v>#N/A</v>
      </c>
      <c r="AB33" s="178" t="e">
        <f>VLOOKUP(MID($B33,1,2),'[2]Free Spins Symbol'!$AD$7:$AI$8,2,0)
*VLOOKUP(MID($B33,4,2),'[2]Free Spins Symbol'!$AD$7:$AI$8,3,0)
*1
*1
*1</f>
        <v>#N/A</v>
      </c>
      <c r="AC33" s="178" t="e">
        <f>1
*1
*1
*1
*VLOOKUP(MID($B33,13,2),'[2]Free Spins Symbol'!$AD$7:$AI$8,6,0)</f>
        <v>#N/A</v>
      </c>
      <c r="AD33" s="178" t="e">
        <f>1
*1
*1
*VLOOKUP(MID($B33,10,2),'[2]Free Spins Symbol'!$AD$7:$AI$8,5,0)
*1</f>
        <v>#N/A</v>
      </c>
      <c r="AE33" s="178" t="e">
        <f>1
*1
*VLOOKUP(MID($B33,7,2),'[2]Free Spins Symbol'!$AD$7:$AI$8,4,0)
*1
*1</f>
        <v>#N/A</v>
      </c>
      <c r="AF33" s="178" t="e">
        <f>1
*VLOOKUP(MID($B33,4,2),'[2]Free Spins Symbol'!$AD$7:$AI$8,3,0)
*1
*1
*1</f>
        <v>#N/A</v>
      </c>
      <c r="AG33" s="178" t="e">
        <f>VLOOKUP(MID($B33,1,2),'[2]Free Spins Symbol'!$AD$7:$AI$8,2,0)
*1
*1
*1
*1</f>
        <v>#N/A</v>
      </c>
      <c r="AH33" s="179">
        <v>1</v>
      </c>
      <c r="AI33" s="180">
        <v>0</v>
      </c>
      <c r="AJ33" s="181">
        <v>0</v>
      </c>
      <c r="AK33" s="181">
        <v>0</v>
      </c>
      <c r="AL33" s="181">
        <v>0</v>
      </c>
      <c r="AM33" s="181">
        <v>0</v>
      </c>
      <c r="AN33" s="181">
        <v>0</v>
      </c>
      <c r="AO33" s="181">
        <v>0</v>
      </c>
      <c r="AP33" s="181">
        <v>0</v>
      </c>
      <c r="AQ33" s="181">
        <v>0</v>
      </c>
      <c r="AR33" s="181">
        <v>0</v>
      </c>
      <c r="AS33" s="181">
        <v>0</v>
      </c>
      <c r="AT33" s="181">
        <v>0</v>
      </c>
      <c r="AU33" s="181">
        <v>0</v>
      </c>
      <c r="AV33" s="181">
        <v>0</v>
      </c>
      <c r="AW33" s="181">
        <v>0</v>
      </c>
      <c r="AX33" s="181">
        <v>0</v>
      </c>
      <c r="AY33" s="181">
        <v>0</v>
      </c>
      <c r="AZ33" s="181">
        <v>0</v>
      </c>
      <c r="BA33" s="181">
        <v>0</v>
      </c>
      <c r="BB33" s="178" t="e">
        <f>VLOOKUP(MID($B33,1,2),'[2]Free Spins Symbol'!$AD$7:$AI$8,2,0)
*'[2]Held Stacked Wild'!$L$777
*VLOOKUP(MID($B33,13,2),'[2]Free Spins Symbol'!$AD$7:$AI$8,6,0)</f>
        <v>#N/A</v>
      </c>
      <c r="BC33" s="181">
        <v>0</v>
      </c>
      <c r="BD33" s="181">
        <v>0</v>
      </c>
      <c r="BE33" s="181">
        <v>0</v>
      </c>
      <c r="BF33" s="181">
        <v>0</v>
      </c>
      <c r="BG33" s="181">
        <v>0</v>
      </c>
      <c r="BH33" s="181">
        <v>0</v>
      </c>
      <c r="BI33" s="178" t="e">
        <f>1
*'[2]Held Stacked Wild'!$L$1050
*VLOOKUP(MID($B33,13,2),'[2]Free Spins Symbol'!$AD$7:$AI$8,6,0)</f>
        <v>#N/A</v>
      </c>
      <c r="BJ33" s="181">
        <v>0</v>
      </c>
      <c r="BK33" s="181">
        <v>0</v>
      </c>
      <c r="BL33" s="181">
        <v>0</v>
      </c>
      <c r="BM33" s="178" t="e">
        <f>VLOOKUP(MID($B33,1,2),'[2]Free Spins Symbol'!$AD$7:$AI$8,2,0)
*'[2]Held Stacked Wild'!$L$1206
*1</f>
        <v>#N/A</v>
      </c>
      <c r="BN33" s="182">
        <f>'[2]Held Stacked Wild'!L1244</f>
        <v>0</v>
      </c>
    </row>
    <row r="34" spans="1:66" x14ac:dyDescent="0.3">
      <c r="A34" s="39"/>
      <c r="B34" s="183" t="e">
        <f>'[2]Held Stacked Wild'!#REF!</f>
        <v>#REF!</v>
      </c>
      <c r="C34" s="184">
        <v>0</v>
      </c>
      <c r="D34" s="185">
        <v>0</v>
      </c>
      <c r="E34" s="185">
        <v>0</v>
      </c>
      <c r="F34" s="185">
        <v>0</v>
      </c>
      <c r="G34" s="185">
        <v>0</v>
      </c>
      <c r="H34" s="185">
        <v>0</v>
      </c>
      <c r="I34" s="185">
        <v>0</v>
      </c>
      <c r="J34" s="185">
        <v>0</v>
      </c>
      <c r="K34" s="185">
        <v>0</v>
      </c>
      <c r="L34" s="185">
        <v>0</v>
      </c>
      <c r="M34" s="185">
        <v>0</v>
      </c>
      <c r="N34" s="185">
        <v>0</v>
      </c>
      <c r="O34" s="185">
        <v>0</v>
      </c>
      <c r="P34" s="185">
        <v>0</v>
      </c>
      <c r="Q34" s="185">
        <v>0</v>
      </c>
      <c r="R34" s="185">
        <v>0</v>
      </c>
      <c r="S34" s="185">
        <v>0</v>
      </c>
      <c r="T34" s="185">
        <v>0</v>
      </c>
      <c r="U34" s="185">
        <v>0</v>
      </c>
      <c r="V34" s="185">
        <v>0</v>
      </c>
      <c r="W34" s="185">
        <v>0</v>
      </c>
      <c r="X34" s="185">
        <v>0</v>
      </c>
      <c r="Y34" s="185">
        <v>0</v>
      </c>
      <c r="Z34" s="185">
        <v>0</v>
      </c>
      <c r="AA34" s="185">
        <v>0</v>
      </c>
      <c r="AB34" s="185">
        <v>0</v>
      </c>
      <c r="AC34" s="185">
        <v>0</v>
      </c>
      <c r="AD34" s="185">
        <v>0</v>
      </c>
      <c r="AE34" s="185">
        <v>0</v>
      </c>
      <c r="AF34" s="185">
        <v>0</v>
      </c>
      <c r="AG34" s="185">
        <v>0</v>
      </c>
      <c r="AH34" s="186">
        <v>0</v>
      </c>
      <c r="AI34" s="171" t="e">
        <f>VLOOKUP(MID($B34,1,2),'[2]Free Spins Symbol'!$AD$7:$AI$8,2,0)
*VLOOKUP(MID($B34,4,2),'[2]Free Spins Symbol'!$AD$7:$AI$8,3,0)
*VLOOKUP(MID($B34,7,2),'[2]Free Spins Symbol'!$AD$7:$AI$8,4,0)
*VLOOKUP(MID($B34,10,2),'[2]Free Spins Symbol'!$AD$7:$AI$8,5,0)
*VLOOKUP(MID($B34,13,2),'[2]Free Spins Symbol'!$AD$7:$AI$8,6,0)-AI2</f>
        <v>#REF!</v>
      </c>
      <c r="AJ34" s="187">
        <v>0</v>
      </c>
      <c r="AK34" s="187">
        <v>0</v>
      </c>
      <c r="AL34" s="187">
        <v>0</v>
      </c>
      <c r="AM34" s="187">
        <v>0</v>
      </c>
      <c r="AN34" s="187">
        <v>0</v>
      </c>
      <c r="AO34" s="187">
        <v>0</v>
      </c>
      <c r="AP34" s="187">
        <v>0</v>
      </c>
      <c r="AQ34" s="187">
        <v>0</v>
      </c>
      <c r="AR34" s="187">
        <v>0</v>
      </c>
      <c r="AS34" s="187">
        <v>0</v>
      </c>
      <c r="AT34" s="187">
        <v>0</v>
      </c>
      <c r="AU34" s="187">
        <v>0</v>
      </c>
      <c r="AV34" s="187">
        <v>0</v>
      </c>
      <c r="AW34" s="187">
        <v>0</v>
      </c>
      <c r="AX34" s="187">
        <v>0</v>
      </c>
      <c r="AY34" s="187">
        <v>0</v>
      </c>
      <c r="AZ34" s="187">
        <v>0</v>
      </c>
      <c r="BA34" s="187">
        <v>0</v>
      </c>
      <c r="BB34" s="187">
        <v>0</v>
      </c>
      <c r="BC34" s="187">
        <v>0</v>
      </c>
      <c r="BD34" s="187">
        <v>0</v>
      </c>
      <c r="BE34" s="187">
        <v>0</v>
      </c>
      <c r="BF34" s="187">
        <v>0</v>
      </c>
      <c r="BG34" s="187">
        <v>0</v>
      </c>
      <c r="BH34" s="187">
        <v>0</v>
      </c>
      <c r="BI34" s="187">
        <v>0</v>
      </c>
      <c r="BJ34" s="187">
        <v>0</v>
      </c>
      <c r="BK34" s="187">
        <v>0</v>
      </c>
      <c r="BL34" s="187">
        <v>0</v>
      </c>
      <c r="BM34" s="187">
        <v>0</v>
      </c>
      <c r="BN34" s="188">
        <v>0</v>
      </c>
    </row>
    <row r="35" spans="1:66" x14ac:dyDescent="0.3">
      <c r="A35" s="39"/>
      <c r="B35" s="183">
        <f>'[2]Held Stacked Wild'!A39</f>
        <v>0</v>
      </c>
      <c r="C35" s="189">
        <v>0</v>
      </c>
      <c r="D35" s="190">
        <v>0</v>
      </c>
      <c r="E35" s="190">
        <v>0</v>
      </c>
      <c r="F35" s="190">
        <v>0</v>
      </c>
      <c r="G35" s="190">
        <v>0</v>
      </c>
      <c r="H35" s="190">
        <v>0</v>
      </c>
      <c r="I35" s="190">
        <v>0</v>
      </c>
      <c r="J35" s="190">
        <v>0</v>
      </c>
      <c r="K35" s="190">
        <v>0</v>
      </c>
      <c r="L35" s="190">
        <v>0</v>
      </c>
      <c r="M35" s="190">
        <v>0</v>
      </c>
      <c r="N35" s="190">
        <v>0</v>
      </c>
      <c r="O35" s="190">
        <v>0</v>
      </c>
      <c r="P35" s="190">
        <v>0</v>
      </c>
      <c r="Q35" s="190">
        <v>0</v>
      </c>
      <c r="R35" s="190">
        <v>0</v>
      </c>
      <c r="S35" s="190">
        <v>0</v>
      </c>
      <c r="T35" s="190">
        <v>0</v>
      </c>
      <c r="U35" s="190">
        <v>0</v>
      </c>
      <c r="V35" s="190">
        <v>0</v>
      </c>
      <c r="W35" s="190">
        <v>0</v>
      </c>
      <c r="X35" s="190">
        <v>0</v>
      </c>
      <c r="Y35" s="190">
        <v>0</v>
      </c>
      <c r="Z35" s="190">
        <v>0</v>
      </c>
      <c r="AA35" s="190">
        <v>0</v>
      </c>
      <c r="AB35" s="190">
        <v>0</v>
      </c>
      <c r="AC35" s="190">
        <v>0</v>
      </c>
      <c r="AD35" s="190">
        <v>0</v>
      </c>
      <c r="AE35" s="190">
        <v>0</v>
      </c>
      <c r="AF35" s="190">
        <v>0</v>
      </c>
      <c r="AG35" s="190">
        <v>0</v>
      </c>
      <c r="AH35" s="191">
        <v>0</v>
      </c>
      <c r="AI35" s="171" t="e">
        <f>VLOOKUP(MID($B35,1,2),'[2]Free Spins Symbol'!$AD$7:$AI$8,2,0)
*VLOOKUP(MID($B35,4,2),'[2]Free Spins Symbol'!$AD$7:$AI$8,3,0)
*VLOOKUP(MID($B35,7,2),'[2]Free Spins Symbol'!$AD$7:$AI$8,4,0)
*VLOOKUP(MID($B35,10,2),'[2]Free Spins Symbol'!$AD$7:$AI$8,5,0)
*VLOOKUP(MID($B35,13,2),'[2]Free Spins Symbol'!$AD$7:$AI$8,6,0)-AI3</f>
        <v>#N/A</v>
      </c>
      <c r="AJ35" s="168" t="e">
        <f>1
*VLOOKUP(MID($B35,4,2),'[2]Free Spins Symbol'!$AD$7:$AI$8,3,0)
*VLOOKUP(MID($B35,7,2),'[2]Free Spins Symbol'!$AD$7:$AI$8,4,0)
*VLOOKUP(MID($B35,10,2),'[2]Free Spins Symbol'!$AD$7:$AI$8,5,0)
*VLOOKUP(MID($B35,13,2),'[2]Free Spins Symbol'!$AD$7:$AI$8,6,0)-AJ3</f>
        <v>#N/A</v>
      </c>
      <c r="AK35" s="169">
        <v>0</v>
      </c>
      <c r="AL35" s="169">
        <v>0</v>
      </c>
      <c r="AM35" s="169">
        <v>0</v>
      </c>
      <c r="AN35" s="169">
        <v>0</v>
      </c>
      <c r="AO35" s="169">
        <v>0</v>
      </c>
      <c r="AP35" s="169">
        <v>0</v>
      </c>
      <c r="AQ35" s="169">
        <v>0</v>
      </c>
      <c r="AR35" s="169">
        <v>0</v>
      </c>
      <c r="AS35" s="169">
        <v>0</v>
      </c>
      <c r="AT35" s="169">
        <v>0</v>
      </c>
      <c r="AU35" s="169">
        <v>0</v>
      </c>
      <c r="AV35" s="169">
        <v>0</v>
      </c>
      <c r="AW35" s="169">
        <v>0</v>
      </c>
      <c r="AX35" s="169">
        <v>0</v>
      </c>
      <c r="AY35" s="169">
        <v>0</v>
      </c>
      <c r="AZ35" s="169">
        <v>0</v>
      </c>
      <c r="BA35" s="169">
        <v>0</v>
      </c>
      <c r="BB35" s="169">
        <v>0</v>
      </c>
      <c r="BC35" s="169">
        <v>0</v>
      </c>
      <c r="BD35" s="169">
        <v>0</v>
      </c>
      <c r="BE35" s="169">
        <v>0</v>
      </c>
      <c r="BF35" s="169">
        <v>0</v>
      </c>
      <c r="BG35" s="169">
        <v>0</v>
      </c>
      <c r="BH35" s="169">
        <v>0</v>
      </c>
      <c r="BI35" s="169">
        <v>0</v>
      </c>
      <c r="BJ35" s="169">
        <v>0</v>
      </c>
      <c r="BK35" s="169">
        <v>0</v>
      </c>
      <c r="BL35" s="169">
        <v>0</v>
      </c>
      <c r="BM35" s="169">
        <v>0</v>
      </c>
      <c r="BN35" s="170">
        <v>0</v>
      </c>
    </row>
    <row r="36" spans="1:66" x14ac:dyDescent="0.3">
      <c r="A36" s="39"/>
      <c r="B36" s="183">
        <f>'[2]Held Stacked Wild'!A78</f>
        <v>0</v>
      </c>
      <c r="C36" s="189">
        <v>0</v>
      </c>
      <c r="D36" s="190">
        <v>0</v>
      </c>
      <c r="E36" s="190">
        <v>0</v>
      </c>
      <c r="F36" s="190">
        <v>0</v>
      </c>
      <c r="G36" s="190">
        <v>0</v>
      </c>
      <c r="H36" s="190">
        <v>0</v>
      </c>
      <c r="I36" s="190">
        <v>0</v>
      </c>
      <c r="J36" s="190">
        <v>0</v>
      </c>
      <c r="K36" s="190">
        <v>0</v>
      </c>
      <c r="L36" s="190">
        <v>0</v>
      </c>
      <c r="M36" s="190">
        <v>0</v>
      </c>
      <c r="N36" s="190">
        <v>0</v>
      </c>
      <c r="O36" s="190">
        <v>0</v>
      </c>
      <c r="P36" s="190">
        <v>0</v>
      </c>
      <c r="Q36" s="190">
        <v>0</v>
      </c>
      <c r="R36" s="190">
        <v>0</v>
      </c>
      <c r="S36" s="190">
        <v>0</v>
      </c>
      <c r="T36" s="190">
        <v>0</v>
      </c>
      <c r="U36" s="190">
        <v>0</v>
      </c>
      <c r="V36" s="190">
        <v>0</v>
      </c>
      <c r="W36" s="190">
        <v>0</v>
      </c>
      <c r="X36" s="190">
        <v>0</v>
      </c>
      <c r="Y36" s="190">
        <v>0</v>
      </c>
      <c r="Z36" s="190">
        <v>0</v>
      </c>
      <c r="AA36" s="190">
        <v>0</v>
      </c>
      <c r="AB36" s="190">
        <v>0</v>
      </c>
      <c r="AC36" s="190">
        <v>0</v>
      </c>
      <c r="AD36" s="190">
        <v>0</v>
      </c>
      <c r="AE36" s="190">
        <v>0</v>
      </c>
      <c r="AF36" s="190">
        <v>0</v>
      </c>
      <c r="AG36" s="190">
        <v>0</v>
      </c>
      <c r="AH36" s="191">
        <v>0</v>
      </c>
      <c r="AI36" s="171" t="e">
        <f>VLOOKUP(MID($B36,1,2),'[2]Free Spins Symbol'!$AD$7:$AI$8,2,0)
*VLOOKUP(MID($B36,4,2),'[2]Free Spins Symbol'!$AD$7:$AI$8,3,0)
*VLOOKUP(MID($B36,7,2),'[2]Free Spins Symbol'!$AD$7:$AI$8,4,0)
*VLOOKUP(MID($B36,10,2),'[2]Free Spins Symbol'!$AD$7:$AI$8,5,0)
*VLOOKUP(MID($B36,13,2),'[2]Free Spins Symbol'!$AD$7:$AI$8,6,0)-AI4</f>
        <v>#N/A</v>
      </c>
      <c r="AJ36" s="169">
        <v>0</v>
      </c>
      <c r="AK36" s="168" t="e">
        <f>VLOOKUP(MID($B36,1,2),'[2]Free Spins Symbol'!$AD$7:$AI$8,2,0)
*1
*VLOOKUP(MID($B36,7,2),'[2]Free Spins Symbol'!$AD$7:$AI$8,4,0)
*VLOOKUP(MID($B36,10,2),'[2]Free Spins Symbol'!$AD$7:$AI$8,5,0)
*VLOOKUP(MID($B36,13,2),'[2]Free Spins Symbol'!$AD$7:$AI$8,6,0)-AK4</f>
        <v>#N/A</v>
      </c>
      <c r="AL36" s="169">
        <v>0</v>
      </c>
      <c r="AM36" s="169">
        <v>0</v>
      </c>
      <c r="AN36" s="169">
        <v>0</v>
      </c>
      <c r="AO36" s="169">
        <v>0</v>
      </c>
      <c r="AP36" s="169">
        <v>0</v>
      </c>
      <c r="AQ36" s="169">
        <v>0</v>
      </c>
      <c r="AR36" s="169">
        <v>0</v>
      </c>
      <c r="AS36" s="169">
        <v>0</v>
      </c>
      <c r="AT36" s="169">
        <v>0</v>
      </c>
      <c r="AU36" s="169">
        <v>0</v>
      </c>
      <c r="AV36" s="169">
        <v>0</v>
      </c>
      <c r="AW36" s="169">
        <v>0</v>
      </c>
      <c r="AX36" s="169">
        <v>0</v>
      </c>
      <c r="AY36" s="169">
        <v>0</v>
      </c>
      <c r="AZ36" s="169">
        <v>0</v>
      </c>
      <c r="BA36" s="169">
        <v>0</v>
      </c>
      <c r="BB36" s="169">
        <v>0</v>
      </c>
      <c r="BC36" s="169">
        <v>0</v>
      </c>
      <c r="BD36" s="169">
        <v>0</v>
      </c>
      <c r="BE36" s="169">
        <v>0</v>
      </c>
      <c r="BF36" s="169">
        <v>0</v>
      </c>
      <c r="BG36" s="169">
        <v>0</v>
      </c>
      <c r="BH36" s="169">
        <v>0</v>
      </c>
      <c r="BI36" s="169">
        <v>0</v>
      </c>
      <c r="BJ36" s="169">
        <v>0</v>
      </c>
      <c r="BK36" s="169">
        <v>0</v>
      </c>
      <c r="BL36" s="169">
        <v>0</v>
      </c>
      <c r="BM36" s="169">
        <v>0</v>
      </c>
      <c r="BN36" s="170">
        <v>0</v>
      </c>
    </row>
    <row r="37" spans="1:66" x14ac:dyDescent="0.3">
      <c r="A37" s="39"/>
      <c r="B37" s="183">
        <f>'[2]Held Stacked Wild'!A117</f>
        <v>0</v>
      </c>
      <c r="C37" s="189">
        <v>0</v>
      </c>
      <c r="D37" s="190">
        <v>0</v>
      </c>
      <c r="E37" s="190">
        <v>0</v>
      </c>
      <c r="F37" s="190">
        <v>0</v>
      </c>
      <c r="G37" s="190">
        <v>0</v>
      </c>
      <c r="H37" s="190">
        <v>0</v>
      </c>
      <c r="I37" s="190">
        <v>0</v>
      </c>
      <c r="J37" s="190">
        <v>0</v>
      </c>
      <c r="K37" s="190">
        <v>0</v>
      </c>
      <c r="L37" s="190">
        <v>0</v>
      </c>
      <c r="M37" s="190">
        <v>0</v>
      </c>
      <c r="N37" s="190">
        <v>0</v>
      </c>
      <c r="O37" s="190">
        <v>0</v>
      </c>
      <c r="P37" s="190">
        <v>0</v>
      </c>
      <c r="Q37" s="190">
        <v>0</v>
      </c>
      <c r="R37" s="190">
        <v>0</v>
      </c>
      <c r="S37" s="190">
        <v>0</v>
      </c>
      <c r="T37" s="190">
        <v>0</v>
      </c>
      <c r="U37" s="190">
        <v>0</v>
      </c>
      <c r="V37" s="190">
        <v>0</v>
      </c>
      <c r="W37" s="190">
        <v>0</v>
      </c>
      <c r="X37" s="190">
        <v>0</v>
      </c>
      <c r="Y37" s="190">
        <v>0</v>
      </c>
      <c r="Z37" s="190">
        <v>0</v>
      </c>
      <c r="AA37" s="190">
        <v>0</v>
      </c>
      <c r="AB37" s="190">
        <v>0</v>
      </c>
      <c r="AC37" s="190">
        <v>0</v>
      </c>
      <c r="AD37" s="190">
        <v>0</v>
      </c>
      <c r="AE37" s="190">
        <v>0</v>
      </c>
      <c r="AF37" s="190">
        <v>0</v>
      </c>
      <c r="AG37" s="190">
        <v>0</v>
      </c>
      <c r="AH37" s="191">
        <v>0</v>
      </c>
      <c r="AI37" s="171" t="e">
        <f>VLOOKUP(MID($B37,1,2),'[2]Free Spins Symbol'!$AD$7:$AI$8,2,0)
*VLOOKUP(MID($B37,4,2),'[2]Free Spins Symbol'!$AD$7:$AI$8,3,0)
*VLOOKUP(MID($B37,7,2),'[2]Free Spins Symbol'!$AD$7:$AI$8,4,0)
*VLOOKUP(MID($B37,10,2),'[2]Free Spins Symbol'!$AD$7:$AI$8,5,0)
*VLOOKUP(MID($B37,13,2),'[2]Free Spins Symbol'!$AD$7:$AI$8,6,0)-AI5</f>
        <v>#N/A</v>
      </c>
      <c r="AJ37" s="169">
        <v>0</v>
      </c>
      <c r="AK37" s="169">
        <v>0</v>
      </c>
      <c r="AL37" s="168" t="e">
        <f>VLOOKUP(MID($B37,1,2),'[2]Free Spins Symbol'!$AD$7:$AI$8,2,0)
*VLOOKUP(MID($B37,4,2),'[2]Free Spins Symbol'!$AD$7:$AI$8,3,0)
*1
*VLOOKUP(MID($B37,10,2),'[2]Free Spins Symbol'!$AD$7:$AI$8,5,0)
*VLOOKUP(MID($B37,13,2),'[2]Free Spins Symbol'!$AD$7:$AI$8,6,0)-AL5</f>
        <v>#N/A</v>
      </c>
      <c r="AM37" s="169">
        <v>0</v>
      </c>
      <c r="AN37" s="169">
        <v>0</v>
      </c>
      <c r="AO37" s="169">
        <v>0</v>
      </c>
      <c r="AP37" s="169">
        <v>0</v>
      </c>
      <c r="AQ37" s="169">
        <v>0</v>
      </c>
      <c r="AR37" s="169">
        <v>0</v>
      </c>
      <c r="AS37" s="169">
        <v>0</v>
      </c>
      <c r="AT37" s="169">
        <v>0</v>
      </c>
      <c r="AU37" s="169">
        <v>0</v>
      </c>
      <c r="AV37" s="169">
        <v>0</v>
      </c>
      <c r="AW37" s="169">
        <v>0</v>
      </c>
      <c r="AX37" s="169">
        <v>0</v>
      </c>
      <c r="AY37" s="169">
        <v>0</v>
      </c>
      <c r="AZ37" s="169">
        <v>0</v>
      </c>
      <c r="BA37" s="169">
        <v>0</v>
      </c>
      <c r="BB37" s="169">
        <v>0</v>
      </c>
      <c r="BC37" s="169">
        <v>0</v>
      </c>
      <c r="BD37" s="169">
        <v>0</v>
      </c>
      <c r="BE37" s="169">
        <v>0</v>
      </c>
      <c r="BF37" s="169">
        <v>0</v>
      </c>
      <c r="BG37" s="169">
        <v>0</v>
      </c>
      <c r="BH37" s="169">
        <v>0</v>
      </c>
      <c r="BI37" s="169">
        <v>0</v>
      </c>
      <c r="BJ37" s="169">
        <v>0</v>
      </c>
      <c r="BK37" s="169">
        <v>0</v>
      </c>
      <c r="BL37" s="169">
        <v>0</v>
      </c>
      <c r="BM37" s="169">
        <v>0</v>
      </c>
      <c r="BN37" s="170">
        <v>0</v>
      </c>
    </row>
    <row r="38" spans="1:66" x14ac:dyDescent="0.3">
      <c r="A38" s="39"/>
      <c r="B38" s="183">
        <f>'[2]Held Stacked Wild'!A156</f>
        <v>0</v>
      </c>
      <c r="C38" s="189">
        <v>0</v>
      </c>
      <c r="D38" s="190">
        <v>0</v>
      </c>
      <c r="E38" s="190">
        <v>0</v>
      </c>
      <c r="F38" s="190">
        <v>0</v>
      </c>
      <c r="G38" s="190">
        <v>0</v>
      </c>
      <c r="H38" s="190">
        <v>0</v>
      </c>
      <c r="I38" s="190">
        <v>0</v>
      </c>
      <c r="J38" s="190">
        <v>0</v>
      </c>
      <c r="K38" s="190">
        <v>0</v>
      </c>
      <c r="L38" s="190">
        <v>0</v>
      </c>
      <c r="M38" s="190">
        <v>0</v>
      </c>
      <c r="N38" s="190">
        <v>0</v>
      </c>
      <c r="O38" s="190">
        <v>0</v>
      </c>
      <c r="P38" s="190">
        <v>0</v>
      </c>
      <c r="Q38" s="190">
        <v>0</v>
      </c>
      <c r="R38" s="190">
        <v>0</v>
      </c>
      <c r="S38" s="190">
        <v>0</v>
      </c>
      <c r="T38" s="190">
        <v>0</v>
      </c>
      <c r="U38" s="190">
        <v>0</v>
      </c>
      <c r="V38" s="190">
        <v>0</v>
      </c>
      <c r="W38" s="190">
        <v>0</v>
      </c>
      <c r="X38" s="190">
        <v>0</v>
      </c>
      <c r="Y38" s="190">
        <v>0</v>
      </c>
      <c r="Z38" s="190">
        <v>0</v>
      </c>
      <c r="AA38" s="190">
        <v>0</v>
      </c>
      <c r="AB38" s="190">
        <v>0</v>
      </c>
      <c r="AC38" s="190">
        <v>0</v>
      </c>
      <c r="AD38" s="190">
        <v>0</v>
      </c>
      <c r="AE38" s="190">
        <v>0</v>
      </c>
      <c r="AF38" s="190">
        <v>0</v>
      </c>
      <c r="AG38" s="190">
        <v>0</v>
      </c>
      <c r="AH38" s="191">
        <v>0</v>
      </c>
      <c r="AI38" s="171" t="e">
        <f>VLOOKUP(MID($B38,1,2),'[2]Free Spins Symbol'!$AD$7:$AI$8,2,0)
*VLOOKUP(MID($B38,4,2),'[2]Free Spins Symbol'!$AD$7:$AI$8,3,0)
*VLOOKUP(MID($B38,7,2),'[2]Free Spins Symbol'!$AD$7:$AI$8,4,0)
*VLOOKUP(MID($B38,10,2),'[2]Free Spins Symbol'!$AD$7:$AI$8,5,0)
*VLOOKUP(MID($B38,13,2),'[2]Free Spins Symbol'!$AD$7:$AI$8,6,0)-AI6</f>
        <v>#N/A</v>
      </c>
      <c r="AJ38" s="169">
        <v>0</v>
      </c>
      <c r="AK38" s="169">
        <v>0</v>
      </c>
      <c r="AL38" s="169">
        <v>0</v>
      </c>
      <c r="AM38" s="168" t="e">
        <f>VLOOKUP(MID($B38,1,2),'[2]Free Spins Symbol'!$AD$7:$AI$8,2,0)
*VLOOKUP(MID($B38,4,2),'[2]Free Spins Symbol'!$AD$7:$AI$8,3,0)
*VLOOKUP(MID($B38,7,2),'[2]Free Spins Symbol'!$AD$7:$AI$8,4,0)
*1
*VLOOKUP(MID($B38,13,2),'[2]Free Spins Symbol'!$AD$7:$AI$8,6,0)-AM6</f>
        <v>#N/A</v>
      </c>
      <c r="AN38" s="169">
        <v>0</v>
      </c>
      <c r="AO38" s="169">
        <v>0</v>
      </c>
      <c r="AP38" s="169">
        <v>0</v>
      </c>
      <c r="AQ38" s="169">
        <v>0</v>
      </c>
      <c r="AR38" s="169">
        <v>0</v>
      </c>
      <c r="AS38" s="169">
        <v>0</v>
      </c>
      <c r="AT38" s="169">
        <v>0</v>
      </c>
      <c r="AU38" s="169">
        <v>0</v>
      </c>
      <c r="AV38" s="169">
        <v>0</v>
      </c>
      <c r="AW38" s="169">
        <v>0</v>
      </c>
      <c r="AX38" s="169">
        <v>0</v>
      </c>
      <c r="AY38" s="169">
        <v>0</v>
      </c>
      <c r="AZ38" s="169">
        <v>0</v>
      </c>
      <c r="BA38" s="169">
        <v>0</v>
      </c>
      <c r="BB38" s="169">
        <v>0</v>
      </c>
      <c r="BC38" s="169">
        <v>0</v>
      </c>
      <c r="BD38" s="169">
        <v>0</v>
      </c>
      <c r="BE38" s="169">
        <v>0</v>
      </c>
      <c r="BF38" s="169">
        <v>0</v>
      </c>
      <c r="BG38" s="169">
        <v>0</v>
      </c>
      <c r="BH38" s="169">
        <v>0</v>
      </c>
      <c r="BI38" s="169">
        <v>0</v>
      </c>
      <c r="BJ38" s="169">
        <v>0</v>
      </c>
      <c r="BK38" s="169">
        <v>0</v>
      </c>
      <c r="BL38" s="169">
        <v>0</v>
      </c>
      <c r="BM38" s="169">
        <v>0</v>
      </c>
      <c r="BN38" s="170">
        <v>0</v>
      </c>
    </row>
    <row r="39" spans="1:66" x14ac:dyDescent="0.3">
      <c r="A39" s="39"/>
      <c r="B39" s="183">
        <f>'[2]Held Stacked Wild'!A195</f>
        <v>0</v>
      </c>
      <c r="C39" s="189">
        <v>0</v>
      </c>
      <c r="D39" s="190">
        <v>0</v>
      </c>
      <c r="E39" s="190">
        <v>0</v>
      </c>
      <c r="F39" s="190">
        <v>0</v>
      </c>
      <c r="G39" s="190">
        <v>0</v>
      </c>
      <c r="H39" s="190">
        <v>0</v>
      </c>
      <c r="I39" s="190">
        <v>0</v>
      </c>
      <c r="J39" s="190">
        <v>0</v>
      </c>
      <c r="K39" s="190">
        <v>0</v>
      </c>
      <c r="L39" s="190">
        <v>0</v>
      </c>
      <c r="M39" s="190">
        <v>0</v>
      </c>
      <c r="N39" s="190">
        <v>0</v>
      </c>
      <c r="O39" s="190">
        <v>0</v>
      </c>
      <c r="P39" s="190">
        <v>0</v>
      </c>
      <c r="Q39" s="190">
        <v>0</v>
      </c>
      <c r="R39" s="190">
        <v>0</v>
      </c>
      <c r="S39" s="190">
        <v>0</v>
      </c>
      <c r="T39" s="190">
        <v>0</v>
      </c>
      <c r="U39" s="190">
        <v>0</v>
      </c>
      <c r="V39" s="190">
        <v>0</v>
      </c>
      <c r="W39" s="190">
        <v>0</v>
      </c>
      <c r="X39" s="190">
        <v>0</v>
      </c>
      <c r="Y39" s="190">
        <v>0</v>
      </c>
      <c r="Z39" s="190">
        <v>0</v>
      </c>
      <c r="AA39" s="190">
        <v>0</v>
      </c>
      <c r="AB39" s="190">
        <v>0</v>
      </c>
      <c r="AC39" s="190">
        <v>0</v>
      </c>
      <c r="AD39" s="190">
        <v>0</v>
      </c>
      <c r="AE39" s="190">
        <v>0</v>
      </c>
      <c r="AF39" s="190">
        <v>0</v>
      </c>
      <c r="AG39" s="190">
        <v>0</v>
      </c>
      <c r="AH39" s="191">
        <v>0</v>
      </c>
      <c r="AI39" s="171" t="e">
        <f>VLOOKUP(MID($B39,1,2),'[2]Free Spins Symbol'!$AD$7:$AI$8,2,0)
*VLOOKUP(MID($B39,4,2),'[2]Free Spins Symbol'!$AD$7:$AI$8,3,0)
*VLOOKUP(MID($B39,7,2),'[2]Free Spins Symbol'!$AD$7:$AI$8,4,0)
*VLOOKUP(MID($B39,10,2),'[2]Free Spins Symbol'!$AD$7:$AI$8,5,0)
*VLOOKUP(MID($B39,13,2),'[2]Free Spins Symbol'!$AD$7:$AI$8,6,0)-AI7</f>
        <v>#N/A</v>
      </c>
      <c r="AJ39" s="169">
        <v>0</v>
      </c>
      <c r="AK39" s="169">
        <v>0</v>
      </c>
      <c r="AL39" s="169">
        <v>0</v>
      </c>
      <c r="AM39" s="169">
        <v>0</v>
      </c>
      <c r="AN39" s="168" t="e">
        <f>VLOOKUP(MID($B39,1,2),'[2]Free Spins Symbol'!$AD$7:$AI$8,2,0)
*VLOOKUP(MID($B39,4,2),'[2]Free Spins Symbol'!$AD$7:$AI$8,3,0)
*VLOOKUP(MID($B39,7,2),'[2]Free Spins Symbol'!$AD$7:$AI$8,4,0)
*VLOOKUP(MID($B39,10,2),'[2]Free Spins Symbol'!$AD$7:$AI$8,5,0)
*1-AN7</f>
        <v>#N/A</v>
      </c>
      <c r="AO39" s="169">
        <v>0</v>
      </c>
      <c r="AP39" s="169">
        <v>0</v>
      </c>
      <c r="AQ39" s="169">
        <v>0</v>
      </c>
      <c r="AR39" s="169">
        <v>0</v>
      </c>
      <c r="AS39" s="169">
        <v>0</v>
      </c>
      <c r="AT39" s="169">
        <v>0</v>
      </c>
      <c r="AU39" s="169">
        <v>0</v>
      </c>
      <c r="AV39" s="169">
        <v>0</v>
      </c>
      <c r="AW39" s="169">
        <v>0</v>
      </c>
      <c r="AX39" s="169">
        <v>0</v>
      </c>
      <c r="AY39" s="169">
        <v>0</v>
      </c>
      <c r="AZ39" s="169">
        <v>0</v>
      </c>
      <c r="BA39" s="169">
        <v>0</v>
      </c>
      <c r="BB39" s="169">
        <v>0</v>
      </c>
      <c r="BC39" s="169">
        <v>0</v>
      </c>
      <c r="BD39" s="169">
        <v>0</v>
      </c>
      <c r="BE39" s="169">
        <v>0</v>
      </c>
      <c r="BF39" s="169">
        <v>0</v>
      </c>
      <c r="BG39" s="169">
        <v>0</v>
      </c>
      <c r="BH39" s="169">
        <v>0</v>
      </c>
      <c r="BI39" s="169">
        <v>0</v>
      </c>
      <c r="BJ39" s="169">
        <v>0</v>
      </c>
      <c r="BK39" s="169">
        <v>0</v>
      </c>
      <c r="BL39" s="169">
        <v>0</v>
      </c>
      <c r="BM39" s="169">
        <v>0</v>
      </c>
      <c r="BN39" s="170">
        <v>0</v>
      </c>
    </row>
    <row r="40" spans="1:66" x14ac:dyDescent="0.3">
      <c r="A40" s="39"/>
      <c r="B40" s="183">
        <f>'[2]Held Stacked Wild'!A234</f>
        <v>0</v>
      </c>
      <c r="C40" s="189">
        <v>0</v>
      </c>
      <c r="D40" s="190">
        <v>0</v>
      </c>
      <c r="E40" s="190">
        <v>0</v>
      </c>
      <c r="F40" s="190">
        <v>0</v>
      </c>
      <c r="G40" s="190">
        <v>0</v>
      </c>
      <c r="H40" s="190">
        <v>0</v>
      </c>
      <c r="I40" s="190">
        <v>0</v>
      </c>
      <c r="J40" s="190">
        <v>0</v>
      </c>
      <c r="K40" s="190">
        <v>0</v>
      </c>
      <c r="L40" s="190">
        <v>0</v>
      </c>
      <c r="M40" s="190">
        <v>0</v>
      </c>
      <c r="N40" s="190">
        <v>0</v>
      </c>
      <c r="O40" s="190">
        <v>0</v>
      </c>
      <c r="P40" s="190">
        <v>0</v>
      </c>
      <c r="Q40" s="190">
        <v>0</v>
      </c>
      <c r="R40" s="190">
        <v>0</v>
      </c>
      <c r="S40" s="190">
        <v>0</v>
      </c>
      <c r="T40" s="190">
        <v>0</v>
      </c>
      <c r="U40" s="190">
        <v>0</v>
      </c>
      <c r="V40" s="190">
        <v>0</v>
      </c>
      <c r="W40" s="190">
        <v>0</v>
      </c>
      <c r="X40" s="190">
        <v>0</v>
      </c>
      <c r="Y40" s="190">
        <v>0</v>
      </c>
      <c r="Z40" s="190">
        <v>0</v>
      </c>
      <c r="AA40" s="190">
        <v>0</v>
      </c>
      <c r="AB40" s="190">
        <v>0</v>
      </c>
      <c r="AC40" s="190">
        <v>0</v>
      </c>
      <c r="AD40" s="190">
        <v>0</v>
      </c>
      <c r="AE40" s="190">
        <v>0</v>
      </c>
      <c r="AF40" s="190">
        <v>0</v>
      </c>
      <c r="AG40" s="190">
        <v>0</v>
      </c>
      <c r="AH40" s="191">
        <v>0</v>
      </c>
      <c r="AI40" s="171" t="e">
        <f>VLOOKUP(MID($B40,1,2),'[2]Free Spins Symbol'!$AD$7:$AI$8,2,0)
*VLOOKUP(MID($B40,4,2),'[2]Free Spins Symbol'!$AD$7:$AI$8,3,0)
*VLOOKUP(MID($B40,7,2),'[2]Free Spins Symbol'!$AD$7:$AI$8,4,0)
*VLOOKUP(MID($B40,10,2),'[2]Free Spins Symbol'!$AD$7:$AI$8,5,0)
*VLOOKUP(MID($B40,13,2),'[2]Free Spins Symbol'!$AD$7:$AI$8,6,0)-AI8</f>
        <v>#N/A</v>
      </c>
      <c r="AJ40" s="168" t="e">
        <f>1
*VLOOKUP(MID($B40,4,2),'[2]Free Spins Symbol'!$AD$7:$AI$8,3,0)
*VLOOKUP(MID($B40,7,2),'[2]Free Spins Symbol'!$AD$7:$AI$8,4,0)
*VLOOKUP(MID($B40,10,2),'[2]Free Spins Symbol'!$AD$7:$AI$8,5,0)
*VLOOKUP(MID($B40,13,2),'[2]Free Spins Symbol'!$AD$7:$AI$8,6,0)-AJ8</f>
        <v>#N/A</v>
      </c>
      <c r="AK40" s="168" t="e">
        <f>VLOOKUP(MID($B40,1,2),'[2]Free Spins Symbol'!$AD$7:$AI$8,2,0)
*1
*VLOOKUP(MID($B40,7,2),'[2]Free Spins Symbol'!$AD$7:$AI$8,4,0)
*VLOOKUP(MID($B40,10,2),'[2]Free Spins Symbol'!$AD$7:$AI$8,5,0)
*VLOOKUP(MID($B40,13,2),'[2]Free Spins Symbol'!$AD$7:$AI$8,6,0)-AK8</f>
        <v>#N/A</v>
      </c>
      <c r="AL40" s="169">
        <v>0</v>
      </c>
      <c r="AM40" s="169">
        <v>0</v>
      </c>
      <c r="AN40" s="169">
        <v>0</v>
      </c>
      <c r="AO40" s="168" t="e">
        <f>1
*1
*VLOOKUP(MID($B40,7,2),'[2]Free Spins Symbol'!$AD$7:$AI$8,4,0)
*VLOOKUP(MID($B40,10,2),'[2]Free Spins Symbol'!$AD$7:$AI$8,5,0)
*VLOOKUP(MID($B40,13,2),'[2]Free Spins Symbol'!$AD$7:$AI$8,6,0)-AO8</f>
        <v>#N/A</v>
      </c>
      <c r="AP40" s="169">
        <v>0</v>
      </c>
      <c r="AQ40" s="169">
        <v>0</v>
      </c>
      <c r="AR40" s="169">
        <v>0</v>
      </c>
      <c r="AS40" s="169">
        <v>0</v>
      </c>
      <c r="AT40" s="169">
        <v>0</v>
      </c>
      <c r="AU40" s="169">
        <v>0</v>
      </c>
      <c r="AV40" s="169">
        <v>0</v>
      </c>
      <c r="AW40" s="169">
        <v>0</v>
      </c>
      <c r="AX40" s="169">
        <v>0</v>
      </c>
      <c r="AY40" s="169">
        <v>0</v>
      </c>
      <c r="AZ40" s="169">
        <v>0</v>
      </c>
      <c r="BA40" s="169">
        <v>0</v>
      </c>
      <c r="BB40" s="169">
        <v>0</v>
      </c>
      <c r="BC40" s="169">
        <v>0</v>
      </c>
      <c r="BD40" s="169">
        <v>0</v>
      </c>
      <c r="BE40" s="169">
        <v>0</v>
      </c>
      <c r="BF40" s="169">
        <v>0</v>
      </c>
      <c r="BG40" s="169">
        <v>0</v>
      </c>
      <c r="BH40" s="169">
        <v>0</v>
      </c>
      <c r="BI40" s="169">
        <v>0</v>
      </c>
      <c r="BJ40" s="169">
        <v>0</v>
      </c>
      <c r="BK40" s="169">
        <v>0</v>
      </c>
      <c r="BL40" s="169">
        <v>0</v>
      </c>
      <c r="BM40" s="169">
        <v>0</v>
      </c>
      <c r="BN40" s="170">
        <v>0</v>
      </c>
    </row>
    <row r="41" spans="1:66" x14ac:dyDescent="0.3">
      <c r="A41" s="39"/>
      <c r="B41" s="183">
        <f>'[2]Held Stacked Wild'!A273</f>
        <v>0</v>
      </c>
      <c r="C41" s="189">
        <v>0</v>
      </c>
      <c r="D41" s="190">
        <v>0</v>
      </c>
      <c r="E41" s="190">
        <v>0</v>
      </c>
      <c r="F41" s="190">
        <v>0</v>
      </c>
      <c r="G41" s="190">
        <v>0</v>
      </c>
      <c r="H41" s="190">
        <v>0</v>
      </c>
      <c r="I41" s="190">
        <v>0</v>
      </c>
      <c r="J41" s="190">
        <v>0</v>
      </c>
      <c r="K41" s="190">
        <v>0</v>
      </c>
      <c r="L41" s="190">
        <v>0</v>
      </c>
      <c r="M41" s="190">
        <v>0</v>
      </c>
      <c r="N41" s="190">
        <v>0</v>
      </c>
      <c r="O41" s="190">
        <v>0</v>
      </c>
      <c r="P41" s="190">
        <v>0</v>
      </c>
      <c r="Q41" s="190">
        <v>0</v>
      </c>
      <c r="R41" s="190">
        <v>0</v>
      </c>
      <c r="S41" s="190">
        <v>0</v>
      </c>
      <c r="T41" s="190">
        <v>0</v>
      </c>
      <c r="U41" s="190">
        <v>0</v>
      </c>
      <c r="V41" s="190">
        <v>0</v>
      </c>
      <c r="W41" s="190">
        <v>0</v>
      </c>
      <c r="X41" s="190">
        <v>0</v>
      </c>
      <c r="Y41" s="190">
        <v>0</v>
      </c>
      <c r="Z41" s="190">
        <v>0</v>
      </c>
      <c r="AA41" s="190">
        <v>0</v>
      </c>
      <c r="AB41" s="190">
        <v>0</v>
      </c>
      <c r="AC41" s="190">
        <v>0</v>
      </c>
      <c r="AD41" s="190">
        <v>0</v>
      </c>
      <c r="AE41" s="190">
        <v>0</v>
      </c>
      <c r="AF41" s="190">
        <v>0</v>
      </c>
      <c r="AG41" s="190">
        <v>0</v>
      </c>
      <c r="AH41" s="191">
        <v>0</v>
      </c>
      <c r="AI41" s="171" t="e">
        <f>VLOOKUP(MID($B41,1,2),'[2]Free Spins Symbol'!$AD$7:$AI$8,2,0)
*VLOOKUP(MID($B41,4,2),'[2]Free Spins Symbol'!$AD$7:$AI$8,3,0)
*VLOOKUP(MID($B41,7,2),'[2]Free Spins Symbol'!$AD$7:$AI$8,4,0)
*VLOOKUP(MID($B41,10,2),'[2]Free Spins Symbol'!$AD$7:$AI$8,5,0)
*VLOOKUP(MID($B41,13,2),'[2]Free Spins Symbol'!$AD$7:$AI$8,6,0)-AI9</f>
        <v>#N/A</v>
      </c>
      <c r="AJ41" s="168" t="e">
        <f>1
*VLOOKUP(MID($B41,4,2),'[2]Free Spins Symbol'!$AD$7:$AI$8,3,0)
*VLOOKUP(MID($B41,7,2),'[2]Free Spins Symbol'!$AD$7:$AI$8,4,0)
*VLOOKUP(MID($B41,10,2),'[2]Free Spins Symbol'!$AD$7:$AI$8,5,0)
*VLOOKUP(MID($B41,13,2),'[2]Free Spins Symbol'!$AD$7:$AI$8,6,0)-AJ9</f>
        <v>#N/A</v>
      </c>
      <c r="AK41" s="169">
        <v>0</v>
      </c>
      <c r="AL41" s="168" t="e">
        <f>VLOOKUP(MID($B41,1,2),'[2]Free Spins Symbol'!$AD$7:$AI$8,2,0)
*VLOOKUP(MID($B41,4,2),'[2]Free Spins Symbol'!$AD$7:$AI$8,3,0)
*1
*VLOOKUP(MID($B41,10,2),'[2]Free Spins Symbol'!$AD$7:$AI$8,5,0)
*VLOOKUP(MID($B41,13,2),'[2]Free Spins Symbol'!$AD$7:$AI$8,6,0)-AL9</f>
        <v>#N/A</v>
      </c>
      <c r="AM41" s="169">
        <v>0</v>
      </c>
      <c r="AN41" s="169">
        <v>0</v>
      </c>
      <c r="AO41" s="169">
        <v>0</v>
      </c>
      <c r="AP41" s="168" t="e">
        <f>1
*VLOOKUP(MID($B41,4,2),'[2]Free Spins Symbol'!$AD$7:$AI$8,3,0)
*1
*VLOOKUP(MID($B41,10,2),'[2]Free Spins Symbol'!$AD$7:$AI$8,5,0)
*VLOOKUP(MID($B41,13,2),'[2]Free Spins Symbol'!$AD$7:$AI$8,6,0)-AP9</f>
        <v>#N/A</v>
      </c>
      <c r="AQ41" s="169">
        <v>0</v>
      </c>
      <c r="AR41" s="169">
        <v>0</v>
      </c>
      <c r="AS41" s="169">
        <v>0</v>
      </c>
      <c r="AT41" s="169">
        <v>0</v>
      </c>
      <c r="AU41" s="169">
        <v>0</v>
      </c>
      <c r="AV41" s="169">
        <v>0</v>
      </c>
      <c r="AW41" s="169">
        <v>0</v>
      </c>
      <c r="AX41" s="169">
        <v>0</v>
      </c>
      <c r="AY41" s="169">
        <v>0</v>
      </c>
      <c r="AZ41" s="169">
        <v>0</v>
      </c>
      <c r="BA41" s="169">
        <v>0</v>
      </c>
      <c r="BB41" s="169">
        <v>0</v>
      </c>
      <c r="BC41" s="169">
        <v>0</v>
      </c>
      <c r="BD41" s="169">
        <v>0</v>
      </c>
      <c r="BE41" s="169">
        <v>0</v>
      </c>
      <c r="BF41" s="169">
        <v>0</v>
      </c>
      <c r="BG41" s="169">
        <v>0</v>
      </c>
      <c r="BH41" s="169">
        <v>0</v>
      </c>
      <c r="BI41" s="169">
        <v>0</v>
      </c>
      <c r="BJ41" s="169">
        <v>0</v>
      </c>
      <c r="BK41" s="169">
        <v>0</v>
      </c>
      <c r="BL41" s="169">
        <v>0</v>
      </c>
      <c r="BM41" s="169">
        <v>0</v>
      </c>
      <c r="BN41" s="170">
        <v>0</v>
      </c>
    </row>
    <row r="42" spans="1:66" x14ac:dyDescent="0.3">
      <c r="A42" s="39"/>
      <c r="B42" s="183">
        <f>'[2]Held Stacked Wild'!A312</f>
        <v>0</v>
      </c>
      <c r="C42" s="189">
        <v>0</v>
      </c>
      <c r="D42" s="190">
        <v>0</v>
      </c>
      <c r="E42" s="190">
        <v>0</v>
      </c>
      <c r="F42" s="190">
        <v>0</v>
      </c>
      <c r="G42" s="190">
        <v>0</v>
      </c>
      <c r="H42" s="190">
        <v>0</v>
      </c>
      <c r="I42" s="190">
        <v>0</v>
      </c>
      <c r="J42" s="190">
        <v>0</v>
      </c>
      <c r="K42" s="190">
        <v>0</v>
      </c>
      <c r="L42" s="190">
        <v>0</v>
      </c>
      <c r="M42" s="190">
        <v>0</v>
      </c>
      <c r="N42" s="190">
        <v>0</v>
      </c>
      <c r="O42" s="190">
        <v>0</v>
      </c>
      <c r="P42" s="190">
        <v>0</v>
      </c>
      <c r="Q42" s="190">
        <v>0</v>
      </c>
      <c r="R42" s="190">
        <v>0</v>
      </c>
      <c r="S42" s="190">
        <v>0</v>
      </c>
      <c r="T42" s="190">
        <v>0</v>
      </c>
      <c r="U42" s="190">
        <v>0</v>
      </c>
      <c r="V42" s="190">
        <v>0</v>
      </c>
      <c r="W42" s="190">
        <v>0</v>
      </c>
      <c r="X42" s="190">
        <v>0</v>
      </c>
      <c r="Y42" s="190">
        <v>0</v>
      </c>
      <c r="Z42" s="190">
        <v>0</v>
      </c>
      <c r="AA42" s="190">
        <v>0</v>
      </c>
      <c r="AB42" s="190">
        <v>0</v>
      </c>
      <c r="AC42" s="190">
        <v>0</v>
      </c>
      <c r="AD42" s="190">
        <v>0</v>
      </c>
      <c r="AE42" s="190">
        <v>0</v>
      </c>
      <c r="AF42" s="190">
        <v>0</v>
      </c>
      <c r="AG42" s="190">
        <v>0</v>
      </c>
      <c r="AH42" s="191">
        <v>0</v>
      </c>
      <c r="AI42" s="171" t="e">
        <f>VLOOKUP(MID($B42,1,2),'[2]Free Spins Symbol'!$AD$7:$AI$8,2,0)
*VLOOKUP(MID($B42,4,2),'[2]Free Spins Symbol'!$AD$7:$AI$8,3,0)
*VLOOKUP(MID($B42,7,2),'[2]Free Spins Symbol'!$AD$7:$AI$8,4,0)
*VLOOKUP(MID($B42,10,2),'[2]Free Spins Symbol'!$AD$7:$AI$8,5,0)
*VLOOKUP(MID($B42,13,2),'[2]Free Spins Symbol'!$AD$7:$AI$8,6,0)-AI10</f>
        <v>#N/A</v>
      </c>
      <c r="AJ42" s="168" t="e">
        <f>1
*VLOOKUP(MID($B42,4,2),'[2]Free Spins Symbol'!$AD$7:$AI$8,3,0)
*VLOOKUP(MID($B42,7,2),'[2]Free Spins Symbol'!$AD$7:$AI$8,4,0)
*VLOOKUP(MID($B42,10,2),'[2]Free Spins Symbol'!$AD$7:$AI$8,5,0)
*VLOOKUP(MID($B42,13,2),'[2]Free Spins Symbol'!$AD$7:$AI$8,6,0)-AJ10</f>
        <v>#N/A</v>
      </c>
      <c r="AK42" s="169">
        <v>0</v>
      </c>
      <c r="AL42" s="169">
        <v>0</v>
      </c>
      <c r="AM42" s="168" t="e">
        <f>VLOOKUP(MID($B42,1,2),'[2]Free Spins Symbol'!$AD$7:$AI$8,2,0)
*VLOOKUP(MID($B42,4,2),'[2]Free Spins Symbol'!$AD$7:$AI$8,3,0)
*VLOOKUP(MID($B42,7,2),'[2]Free Spins Symbol'!$AD$7:$AI$8,4,0)
*1
*VLOOKUP(MID($B42,13,2),'[2]Free Spins Symbol'!$AD$7:$AI$8,6,0)-AM10</f>
        <v>#N/A</v>
      </c>
      <c r="AN42" s="169">
        <v>0</v>
      </c>
      <c r="AO42" s="169">
        <v>0</v>
      </c>
      <c r="AP42" s="169">
        <v>0</v>
      </c>
      <c r="AQ42" s="168" t="e">
        <f>1
*VLOOKUP(MID($B42,4,2),'[2]Free Spins Symbol'!$AD$7:$AI$8,3,0)
*VLOOKUP(MID($B42,7,2),'[2]Free Spins Symbol'!$AD$7:$AI$8,4,0)
*1
*VLOOKUP(MID($B42,13,2),'[2]Free Spins Symbol'!$AD$7:$AI$8,6,0)-AQ10</f>
        <v>#N/A</v>
      </c>
      <c r="AR42" s="169">
        <v>0</v>
      </c>
      <c r="AS42" s="169">
        <v>0</v>
      </c>
      <c r="AT42" s="169">
        <v>0</v>
      </c>
      <c r="AU42" s="169">
        <v>0</v>
      </c>
      <c r="AV42" s="169">
        <v>0</v>
      </c>
      <c r="AW42" s="169">
        <v>0</v>
      </c>
      <c r="AX42" s="169">
        <v>0</v>
      </c>
      <c r="AY42" s="169">
        <v>0</v>
      </c>
      <c r="AZ42" s="169">
        <v>0</v>
      </c>
      <c r="BA42" s="169">
        <v>0</v>
      </c>
      <c r="BB42" s="169">
        <v>0</v>
      </c>
      <c r="BC42" s="169">
        <v>0</v>
      </c>
      <c r="BD42" s="169">
        <v>0</v>
      </c>
      <c r="BE42" s="169">
        <v>0</v>
      </c>
      <c r="BF42" s="169">
        <v>0</v>
      </c>
      <c r="BG42" s="169">
        <v>0</v>
      </c>
      <c r="BH42" s="169">
        <v>0</v>
      </c>
      <c r="BI42" s="169">
        <v>0</v>
      </c>
      <c r="BJ42" s="169">
        <v>0</v>
      </c>
      <c r="BK42" s="169">
        <v>0</v>
      </c>
      <c r="BL42" s="169">
        <v>0</v>
      </c>
      <c r="BM42" s="169">
        <v>0</v>
      </c>
      <c r="BN42" s="170">
        <v>0</v>
      </c>
    </row>
    <row r="43" spans="1:66" x14ac:dyDescent="0.3">
      <c r="A43" s="39"/>
      <c r="B43" s="183">
        <f>'[2]Held Stacked Wild'!A351</f>
        <v>0</v>
      </c>
      <c r="C43" s="189">
        <v>0</v>
      </c>
      <c r="D43" s="190">
        <v>0</v>
      </c>
      <c r="E43" s="190">
        <v>0</v>
      </c>
      <c r="F43" s="190">
        <v>0</v>
      </c>
      <c r="G43" s="190">
        <v>0</v>
      </c>
      <c r="H43" s="190">
        <v>0</v>
      </c>
      <c r="I43" s="190">
        <v>0</v>
      </c>
      <c r="J43" s="190">
        <v>0</v>
      </c>
      <c r="K43" s="190">
        <v>0</v>
      </c>
      <c r="L43" s="190">
        <v>0</v>
      </c>
      <c r="M43" s="190">
        <v>0</v>
      </c>
      <c r="N43" s="190">
        <v>0</v>
      </c>
      <c r="O43" s="190">
        <v>0</v>
      </c>
      <c r="P43" s="190">
        <v>0</v>
      </c>
      <c r="Q43" s="190">
        <v>0</v>
      </c>
      <c r="R43" s="190">
        <v>0</v>
      </c>
      <c r="S43" s="190">
        <v>0</v>
      </c>
      <c r="T43" s="190">
        <v>0</v>
      </c>
      <c r="U43" s="190">
        <v>0</v>
      </c>
      <c r="V43" s="190">
        <v>0</v>
      </c>
      <c r="W43" s="190">
        <v>0</v>
      </c>
      <c r="X43" s="190">
        <v>0</v>
      </c>
      <c r="Y43" s="190">
        <v>0</v>
      </c>
      <c r="Z43" s="190">
        <v>0</v>
      </c>
      <c r="AA43" s="190">
        <v>0</v>
      </c>
      <c r="AB43" s="190">
        <v>0</v>
      </c>
      <c r="AC43" s="190">
        <v>0</v>
      </c>
      <c r="AD43" s="190">
        <v>0</v>
      </c>
      <c r="AE43" s="190">
        <v>0</v>
      </c>
      <c r="AF43" s="190">
        <v>0</v>
      </c>
      <c r="AG43" s="190">
        <v>0</v>
      </c>
      <c r="AH43" s="191">
        <v>0</v>
      </c>
      <c r="AI43" s="171" t="e">
        <f>VLOOKUP(MID($B43,1,2),'[2]Free Spins Symbol'!$AD$7:$AI$8,2,0)
*VLOOKUP(MID($B43,4,2),'[2]Free Spins Symbol'!$AD$7:$AI$8,3,0)
*VLOOKUP(MID($B43,7,2),'[2]Free Spins Symbol'!$AD$7:$AI$8,4,0)
*VLOOKUP(MID($B43,10,2),'[2]Free Spins Symbol'!$AD$7:$AI$8,5,0)
*VLOOKUP(MID($B43,13,2),'[2]Free Spins Symbol'!$AD$7:$AI$8,6,0)-AI11</f>
        <v>#N/A</v>
      </c>
      <c r="AJ43" s="168" t="e">
        <f>1
*VLOOKUP(MID($B43,4,2),'[2]Free Spins Symbol'!$AD$7:$AI$8,3,0)
*VLOOKUP(MID($B43,7,2),'[2]Free Spins Symbol'!$AD$7:$AI$8,4,0)
*VLOOKUP(MID($B43,10,2),'[2]Free Spins Symbol'!$AD$7:$AI$8,5,0)
*VLOOKUP(MID($B43,13,2),'[2]Free Spins Symbol'!$AD$7:$AI$8,6,0)-AJ11</f>
        <v>#N/A</v>
      </c>
      <c r="AK43" s="169">
        <v>0</v>
      </c>
      <c r="AL43" s="169">
        <v>0</v>
      </c>
      <c r="AM43" s="169">
        <v>0</v>
      </c>
      <c r="AN43" s="168" t="e">
        <f>VLOOKUP(MID($B43,1,2),'[2]Free Spins Symbol'!$AD$7:$AI$8,2,0)
*VLOOKUP(MID($B43,4,2),'[2]Free Spins Symbol'!$AD$7:$AI$8,3,0)
*VLOOKUP(MID($B43,7,2),'[2]Free Spins Symbol'!$AD$7:$AI$8,4,0)
*VLOOKUP(MID($B43,10,2),'[2]Free Spins Symbol'!$AD$7:$AI$8,5,0)
*1-AN11</f>
        <v>#N/A</v>
      </c>
      <c r="AO43" s="169">
        <v>0</v>
      </c>
      <c r="AP43" s="169">
        <v>0</v>
      </c>
      <c r="AQ43" s="169">
        <v>0</v>
      </c>
      <c r="AR43" s="168" t="e">
        <f>1
*VLOOKUP(MID($B43,4,2),'[2]Free Spins Symbol'!$AD$7:$AI$8,3,0)
*VLOOKUP(MID($B43,7,2),'[2]Free Spins Symbol'!$AD$7:$AI$8,4,0)
*VLOOKUP(MID($B43,10,2),'[2]Free Spins Symbol'!$AD$7:$AI$8,5,0)
*1-AR11</f>
        <v>#N/A</v>
      </c>
      <c r="AS43" s="169">
        <v>0</v>
      </c>
      <c r="AT43" s="169">
        <v>0</v>
      </c>
      <c r="AU43" s="169">
        <v>0</v>
      </c>
      <c r="AV43" s="169">
        <v>0</v>
      </c>
      <c r="AW43" s="169">
        <v>0</v>
      </c>
      <c r="AX43" s="169">
        <v>0</v>
      </c>
      <c r="AY43" s="169">
        <v>0</v>
      </c>
      <c r="AZ43" s="169">
        <v>0</v>
      </c>
      <c r="BA43" s="169">
        <v>0</v>
      </c>
      <c r="BB43" s="169">
        <v>0</v>
      </c>
      <c r="BC43" s="169">
        <v>0</v>
      </c>
      <c r="BD43" s="169">
        <v>0</v>
      </c>
      <c r="BE43" s="169">
        <v>0</v>
      </c>
      <c r="BF43" s="169">
        <v>0</v>
      </c>
      <c r="BG43" s="169">
        <v>0</v>
      </c>
      <c r="BH43" s="169">
        <v>0</v>
      </c>
      <c r="BI43" s="169">
        <v>0</v>
      </c>
      <c r="BJ43" s="169">
        <v>0</v>
      </c>
      <c r="BK43" s="169">
        <v>0</v>
      </c>
      <c r="BL43" s="169">
        <v>0</v>
      </c>
      <c r="BM43" s="169">
        <v>0</v>
      </c>
      <c r="BN43" s="170">
        <v>0</v>
      </c>
    </row>
    <row r="44" spans="1:66" x14ac:dyDescent="0.3">
      <c r="A44" s="39"/>
      <c r="B44" s="183">
        <f>'[2]Held Stacked Wild'!A390</f>
        <v>0</v>
      </c>
      <c r="C44" s="189">
        <v>0</v>
      </c>
      <c r="D44" s="190">
        <v>0</v>
      </c>
      <c r="E44" s="190">
        <v>0</v>
      </c>
      <c r="F44" s="190">
        <v>0</v>
      </c>
      <c r="G44" s="190">
        <v>0</v>
      </c>
      <c r="H44" s="190">
        <v>0</v>
      </c>
      <c r="I44" s="190">
        <v>0</v>
      </c>
      <c r="J44" s="190">
        <v>0</v>
      </c>
      <c r="K44" s="190">
        <v>0</v>
      </c>
      <c r="L44" s="190">
        <v>0</v>
      </c>
      <c r="M44" s="190">
        <v>0</v>
      </c>
      <c r="N44" s="190">
        <v>0</v>
      </c>
      <c r="O44" s="190">
        <v>0</v>
      </c>
      <c r="P44" s="190">
        <v>0</v>
      </c>
      <c r="Q44" s="190">
        <v>0</v>
      </c>
      <c r="R44" s="190">
        <v>0</v>
      </c>
      <c r="S44" s="190">
        <v>0</v>
      </c>
      <c r="T44" s="190">
        <v>0</v>
      </c>
      <c r="U44" s="190">
        <v>0</v>
      </c>
      <c r="V44" s="190">
        <v>0</v>
      </c>
      <c r="W44" s="190">
        <v>0</v>
      </c>
      <c r="X44" s="190">
        <v>0</v>
      </c>
      <c r="Y44" s="190">
        <v>0</v>
      </c>
      <c r="Z44" s="190">
        <v>0</v>
      </c>
      <c r="AA44" s="190">
        <v>0</v>
      </c>
      <c r="AB44" s="190">
        <v>0</v>
      </c>
      <c r="AC44" s="190">
        <v>0</v>
      </c>
      <c r="AD44" s="190">
        <v>0</v>
      </c>
      <c r="AE44" s="190">
        <v>0</v>
      </c>
      <c r="AF44" s="190">
        <v>0</v>
      </c>
      <c r="AG44" s="190">
        <v>0</v>
      </c>
      <c r="AH44" s="191">
        <v>0</v>
      </c>
      <c r="AI44" s="171" t="e">
        <f>VLOOKUP(MID($B44,1,2),'[2]Free Spins Symbol'!$AD$7:$AI$8,2,0)
*VLOOKUP(MID($B44,4,2),'[2]Free Spins Symbol'!$AD$7:$AI$8,3,0)
*VLOOKUP(MID($B44,7,2),'[2]Free Spins Symbol'!$AD$7:$AI$8,4,0)
*VLOOKUP(MID($B44,10,2),'[2]Free Spins Symbol'!$AD$7:$AI$8,5,0)
*VLOOKUP(MID($B44,13,2),'[2]Free Spins Symbol'!$AD$7:$AI$8,6,0)-AI12</f>
        <v>#N/A</v>
      </c>
      <c r="AJ44" s="169">
        <v>0</v>
      </c>
      <c r="AK44" s="168" t="e">
        <f>VLOOKUP(MID($B44,1,2),'[2]Free Spins Symbol'!$AD$7:$AI$8,2,0)
*1
*VLOOKUP(MID($B44,7,2),'[2]Free Spins Symbol'!$AD$7:$AI$8,4,0)
*VLOOKUP(MID($B44,10,2),'[2]Free Spins Symbol'!$AD$7:$AI$8,5,0)
*VLOOKUP(MID($B44,13,2),'[2]Free Spins Symbol'!$AD$7:$AI$8,6,0)-AK12</f>
        <v>#N/A</v>
      </c>
      <c r="AL44" s="168" t="e">
        <f>VLOOKUP(MID($B44,1,2),'[2]Free Spins Symbol'!$AD$7:$AI$8,2,0)
*VLOOKUP(MID($B44,4,2),'[2]Free Spins Symbol'!$AD$7:$AI$8,3,0)
*1
*VLOOKUP(MID($B44,10,2),'[2]Free Spins Symbol'!$AD$7:$AI$8,5,0)
*VLOOKUP(MID($B44,13,2),'[2]Free Spins Symbol'!$AD$7:$AI$8,6,0)-AL12</f>
        <v>#N/A</v>
      </c>
      <c r="AM44" s="169">
        <v>0</v>
      </c>
      <c r="AN44" s="169">
        <v>0</v>
      </c>
      <c r="AO44" s="169">
        <v>0</v>
      </c>
      <c r="AP44" s="169">
        <v>0</v>
      </c>
      <c r="AQ44" s="169">
        <v>0</v>
      </c>
      <c r="AR44" s="169">
        <v>0</v>
      </c>
      <c r="AS44" s="168" t="e">
        <f>VLOOKUP(MID($B44,1,2),'[2]Free Spins Symbol'!$AD$7:$AI$8,2,0)
*1
*1
*VLOOKUP(MID($B44,10,2),'[2]Free Spins Symbol'!$AD$7:$AI$8,5,0)
*VLOOKUP(MID($B44,13,2),'[2]Free Spins Symbol'!$AD$7:$AI$8,6,0)-AS12</f>
        <v>#N/A</v>
      </c>
      <c r="AT44" s="169">
        <v>0</v>
      </c>
      <c r="AU44" s="169">
        <v>0</v>
      </c>
      <c r="AV44" s="169">
        <v>0</v>
      </c>
      <c r="AW44" s="169">
        <v>0</v>
      </c>
      <c r="AX44" s="169">
        <v>0</v>
      </c>
      <c r="AY44" s="169">
        <v>0</v>
      </c>
      <c r="AZ44" s="169">
        <v>0</v>
      </c>
      <c r="BA44" s="169">
        <v>0</v>
      </c>
      <c r="BB44" s="169">
        <v>0</v>
      </c>
      <c r="BC44" s="169">
        <v>0</v>
      </c>
      <c r="BD44" s="169">
        <v>0</v>
      </c>
      <c r="BE44" s="169">
        <v>0</v>
      </c>
      <c r="BF44" s="169">
        <v>0</v>
      </c>
      <c r="BG44" s="169">
        <v>0</v>
      </c>
      <c r="BH44" s="169">
        <v>0</v>
      </c>
      <c r="BI44" s="169">
        <v>0</v>
      </c>
      <c r="BJ44" s="169">
        <v>0</v>
      </c>
      <c r="BK44" s="169">
        <v>0</v>
      </c>
      <c r="BL44" s="169">
        <v>0</v>
      </c>
      <c r="BM44" s="169">
        <v>0</v>
      </c>
      <c r="BN44" s="170">
        <v>0</v>
      </c>
    </row>
    <row r="45" spans="1:66" x14ac:dyDescent="0.3">
      <c r="A45" s="39"/>
      <c r="B45" s="183">
        <f>'[2]Held Stacked Wild'!A429</f>
        <v>0</v>
      </c>
      <c r="C45" s="189">
        <v>0</v>
      </c>
      <c r="D45" s="190">
        <v>0</v>
      </c>
      <c r="E45" s="190">
        <v>0</v>
      </c>
      <c r="F45" s="190">
        <v>0</v>
      </c>
      <c r="G45" s="190">
        <v>0</v>
      </c>
      <c r="H45" s="190">
        <v>0</v>
      </c>
      <c r="I45" s="190">
        <v>0</v>
      </c>
      <c r="J45" s="190">
        <v>0</v>
      </c>
      <c r="K45" s="190">
        <v>0</v>
      </c>
      <c r="L45" s="190">
        <v>0</v>
      </c>
      <c r="M45" s="190">
        <v>0</v>
      </c>
      <c r="N45" s="190">
        <v>0</v>
      </c>
      <c r="O45" s="190">
        <v>0</v>
      </c>
      <c r="P45" s="190">
        <v>0</v>
      </c>
      <c r="Q45" s="190">
        <v>0</v>
      </c>
      <c r="R45" s="190">
        <v>0</v>
      </c>
      <c r="S45" s="190">
        <v>0</v>
      </c>
      <c r="T45" s="190">
        <v>0</v>
      </c>
      <c r="U45" s="190">
        <v>0</v>
      </c>
      <c r="V45" s="190">
        <v>0</v>
      </c>
      <c r="W45" s="190">
        <v>0</v>
      </c>
      <c r="X45" s="190">
        <v>0</v>
      </c>
      <c r="Y45" s="190">
        <v>0</v>
      </c>
      <c r="Z45" s="190">
        <v>0</v>
      </c>
      <c r="AA45" s="190">
        <v>0</v>
      </c>
      <c r="AB45" s="190">
        <v>0</v>
      </c>
      <c r="AC45" s="190">
        <v>0</v>
      </c>
      <c r="AD45" s="190">
        <v>0</v>
      </c>
      <c r="AE45" s="190">
        <v>0</v>
      </c>
      <c r="AF45" s="190">
        <v>0</v>
      </c>
      <c r="AG45" s="190">
        <v>0</v>
      </c>
      <c r="AH45" s="191">
        <v>0</v>
      </c>
      <c r="AI45" s="171" t="e">
        <f>VLOOKUP(MID($B45,1,2),'[2]Free Spins Symbol'!$AD$7:$AI$8,2,0)
*VLOOKUP(MID($B45,4,2),'[2]Free Spins Symbol'!$AD$7:$AI$8,3,0)
*VLOOKUP(MID($B45,7,2),'[2]Free Spins Symbol'!$AD$7:$AI$8,4,0)
*VLOOKUP(MID($B45,10,2),'[2]Free Spins Symbol'!$AD$7:$AI$8,5,0)
*VLOOKUP(MID($B45,13,2),'[2]Free Spins Symbol'!$AD$7:$AI$8,6,0)-AI13</f>
        <v>#N/A</v>
      </c>
      <c r="AJ45" s="169">
        <v>0</v>
      </c>
      <c r="AK45" s="168" t="e">
        <f>VLOOKUP(MID($B45,1,2),'[2]Free Spins Symbol'!$AD$7:$AI$8,2,0)
*1
*VLOOKUP(MID($B45,7,2),'[2]Free Spins Symbol'!$AD$7:$AI$8,4,0)
*VLOOKUP(MID($B45,10,2),'[2]Free Spins Symbol'!$AD$7:$AI$8,5,0)
*VLOOKUP(MID($B45,13,2),'[2]Free Spins Symbol'!$AD$7:$AI$8,6,0)-AK13</f>
        <v>#N/A</v>
      </c>
      <c r="AL45" s="169">
        <v>0</v>
      </c>
      <c r="AM45" s="168" t="e">
        <f>VLOOKUP(MID($B45,1,2),'[2]Free Spins Symbol'!$AD$7:$AI$8,2,0)
*VLOOKUP(MID($B45,4,2),'[2]Free Spins Symbol'!$AD$7:$AI$8,3,0)
*VLOOKUP(MID($B45,7,2),'[2]Free Spins Symbol'!$AD$7:$AI$8,4,0)
*1
*VLOOKUP(MID($B45,13,2),'[2]Free Spins Symbol'!$AD$7:$AI$8,6,0)-AM13</f>
        <v>#N/A</v>
      </c>
      <c r="AN45" s="169">
        <v>0</v>
      </c>
      <c r="AO45" s="169">
        <v>0</v>
      </c>
      <c r="AP45" s="169">
        <v>0</v>
      </c>
      <c r="AQ45" s="169">
        <v>0</v>
      </c>
      <c r="AR45" s="169">
        <v>0</v>
      </c>
      <c r="AS45" s="169">
        <v>0</v>
      </c>
      <c r="AT45" s="168" t="e">
        <f>VLOOKUP(MID($B45,1,2),'[2]Free Spins Symbol'!$AD$7:$AI$8,2,0)
*1
*VLOOKUP(MID($B45,7,2),'[2]Free Spins Symbol'!$AD$7:$AI$8,4,0)
*1
*VLOOKUP(MID($B45,13,2),'[2]Free Spins Symbol'!$AD$7:$AI$8,6,0)-AT13</f>
        <v>#N/A</v>
      </c>
      <c r="AU45" s="169">
        <v>0</v>
      </c>
      <c r="AV45" s="169">
        <v>0</v>
      </c>
      <c r="AW45" s="169">
        <v>0</v>
      </c>
      <c r="AX45" s="169">
        <v>0</v>
      </c>
      <c r="AY45" s="169">
        <v>0</v>
      </c>
      <c r="AZ45" s="169">
        <v>0</v>
      </c>
      <c r="BA45" s="169">
        <v>0</v>
      </c>
      <c r="BB45" s="169">
        <v>0</v>
      </c>
      <c r="BC45" s="169">
        <v>0</v>
      </c>
      <c r="BD45" s="169">
        <v>0</v>
      </c>
      <c r="BE45" s="169">
        <v>0</v>
      </c>
      <c r="BF45" s="169">
        <v>0</v>
      </c>
      <c r="BG45" s="169">
        <v>0</v>
      </c>
      <c r="BH45" s="169">
        <v>0</v>
      </c>
      <c r="BI45" s="169">
        <v>0</v>
      </c>
      <c r="BJ45" s="169">
        <v>0</v>
      </c>
      <c r="BK45" s="169">
        <v>0</v>
      </c>
      <c r="BL45" s="169">
        <v>0</v>
      </c>
      <c r="BM45" s="169">
        <v>0</v>
      </c>
      <c r="BN45" s="170">
        <v>0</v>
      </c>
    </row>
    <row r="46" spans="1:66" x14ac:dyDescent="0.3">
      <c r="A46" s="39"/>
      <c r="B46" s="183">
        <f>'[2]Held Stacked Wild'!A468</f>
        <v>0</v>
      </c>
      <c r="C46" s="189">
        <v>0</v>
      </c>
      <c r="D46" s="190">
        <v>0</v>
      </c>
      <c r="E46" s="190">
        <v>0</v>
      </c>
      <c r="F46" s="190">
        <v>0</v>
      </c>
      <c r="G46" s="190">
        <v>0</v>
      </c>
      <c r="H46" s="190">
        <v>0</v>
      </c>
      <c r="I46" s="190">
        <v>0</v>
      </c>
      <c r="J46" s="190">
        <v>0</v>
      </c>
      <c r="K46" s="190">
        <v>0</v>
      </c>
      <c r="L46" s="190">
        <v>0</v>
      </c>
      <c r="M46" s="190">
        <v>0</v>
      </c>
      <c r="N46" s="190">
        <v>0</v>
      </c>
      <c r="O46" s="190">
        <v>0</v>
      </c>
      <c r="P46" s="190">
        <v>0</v>
      </c>
      <c r="Q46" s="190">
        <v>0</v>
      </c>
      <c r="R46" s="190">
        <v>0</v>
      </c>
      <c r="S46" s="190">
        <v>0</v>
      </c>
      <c r="T46" s="190">
        <v>0</v>
      </c>
      <c r="U46" s="190">
        <v>0</v>
      </c>
      <c r="V46" s="190">
        <v>0</v>
      </c>
      <c r="W46" s="190">
        <v>0</v>
      </c>
      <c r="X46" s="190">
        <v>0</v>
      </c>
      <c r="Y46" s="190">
        <v>0</v>
      </c>
      <c r="Z46" s="190">
        <v>0</v>
      </c>
      <c r="AA46" s="190">
        <v>0</v>
      </c>
      <c r="AB46" s="190">
        <v>0</v>
      </c>
      <c r="AC46" s="190">
        <v>0</v>
      </c>
      <c r="AD46" s="190">
        <v>0</v>
      </c>
      <c r="AE46" s="190">
        <v>0</v>
      </c>
      <c r="AF46" s="190">
        <v>0</v>
      </c>
      <c r="AG46" s="190">
        <v>0</v>
      </c>
      <c r="AH46" s="191">
        <v>0</v>
      </c>
      <c r="AI46" s="171" t="e">
        <f>VLOOKUP(MID($B46,1,2),'[2]Free Spins Symbol'!$AD$7:$AI$8,2,0)
*VLOOKUP(MID($B46,4,2),'[2]Free Spins Symbol'!$AD$7:$AI$8,3,0)
*VLOOKUP(MID($B46,7,2),'[2]Free Spins Symbol'!$AD$7:$AI$8,4,0)
*VLOOKUP(MID($B46,10,2),'[2]Free Spins Symbol'!$AD$7:$AI$8,5,0)
*VLOOKUP(MID($B46,13,2),'[2]Free Spins Symbol'!$AD$7:$AI$8,6,0)-AI14</f>
        <v>#N/A</v>
      </c>
      <c r="AJ46" s="169">
        <v>0</v>
      </c>
      <c r="AK46" s="168" t="e">
        <f>VLOOKUP(MID($B46,1,2),'[2]Free Spins Symbol'!$AD$7:$AI$8,2,0)
*1
*VLOOKUP(MID($B46,7,2),'[2]Free Spins Symbol'!$AD$7:$AI$8,4,0)
*VLOOKUP(MID($B46,10,2),'[2]Free Spins Symbol'!$AD$7:$AI$8,5,0)
*VLOOKUP(MID($B46,13,2),'[2]Free Spins Symbol'!$AD$7:$AI$8,6,0)-AK14</f>
        <v>#N/A</v>
      </c>
      <c r="AL46" s="169">
        <v>0</v>
      </c>
      <c r="AM46" s="169">
        <v>0</v>
      </c>
      <c r="AN46" s="168" t="e">
        <f>VLOOKUP(MID($B46,1,2),'[2]Free Spins Symbol'!$AD$7:$AI$8,2,0)
*VLOOKUP(MID($B46,4,2),'[2]Free Spins Symbol'!$AD$7:$AI$8,3,0)
*VLOOKUP(MID($B46,7,2),'[2]Free Spins Symbol'!$AD$7:$AI$8,4,0)
*VLOOKUP(MID($B46,10,2),'[2]Free Spins Symbol'!$AD$7:$AI$8,5,0)
*1-AN14</f>
        <v>#N/A</v>
      </c>
      <c r="AO46" s="169">
        <v>0</v>
      </c>
      <c r="AP46" s="169">
        <v>0</v>
      </c>
      <c r="AQ46" s="169">
        <v>0</v>
      </c>
      <c r="AR46" s="169">
        <v>0</v>
      </c>
      <c r="AS46" s="169">
        <v>0</v>
      </c>
      <c r="AT46" s="169">
        <v>0</v>
      </c>
      <c r="AU46" s="168" t="e">
        <f>VLOOKUP(MID($B46,1,2),'[2]Free Spins Symbol'!$AD$7:$AI$8,2,0)
*1
*VLOOKUP(MID($B46,7,2),'[2]Free Spins Symbol'!$AD$7:$AI$8,4,0)
*VLOOKUP(MID($B46,10,2),'[2]Free Spins Symbol'!$AD$7:$AI$8,5,0)
*1-AU14</f>
        <v>#N/A</v>
      </c>
      <c r="AV46" s="169">
        <v>0</v>
      </c>
      <c r="AW46" s="169">
        <v>0</v>
      </c>
      <c r="AX46" s="169">
        <v>0</v>
      </c>
      <c r="AY46" s="169">
        <v>0</v>
      </c>
      <c r="AZ46" s="169">
        <v>0</v>
      </c>
      <c r="BA46" s="169">
        <v>0</v>
      </c>
      <c r="BB46" s="169">
        <v>0</v>
      </c>
      <c r="BC46" s="169">
        <v>0</v>
      </c>
      <c r="BD46" s="169">
        <v>0</v>
      </c>
      <c r="BE46" s="169">
        <v>0</v>
      </c>
      <c r="BF46" s="169">
        <v>0</v>
      </c>
      <c r="BG46" s="169">
        <v>0</v>
      </c>
      <c r="BH46" s="169">
        <v>0</v>
      </c>
      <c r="BI46" s="169">
        <v>0</v>
      </c>
      <c r="BJ46" s="169">
        <v>0</v>
      </c>
      <c r="BK46" s="169">
        <v>0</v>
      </c>
      <c r="BL46" s="169">
        <v>0</v>
      </c>
      <c r="BM46" s="169">
        <v>0</v>
      </c>
      <c r="BN46" s="170">
        <v>0</v>
      </c>
    </row>
    <row r="47" spans="1:66" x14ac:dyDescent="0.3">
      <c r="A47" s="39"/>
      <c r="B47" s="183">
        <f>'[2]Held Stacked Wild'!A507</f>
        <v>0</v>
      </c>
      <c r="C47" s="189">
        <v>0</v>
      </c>
      <c r="D47" s="190">
        <v>0</v>
      </c>
      <c r="E47" s="190">
        <v>0</v>
      </c>
      <c r="F47" s="190">
        <v>0</v>
      </c>
      <c r="G47" s="190">
        <v>0</v>
      </c>
      <c r="H47" s="190">
        <v>0</v>
      </c>
      <c r="I47" s="190">
        <v>0</v>
      </c>
      <c r="J47" s="190">
        <v>0</v>
      </c>
      <c r="K47" s="190">
        <v>0</v>
      </c>
      <c r="L47" s="190">
        <v>0</v>
      </c>
      <c r="M47" s="190">
        <v>0</v>
      </c>
      <c r="N47" s="190">
        <v>0</v>
      </c>
      <c r="O47" s="190">
        <v>0</v>
      </c>
      <c r="P47" s="190">
        <v>0</v>
      </c>
      <c r="Q47" s="190">
        <v>0</v>
      </c>
      <c r="R47" s="190">
        <v>0</v>
      </c>
      <c r="S47" s="190">
        <v>0</v>
      </c>
      <c r="T47" s="190">
        <v>0</v>
      </c>
      <c r="U47" s="190">
        <v>0</v>
      </c>
      <c r="V47" s="190">
        <v>0</v>
      </c>
      <c r="W47" s="190">
        <v>0</v>
      </c>
      <c r="X47" s="190">
        <v>0</v>
      </c>
      <c r="Y47" s="190">
        <v>0</v>
      </c>
      <c r="Z47" s="190">
        <v>0</v>
      </c>
      <c r="AA47" s="190">
        <v>0</v>
      </c>
      <c r="AB47" s="190">
        <v>0</v>
      </c>
      <c r="AC47" s="190">
        <v>0</v>
      </c>
      <c r="AD47" s="190">
        <v>0</v>
      </c>
      <c r="AE47" s="190">
        <v>0</v>
      </c>
      <c r="AF47" s="190">
        <v>0</v>
      </c>
      <c r="AG47" s="190">
        <v>0</v>
      </c>
      <c r="AH47" s="191">
        <v>0</v>
      </c>
      <c r="AI47" s="171" t="e">
        <f>VLOOKUP(MID($B47,1,2),'[2]Free Spins Symbol'!$AD$7:$AI$8,2,0)
*VLOOKUP(MID($B47,4,2),'[2]Free Spins Symbol'!$AD$7:$AI$8,3,0)
*VLOOKUP(MID($B47,7,2),'[2]Free Spins Symbol'!$AD$7:$AI$8,4,0)
*VLOOKUP(MID($B47,10,2),'[2]Free Spins Symbol'!$AD$7:$AI$8,5,0)
*VLOOKUP(MID($B47,13,2),'[2]Free Spins Symbol'!$AD$7:$AI$8,6,0)-AI15</f>
        <v>#N/A</v>
      </c>
      <c r="AJ47" s="169">
        <v>0</v>
      </c>
      <c r="AK47" s="169">
        <v>0</v>
      </c>
      <c r="AL47" s="168" t="e">
        <f>VLOOKUP(MID($B47,1,2),'[2]Free Spins Symbol'!$AD$7:$AI$8,2,0)
*VLOOKUP(MID($B47,4,2),'[2]Free Spins Symbol'!$AD$7:$AI$8,3,0)
*1
*VLOOKUP(MID($B47,10,2),'[2]Free Spins Symbol'!$AD$7:$AI$8,5,0)
*VLOOKUP(MID($B47,13,2),'[2]Free Spins Symbol'!$AD$7:$AI$8,6,0)-AL15</f>
        <v>#N/A</v>
      </c>
      <c r="AM47" s="168" t="e">
        <f>VLOOKUP(MID($B47,1,2),'[2]Free Spins Symbol'!$AD$7:$AI$8,2,0)
*VLOOKUP(MID($B47,4,2),'[2]Free Spins Symbol'!$AD$7:$AI$8,3,0)
*VLOOKUP(MID($B47,7,2),'[2]Free Spins Symbol'!$AD$7:$AI$8,4,0)
*1
*VLOOKUP(MID($B47,13,2),'[2]Free Spins Symbol'!$AD$7:$AI$8,6,0)-AM15</f>
        <v>#N/A</v>
      </c>
      <c r="AN47" s="169">
        <v>0</v>
      </c>
      <c r="AO47" s="169">
        <v>0</v>
      </c>
      <c r="AP47" s="169">
        <v>0</v>
      </c>
      <c r="AQ47" s="169">
        <v>0</v>
      </c>
      <c r="AR47" s="169">
        <v>0</v>
      </c>
      <c r="AS47" s="169">
        <v>0</v>
      </c>
      <c r="AT47" s="169">
        <v>0</v>
      </c>
      <c r="AU47" s="169">
        <v>0</v>
      </c>
      <c r="AV47" s="168" t="e">
        <f>VLOOKUP(MID($B47,1,2),'[2]Free Spins Symbol'!$AD$7:$AI$8,2,0)
*VLOOKUP(MID($B47,4,2),'[2]Free Spins Symbol'!$AD$7:$AI$8,3,0)
*1
*1
*VLOOKUP(MID($B47,13,2),'[2]Free Spins Symbol'!$AD$7:$AI$8,6,0)-AV15</f>
        <v>#N/A</v>
      </c>
      <c r="AW47" s="169">
        <v>0</v>
      </c>
      <c r="AX47" s="169">
        <v>0</v>
      </c>
      <c r="AY47" s="169">
        <v>0</v>
      </c>
      <c r="AZ47" s="169">
        <v>0</v>
      </c>
      <c r="BA47" s="169">
        <v>0</v>
      </c>
      <c r="BB47" s="169">
        <v>0</v>
      </c>
      <c r="BC47" s="169">
        <v>0</v>
      </c>
      <c r="BD47" s="169">
        <v>0</v>
      </c>
      <c r="BE47" s="169">
        <v>0</v>
      </c>
      <c r="BF47" s="169">
        <v>0</v>
      </c>
      <c r="BG47" s="169">
        <v>0</v>
      </c>
      <c r="BH47" s="169">
        <v>0</v>
      </c>
      <c r="BI47" s="169">
        <v>0</v>
      </c>
      <c r="BJ47" s="169">
        <v>0</v>
      </c>
      <c r="BK47" s="169">
        <v>0</v>
      </c>
      <c r="BL47" s="169">
        <v>0</v>
      </c>
      <c r="BM47" s="169">
        <v>0</v>
      </c>
      <c r="BN47" s="170">
        <v>0</v>
      </c>
    </row>
    <row r="48" spans="1:66" x14ac:dyDescent="0.3">
      <c r="A48" s="39"/>
      <c r="B48" s="183">
        <f>'[2]Held Stacked Wild'!A546</f>
        <v>0</v>
      </c>
      <c r="C48" s="189">
        <v>0</v>
      </c>
      <c r="D48" s="190">
        <v>0</v>
      </c>
      <c r="E48" s="190">
        <v>0</v>
      </c>
      <c r="F48" s="190">
        <v>0</v>
      </c>
      <c r="G48" s="190">
        <v>0</v>
      </c>
      <c r="H48" s="190">
        <v>0</v>
      </c>
      <c r="I48" s="190">
        <v>0</v>
      </c>
      <c r="J48" s="190">
        <v>0</v>
      </c>
      <c r="K48" s="190">
        <v>0</v>
      </c>
      <c r="L48" s="190">
        <v>0</v>
      </c>
      <c r="M48" s="190">
        <v>0</v>
      </c>
      <c r="N48" s="190">
        <v>0</v>
      </c>
      <c r="O48" s="190">
        <v>0</v>
      </c>
      <c r="P48" s="190">
        <v>0</v>
      </c>
      <c r="Q48" s="190">
        <v>0</v>
      </c>
      <c r="R48" s="190">
        <v>0</v>
      </c>
      <c r="S48" s="190">
        <v>0</v>
      </c>
      <c r="T48" s="190">
        <v>0</v>
      </c>
      <c r="U48" s="190">
        <v>0</v>
      </c>
      <c r="V48" s="190">
        <v>0</v>
      </c>
      <c r="W48" s="190">
        <v>0</v>
      </c>
      <c r="X48" s="190">
        <v>0</v>
      </c>
      <c r="Y48" s="190">
        <v>0</v>
      </c>
      <c r="Z48" s="190">
        <v>0</v>
      </c>
      <c r="AA48" s="190">
        <v>0</v>
      </c>
      <c r="AB48" s="190">
        <v>0</v>
      </c>
      <c r="AC48" s="190">
        <v>0</v>
      </c>
      <c r="AD48" s="190">
        <v>0</v>
      </c>
      <c r="AE48" s="190">
        <v>0</v>
      </c>
      <c r="AF48" s="190">
        <v>0</v>
      </c>
      <c r="AG48" s="190">
        <v>0</v>
      </c>
      <c r="AH48" s="191">
        <v>0</v>
      </c>
      <c r="AI48" s="171" t="e">
        <f>VLOOKUP(MID($B48,1,2),'[2]Free Spins Symbol'!$AD$7:$AI$8,2,0)
*VLOOKUP(MID($B48,4,2),'[2]Free Spins Symbol'!$AD$7:$AI$8,3,0)
*VLOOKUP(MID($B48,7,2),'[2]Free Spins Symbol'!$AD$7:$AI$8,4,0)
*VLOOKUP(MID($B48,10,2),'[2]Free Spins Symbol'!$AD$7:$AI$8,5,0)
*VLOOKUP(MID($B48,13,2),'[2]Free Spins Symbol'!$AD$7:$AI$8,6,0)-AI16</f>
        <v>#N/A</v>
      </c>
      <c r="AJ48" s="169">
        <v>0</v>
      </c>
      <c r="AK48" s="169">
        <v>0</v>
      </c>
      <c r="AL48" s="168" t="e">
        <f>VLOOKUP(MID($B48,1,2),'[2]Free Spins Symbol'!$AD$7:$AI$8,2,0)
*VLOOKUP(MID($B48,4,2),'[2]Free Spins Symbol'!$AD$7:$AI$8,3,0)
*1
*VLOOKUP(MID($B48,10,2),'[2]Free Spins Symbol'!$AD$7:$AI$8,5,0)
*VLOOKUP(MID($B48,13,2),'[2]Free Spins Symbol'!$AD$7:$AI$8,6,0)-AL16</f>
        <v>#N/A</v>
      </c>
      <c r="AM48" s="169">
        <v>0</v>
      </c>
      <c r="AN48" s="168" t="e">
        <f>VLOOKUP(MID($B48,1,2),'[2]Free Spins Symbol'!$AD$7:$AI$8,2,0)
*VLOOKUP(MID($B48,4,2),'[2]Free Spins Symbol'!$AD$7:$AI$8,3,0)
*VLOOKUP(MID($B48,7,2),'[2]Free Spins Symbol'!$AD$7:$AI$8,4,0)
*VLOOKUP(MID($B48,10,2),'[2]Free Spins Symbol'!$AD$7:$AI$8,5,0)
*1-AN16</f>
        <v>#N/A</v>
      </c>
      <c r="AO48" s="169">
        <v>0</v>
      </c>
      <c r="AP48" s="169">
        <v>0</v>
      </c>
      <c r="AQ48" s="169">
        <v>0</v>
      </c>
      <c r="AR48" s="169">
        <v>0</v>
      </c>
      <c r="AS48" s="169">
        <v>0</v>
      </c>
      <c r="AT48" s="169">
        <v>0</v>
      </c>
      <c r="AU48" s="169">
        <v>0</v>
      </c>
      <c r="AV48" s="169">
        <v>0</v>
      </c>
      <c r="AW48" s="168" t="e">
        <f>VLOOKUP(MID($B48,1,2),'[2]Free Spins Symbol'!$AD$7:$AI$8,2,0)
*VLOOKUP(MID($B48,4,2),'[2]Free Spins Symbol'!$AD$7:$AI$8,3,0)
*1
*VLOOKUP(MID($B48,10,2),'[2]Free Spins Symbol'!$AD$7:$AI$8,5,0)
*1-AW16</f>
        <v>#N/A</v>
      </c>
      <c r="AX48" s="169">
        <v>0</v>
      </c>
      <c r="AY48" s="169">
        <v>0</v>
      </c>
      <c r="AZ48" s="169">
        <v>0</v>
      </c>
      <c r="BA48" s="169">
        <v>0</v>
      </c>
      <c r="BB48" s="169">
        <v>0</v>
      </c>
      <c r="BC48" s="169">
        <v>0</v>
      </c>
      <c r="BD48" s="169">
        <v>0</v>
      </c>
      <c r="BE48" s="169">
        <v>0</v>
      </c>
      <c r="BF48" s="169">
        <v>0</v>
      </c>
      <c r="BG48" s="169">
        <v>0</v>
      </c>
      <c r="BH48" s="169">
        <v>0</v>
      </c>
      <c r="BI48" s="169">
        <v>0</v>
      </c>
      <c r="BJ48" s="169">
        <v>0</v>
      </c>
      <c r="BK48" s="169">
        <v>0</v>
      </c>
      <c r="BL48" s="169">
        <v>0</v>
      </c>
      <c r="BM48" s="169">
        <v>0</v>
      </c>
      <c r="BN48" s="170">
        <v>0</v>
      </c>
    </row>
    <row r="49" spans="1:66" x14ac:dyDescent="0.3">
      <c r="A49" s="39"/>
      <c r="B49" s="183">
        <f>'[2]Held Stacked Wild'!A585</f>
        <v>0</v>
      </c>
      <c r="C49" s="189">
        <v>0</v>
      </c>
      <c r="D49" s="190">
        <v>0</v>
      </c>
      <c r="E49" s="190">
        <v>0</v>
      </c>
      <c r="F49" s="190">
        <v>0</v>
      </c>
      <c r="G49" s="190">
        <v>0</v>
      </c>
      <c r="H49" s="190">
        <v>0</v>
      </c>
      <c r="I49" s="190">
        <v>0</v>
      </c>
      <c r="J49" s="190">
        <v>0</v>
      </c>
      <c r="K49" s="190">
        <v>0</v>
      </c>
      <c r="L49" s="190">
        <v>0</v>
      </c>
      <c r="M49" s="190">
        <v>0</v>
      </c>
      <c r="N49" s="190">
        <v>0</v>
      </c>
      <c r="O49" s="190">
        <v>0</v>
      </c>
      <c r="P49" s="190">
        <v>0</v>
      </c>
      <c r="Q49" s="190">
        <v>0</v>
      </c>
      <c r="R49" s="190">
        <v>0</v>
      </c>
      <c r="S49" s="190">
        <v>0</v>
      </c>
      <c r="T49" s="190">
        <v>0</v>
      </c>
      <c r="U49" s="190">
        <v>0</v>
      </c>
      <c r="V49" s="190">
        <v>0</v>
      </c>
      <c r="W49" s="190">
        <v>0</v>
      </c>
      <c r="X49" s="190">
        <v>0</v>
      </c>
      <c r="Y49" s="190">
        <v>0</v>
      </c>
      <c r="Z49" s="190">
        <v>0</v>
      </c>
      <c r="AA49" s="190">
        <v>0</v>
      </c>
      <c r="AB49" s="190">
        <v>0</v>
      </c>
      <c r="AC49" s="190">
        <v>0</v>
      </c>
      <c r="AD49" s="190">
        <v>0</v>
      </c>
      <c r="AE49" s="190">
        <v>0</v>
      </c>
      <c r="AF49" s="190">
        <v>0</v>
      </c>
      <c r="AG49" s="190">
        <v>0</v>
      </c>
      <c r="AH49" s="191">
        <v>0</v>
      </c>
      <c r="AI49" s="171" t="e">
        <f>VLOOKUP(MID($B49,1,2),'[2]Free Spins Symbol'!$AD$7:$AI$8,2,0)
*VLOOKUP(MID($B49,4,2),'[2]Free Spins Symbol'!$AD$7:$AI$8,3,0)
*VLOOKUP(MID($B49,7,2),'[2]Free Spins Symbol'!$AD$7:$AI$8,4,0)
*VLOOKUP(MID($B49,10,2),'[2]Free Spins Symbol'!$AD$7:$AI$8,5,0)
*VLOOKUP(MID($B49,13,2),'[2]Free Spins Symbol'!$AD$7:$AI$8,6,0)-AI17</f>
        <v>#N/A</v>
      </c>
      <c r="AJ49" s="169">
        <v>0</v>
      </c>
      <c r="AK49" s="169">
        <v>0</v>
      </c>
      <c r="AL49" s="169">
        <v>0</v>
      </c>
      <c r="AM49" s="168" t="e">
        <f>VLOOKUP(MID($B49,1,2),'[2]Free Spins Symbol'!$AD$7:$AI$8,2,0)
*VLOOKUP(MID($B49,4,2),'[2]Free Spins Symbol'!$AD$7:$AI$8,3,0)
*VLOOKUP(MID($B49,7,2),'[2]Free Spins Symbol'!$AD$7:$AI$8,4,0)
*1
*VLOOKUP(MID($B49,13,2),'[2]Free Spins Symbol'!$AD$7:$AI$8,6,0)-AM17</f>
        <v>#N/A</v>
      </c>
      <c r="AN49" s="168" t="e">
        <f>VLOOKUP(MID($B49,1,2),'[2]Free Spins Symbol'!$AD$7:$AI$8,2,0)
*VLOOKUP(MID($B49,4,2),'[2]Free Spins Symbol'!$AD$7:$AI$8,3,0)
*VLOOKUP(MID($B49,7,2),'[2]Free Spins Symbol'!$AD$7:$AI$8,4,0)
*VLOOKUP(MID($B49,10,2),'[2]Free Spins Symbol'!$AD$7:$AI$8,5,0)
*1-AN17</f>
        <v>#N/A</v>
      </c>
      <c r="AO49" s="169">
        <v>0</v>
      </c>
      <c r="AP49" s="169">
        <v>0</v>
      </c>
      <c r="AQ49" s="169">
        <v>0</v>
      </c>
      <c r="AR49" s="169">
        <v>0</v>
      </c>
      <c r="AS49" s="169">
        <v>0</v>
      </c>
      <c r="AT49" s="169">
        <v>0</v>
      </c>
      <c r="AU49" s="169">
        <v>0</v>
      </c>
      <c r="AV49" s="169">
        <v>0</v>
      </c>
      <c r="AW49" s="169">
        <v>0</v>
      </c>
      <c r="AX49" s="168" t="e">
        <f>VLOOKUP(MID($B49,1,2),'[2]Free Spins Symbol'!$AD$7:$AI$8,2,0)
*VLOOKUP(MID($B49,4,2),'[2]Free Spins Symbol'!$AD$7:$AI$8,3,0)
*VLOOKUP(MID($B49,7,2),'[2]Free Spins Symbol'!$AD$7:$AI$8,4,0)
*1
*1-AX17</f>
        <v>#N/A</v>
      </c>
      <c r="AY49" s="169">
        <v>0</v>
      </c>
      <c r="AZ49" s="169">
        <v>0</v>
      </c>
      <c r="BA49" s="169">
        <v>0</v>
      </c>
      <c r="BB49" s="169">
        <v>0</v>
      </c>
      <c r="BC49" s="169">
        <v>0</v>
      </c>
      <c r="BD49" s="169">
        <v>0</v>
      </c>
      <c r="BE49" s="169">
        <v>0</v>
      </c>
      <c r="BF49" s="169">
        <v>0</v>
      </c>
      <c r="BG49" s="169">
        <v>0</v>
      </c>
      <c r="BH49" s="169">
        <v>0</v>
      </c>
      <c r="BI49" s="169">
        <v>0</v>
      </c>
      <c r="BJ49" s="169">
        <v>0</v>
      </c>
      <c r="BK49" s="169">
        <v>0</v>
      </c>
      <c r="BL49" s="169">
        <v>0</v>
      </c>
      <c r="BM49" s="169">
        <v>0</v>
      </c>
      <c r="BN49" s="170">
        <v>0</v>
      </c>
    </row>
    <row r="50" spans="1:66" x14ac:dyDescent="0.3">
      <c r="A50" s="39"/>
      <c r="B50" s="183">
        <f>'[2]Held Stacked Wild'!A624</f>
        <v>0</v>
      </c>
      <c r="C50" s="189">
        <v>0</v>
      </c>
      <c r="D50" s="190">
        <v>0</v>
      </c>
      <c r="E50" s="190">
        <v>0</v>
      </c>
      <c r="F50" s="190">
        <v>0</v>
      </c>
      <c r="G50" s="190">
        <v>0</v>
      </c>
      <c r="H50" s="190">
        <v>0</v>
      </c>
      <c r="I50" s="190">
        <v>0</v>
      </c>
      <c r="J50" s="190">
        <v>0</v>
      </c>
      <c r="K50" s="190">
        <v>0</v>
      </c>
      <c r="L50" s="190">
        <v>0</v>
      </c>
      <c r="M50" s="190">
        <v>0</v>
      </c>
      <c r="N50" s="190">
        <v>0</v>
      </c>
      <c r="O50" s="190">
        <v>0</v>
      </c>
      <c r="P50" s="190">
        <v>0</v>
      </c>
      <c r="Q50" s="190">
        <v>0</v>
      </c>
      <c r="R50" s="190">
        <v>0</v>
      </c>
      <c r="S50" s="190">
        <v>0</v>
      </c>
      <c r="T50" s="190">
        <v>0</v>
      </c>
      <c r="U50" s="190">
        <v>0</v>
      </c>
      <c r="V50" s="190">
        <v>0</v>
      </c>
      <c r="W50" s="190">
        <v>0</v>
      </c>
      <c r="X50" s="190">
        <v>0</v>
      </c>
      <c r="Y50" s="190">
        <v>0</v>
      </c>
      <c r="Z50" s="190">
        <v>0</v>
      </c>
      <c r="AA50" s="190">
        <v>0</v>
      </c>
      <c r="AB50" s="190">
        <v>0</v>
      </c>
      <c r="AC50" s="190">
        <v>0</v>
      </c>
      <c r="AD50" s="190">
        <v>0</v>
      </c>
      <c r="AE50" s="190">
        <v>0</v>
      </c>
      <c r="AF50" s="190">
        <v>0</v>
      </c>
      <c r="AG50" s="190">
        <v>0</v>
      </c>
      <c r="AH50" s="191">
        <v>0</v>
      </c>
      <c r="AI50" s="171" t="e">
        <f>VLOOKUP(MID($B50,1,2),'[2]Free Spins Symbol'!$AD$7:$AI$8,2,0)
*VLOOKUP(MID($B50,4,2),'[2]Free Spins Symbol'!$AD$7:$AI$8,3,0)
*VLOOKUP(MID($B50,7,2),'[2]Free Spins Symbol'!$AD$7:$AI$8,4,0)
*VLOOKUP(MID($B50,10,2),'[2]Free Spins Symbol'!$AD$7:$AI$8,5,0)
*VLOOKUP(MID($B50,13,2),'[2]Free Spins Symbol'!$AD$7:$AI$8,6,0)-AI18</f>
        <v>#N/A</v>
      </c>
      <c r="AJ50" s="168" t="e">
        <f>1
*VLOOKUP(MID($B50,4,2),'[2]Free Spins Symbol'!$AD$7:$AI$8,3,0)
*VLOOKUP(MID($B50,7,2),'[2]Free Spins Symbol'!$AD$7:$AI$8,4,0)
*VLOOKUP(MID($B50,10,2),'[2]Free Spins Symbol'!$AD$7:$AI$8,5,0)
*VLOOKUP(MID($B50,13,2),'[2]Free Spins Symbol'!$AD$7:$AI$8,6,0)-AJ18</f>
        <v>#N/A</v>
      </c>
      <c r="AK50" s="168" t="e">
        <f>VLOOKUP(MID($B50,1,2),'[2]Free Spins Symbol'!$AD$7:$AI$8,2,0)
*1
*VLOOKUP(MID($B50,7,2),'[2]Free Spins Symbol'!$AD$7:$AI$8,4,0)
*VLOOKUP(MID($B50,10,2),'[2]Free Spins Symbol'!$AD$7:$AI$8,5,0)
*VLOOKUP(MID($B50,13,2),'[2]Free Spins Symbol'!$AD$7:$AI$8,6,0)-AK18</f>
        <v>#N/A</v>
      </c>
      <c r="AL50" s="168" t="e">
        <f>VLOOKUP(MID($B50,1,2),'[2]Free Spins Symbol'!$AD$7:$AI$8,2,0)
*VLOOKUP(MID($B50,4,2),'[2]Free Spins Symbol'!$AD$7:$AI$8,3,0)
*1
*VLOOKUP(MID($B50,10,2),'[2]Free Spins Symbol'!$AD$7:$AI$8,5,0)
*VLOOKUP(MID($B50,13,2),'[2]Free Spins Symbol'!$AD$7:$AI$8,6,0)-AL18</f>
        <v>#N/A</v>
      </c>
      <c r="AM50" s="169">
        <v>0</v>
      </c>
      <c r="AN50" s="169">
        <v>0</v>
      </c>
      <c r="AO50" s="168" t="e">
        <f>1
*1
*VLOOKUP(MID($B50,7,2),'[2]Free Spins Symbol'!$AD$7:$AI$8,4,0)
*VLOOKUP(MID($B50,10,2),'[2]Free Spins Symbol'!$AD$7:$AI$8,5,0)
*VLOOKUP(MID($B50,13,2),'[2]Free Spins Symbol'!$AD$7:$AI$8,6,0)-AO18</f>
        <v>#N/A</v>
      </c>
      <c r="AP50" s="168" t="e">
        <f>1
*VLOOKUP(MID($B50,4,2),'[2]Free Spins Symbol'!$AD$7:$AI$8,3,0)
*1
*VLOOKUP(MID($B50,10,2),'[2]Free Spins Symbol'!$AD$7:$AI$8,5,0)
*VLOOKUP(MID($B50,13,2),'[2]Free Spins Symbol'!$AD$7:$AI$8,6,0)-AP18</f>
        <v>#N/A</v>
      </c>
      <c r="AQ50" s="169">
        <v>0</v>
      </c>
      <c r="AR50" s="169">
        <v>0</v>
      </c>
      <c r="AS50" s="168" t="e">
        <f>VLOOKUP(MID($B50,1,2),'[2]Free Spins Symbol'!$AD$7:$AI$8,2,0)
*1
*1
*VLOOKUP(MID($B50,10,2),'[2]Free Spins Symbol'!$AD$7:$AI$8,5,0)
*VLOOKUP(MID($B50,13,2),'[2]Free Spins Symbol'!$AD$7:$AI$8,6,0)-AS18</f>
        <v>#N/A</v>
      </c>
      <c r="AT50" s="169">
        <v>0</v>
      </c>
      <c r="AU50" s="169">
        <v>0</v>
      </c>
      <c r="AV50" s="169">
        <v>0</v>
      </c>
      <c r="AW50" s="169">
        <v>0</v>
      </c>
      <c r="AX50" s="169">
        <v>0</v>
      </c>
      <c r="AY50" s="168" t="e">
        <f>1
*1
*1
*VLOOKUP(MID($B50,10,2),'[2]Free Spins Symbol'!$AD$7:$AI$8,5,0)
*VLOOKUP(MID($B50,13,2),'[2]Free Spins Symbol'!$AD$7:$AI$8,6,0)-AY18</f>
        <v>#N/A</v>
      </c>
      <c r="AZ50" s="169">
        <v>0</v>
      </c>
      <c r="BA50" s="169">
        <v>0</v>
      </c>
      <c r="BB50" s="169">
        <v>0</v>
      </c>
      <c r="BC50" s="169">
        <v>0</v>
      </c>
      <c r="BD50" s="169">
        <v>0</v>
      </c>
      <c r="BE50" s="169">
        <v>0</v>
      </c>
      <c r="BF50" s="169">
        <v>0</v>
      </c>
      <c r="BG50" s="169">
        <v>0</v>
      </c>
      <c r="BH50" s="169">
        <v>0</v>
      </c>
      <c r="BI50" s="169">
        <v>0</v>
      </c>
      <c r="BJ50" s="169">
        <v>0</v>
      </c>
      <c r="BK50" s="169">
        <v>0</v>
      </c>
      <c r="BL50" s="169">
        <v>0</v>
      </c>
      <c r="BM50" s="169">
        <v>0</v>
      </c>
      <c r="BN50" s="170">
        <v>0</v>
      </c>
    </row>
    <row r="51" spans="1:66" x14ac:dyDescent="0.3">
      <c r="A51" s="39"/>
      <c r="B51" s="192">
        <f>'[2]Held Stacked Wild'!A663</f>
        <v>0</v>
      </c>
      <c r="C51" s="189">
        <v>0</v>
      </c>
      <c r="D51" s="190">
        <v>0</v>
      </c>
      <c r="E51" s="190">
        <v>0</v>
      </c>
      <c r="F51" s="190">
        <v>0</v>
      </c>
      <c r="G51" s="190">
        <v>0</v>
      </c>
      <c r="H51" s="190">
        <v>0</v>
      </c>
      <c r="I51" s="190">
        <v>0</v>
      </c>
      <c r="J51" s="190">
        <v>0</v>
      </c>
      <c r="K51" s="190">
        <v>0</v>
      </c>
      <c r="L51" s="190">
        <v>0</v>
      </c>
      <c r="M51" s="190">
        <v>0</v>
      </c>
      <c r="N51" s="190">
        <v>0</v>
      </c>
      <c r="O51" s="190">
        <v>0</v>
      </c>
      <c r="P51" s="190">
        <v>0</v>
      </c>
      <c r="Q51" s="190">
        <v>0</v>
      </c>
      <c r="R51" s="190">
        <v>0</v>
      </c>
      <c r="S51" s="190">
        <v>0</v>
      </c>
      <c r="T51" s="190">
        <v>0</v>
      </c>
      <c r="U51" s="190">
        <v>0</v>
      </c>
      <c r="V51" s="190">
        <v>0</v>
      </c>
      <c r="W51" s="190">
        <v>0</v>
      </c>
      <c r="X51" s="190">
        <v>0</v>
      </c>
      <c r="Y51" s="190">
        <v>0</v>
      </c>
      <c r="Z51" s="190">
        <v>0</v>
      </c>
      <c r="AA51" s="190">
        <v>0</v>
      </c>
      <c r="AB51" s="190">
        <v>0</v>
      </c>
      <c r="AC51" s="190">
        <v>0</v>
      </c>
      <c r="AD51" s="190">
        <v>0</v>
      </c>
      <c r="AE51" s="190">
        <v>0</v>
      </c>
      <c r="AF51" s="190">
        <v>0</v>
      </c>
      <c r="AG51" s="190">
        <v>0</v>
      </c>
      <c r="AH51" s="191">
        <v>0</v>
      </c>
      <c r="AI51" s="171" t="e">
        <f>VLOOKUP(MID($B51,1,2),'[2]Free Spins Symbol'!$AD$7:$AI$8,2,0)
*VLOOKUP(MID($B51,4,2),'[2]Free Spins Symbol'!$AD$7:$AI$8,3,0)
*VLOOKUP(MID($B51,7,2),'[2]Free Spins Symbol'!$AD$7:$AI$8,4,0)
*VLOOKUP(MID($B51,10,2),'[2]Free Spins Symbol'!$AD$7:$AI$8,5,0)
*VLOOKUP(MID($B51,13,2),'[2]Free Spins Symbol'!$AD$7:$AI$8,6,0)-AI19</f>
        <v>#N/A</v>
      </c>
      <c r="AJ51" s="168" t="e">
        <f>1
*VLOOKUP(MID($B51,4,2),'[2]Free Spins Symbol'!$AD$7:$AI$8,3,0)
*VLOOKUP(MID($B51,7,2),'[2]Free Spins Symbol'!$AD$7:$AI$8,4,0)
*VLOOKUP(MID($B51,10,2),'[2]Free Spins Symbol'!$AD$7:$AI$8,5,0)
*VLOOKUP(MID($B51,13,2),'[2]Free Spins Symbol'!$AD$7:$AI$8,6,0)-AJ19</f>
        <v>#N/A</v>
      </c>
      <c r="AK51" s="168" t="e">
        <f>VLOOKUP(MID($B51,1,2),'[2]Free Spins Symbol'!$AD$7:$AI$8,2,0)
*1
*VLOOKUP(MID($B51,7,2),'[2]Free Spins Symbol'!$AD$7:$AI$8,4,0)
*VLOOKUP(MID($B51,10,2),'[2]Free Spins Symbol'!$AD$7:$AI$8,5,0)
*VLOOKUP(MID($B51,13,2),'[2]Free Spins Symbol'!$AD$7:$AI$8,6,0)-AK19</f>
        <v>#N/A</v>
      </c>
      <c r="AL51" s="169">
        <v>0</v>
      </c>
      <c r="AM51" s="168" t="e">
        <f>VLOOKUP(MID($B51,1,2),'[2]Free Spins Symbol'!$AD$7:$AI$8,2,0)
*VLOOKUP(MID($B51,4,2),'[2]Free Spins Symbol'!$AD$7:$AI$8,3,0)
*VLOOKUP(MID($B51,7,2),'[2]Free Spins Symbol'!$AD$7:$AI$8,4,0)
*1
*VLOOKUP(MID($B51,13,2),'[2]Free Spins Symbol'!$AD$7:$AI$8,6,0)-AM19</f>
        <v>#N/A</v>
      </c>
      <c r="AN51" s="169">
        <v>0</v>
      </c>
      <c r="AO51" s="168" t="e">
        <f>1
*1
*VLOOKUP(MID($B51,7,2),'[2]Free Spins Symbol'!$AD$7:$AI$8,4,0)
*VLOOKUP(MID($B51,10,2),'[2]Free Spins Symbol'!$AD$7:$AI$8,5,0)
*VLOOKUP(MID($B51,13,2),'[2]Free Spins Symbol'!$AD$7:$AI$8,6,0)-AO19</f>
        <v>#N/A</v>
      </c>
      <c r="AP51" s="169">
        <v>0</v>
      </c>
      <c r="AQ51" s="168" t="e">
        <f>1
*VLOOKUP(MID($B51,4,2),'[2]Free Spins Symbol'!$AD$7:$AI$8,3,0)
*VLOOKUP(MID($B51,7,2),'[2]Free Spins Symbol'!$AD$7:$AI$8,4,0)
*1
*VLOOKUP(MID($B51,13,2),'[2]Free Spins Symbol'!$AD$7:$AI$8,6,0)-AQ19</f>
        <v>#N/A</v>
      </c>
      <c r="AR51" s="169">
        <v>0</v>
      </c>
      <c r="AS51" s="169">
        <v>0</v>
      </c>
      <c r="AT51" s="168" t="e">
        <f>VLOOKUP(MID($B51,1,2),'[2]Free Spins Symbol'!$AD$7:$AI$8,2,0)
*1
*VLOOKUP(MID($B51,7,2),'[2]Free Spins Symbol'!$AD$7:$AI$8,4,0)
*1
*VLOOKUP(MID($B51,13,2),'[2]Free Spins Symbol'!$AD$7:$AI$8,6,0)-AT19</f>
        <v>#N/A</v>
      </c>
      <c r="AU51" s="169">
        <v>0</v>
      </c>
      <c r="AV51" s="169">
        <v>0</v>
      </c>
      <c r="AW51" s="169">
        <v>0</v>
      </c>
      <c r="AX51" s="169">
        <v>0</v>
      </c>
      <c r="AY51" s="169">
        <v>0</v>
      </c>
      <c r="AZ51" s="168" t="e">
        <f>1
*1
*VLOOKUP(MID($B51,7,2),'[2]Free Spins Symbol'!$AD$7:$AI$8,4,0)
*1
*VLOOKUP(MID($B51,13,2),'[2]Free Spins Symbol'!$AD$7:$AI$8,6,0)-AZ19</f>
        <v>#N/A</v>
      </c>
      <c r="BA51" s="169">
        <v>0</v>
      </c>
      <c r="BB51" s="169">
        <v>0</v>
      </c>
      <c r="BC51" s="169">
        <v>0</v>
      </c>
      <c r="BD51" s="169">
        <v>0</v>
      </c>
      <c r="BE51" s="169">
        <v>0</v>
      </c>
      <c r="BF51" s="169">
        <v>0</v>
      </c>
      <c r="BG51" s="169">
        <v>0</v>
      </c>
      <c r="BH51" s="169">
        <v>0</v>
      </c>
      <c r="BI51" s="169">
        <v>0</v>
      </c>
      <c r="BJ51" s="169">
        <v>0</v>
      </c>
      <c r="BK51" s="169">
        <v>0</v>
      </c>
      <c r="BL51" s="169">
        <v>0</v>
      </c>
      <c r="BM51" s="169">
        <v>0</v>
      </c>
      <c r="BN51" s="170">
        <v>0</v>
      </c>
    </row>
    <row r="52" spans="1:66" x14ac:dyDescent="0.3">
      <c r="A52" s="39"/>
      <c r="B52" s="192">
        <f>'[2]Held Stacked Wild'!A702</f>
        <v>0</v>
      </c>
      <c r="C52" s="189">
        <v>0</v>
      </c>
      <c r="D52" s="190">
        <v>0</v>
      </c>
      <c r="E52" s="190">
        <v>0</v>
      </c>
      <c r="F52" s="190">
        <v>0</v>
      </c>
      <c r="G52" s="190">
        <v>0</v>
      </c>
      <c r="H52" s="190">
        <v>0</v>
      </c>
      <c r="I52" s="190">
        <v>0</v>
      </c>
      <c r="J52" s="190">
        <v>0</v>
      </c>
      <c r="K52" s="190">
        <v>0</v>
      </c>
      <c r="L52" s="190">
        <v>0</v>
      </c>
      <c r="M52" s="190">
        <v>0</v>
      </c>
      <c r="N52" s="190">
        <v>0</v>
      </c>
      <c r="O52" s="190">
        <v>0</v>
      </c>
      <c r="P52" s="190">
        <v>0</v>
      </c>
      <c r="Q52" s="190">
        <v>0</v>
      </c>
      <c r="R52" s="190">
        <v>0</v>
      </c>
      <c r="S52" s="190">
        <v>0</v>
      </c>
      <c r="T52" s="190">
        <v>0</v>
      </c>
      <c r="U52" s="190">
        <v>0</v>
      </c>
      <c r="V52" s="190">
        <v>0</v>
      </c>
      <c r="W52" s="190">
        <v>0</v>
      </c>
      <c r="X52" s="190">
        <v>0</v>
      </c>
      <c r="Y52" s="190">
        <v>0</v>
      </c>
      <c r="Z52" s="190">
        <v>0</v>
      </c>
      <c r="AA52" s="190">
        <v>0</v>
      </c>
      <c r="AB52" s="190">
        <v>0</v>
      </c>
      <c r="AC52" s="190">
        <v>0</v>
      </c>
      <c r="AD52" s="190">
        <v>0</v>
      </c>
      <c r="AE52" s="190">
        <v>0</v>
      </c>
      <c r="AF52" s="190">
        <v>0</v>
      </c>
      <c r="AG52" s="190">
        <v>0</v>
      </c>
      <c r="AH52" s="191">
        <v>0</v>
      </c>
      <c r="AI52" s="171" t="e">
        <f>VLOOKUP(MID($B52,1,2),'[2]Free Spins Symbol'!$AD$7:$AI$8,2,0)
*VLOOKUP(MID($B52,4,2),'[2]Free Spins Symbol'!$AD$7:$AI$8,3,0)
*VLOOKUP(MID($B52,7,2),'[2]Free Spins Symbol'!$AD$7:$AI$8,4,0)
*VLOOKUP(MID($B52,10,2),'[2]Free Spins Symbol'!$AD$7:$AI$8,5,0)
*VLOOKUP(MID($B52,13,2),'[2]Free Spins Symbol'!$AD$7:$AI$8,6,0)-AI20</f>
        <v>#N/A</v>
      </c>
      <c r="AJ52" s="168" t="e">
        <f>1
*VLOOKUP(MID($B52,4,2),'[2]Free Spins Symbol'!$AD$7:$AI$8,3,0)
*VLOOKUP(MID($B52,7,2),'[2]Free Spins Symbol'!$AD$7:$AI$8,4,0)
*VLOOKUP(MID($B52,10,2),'[2]Free Spins Symbol'!$AD$7:$AI$8,5,0)
*VLOOKUP(MID($B52,13,2),'[2]Free Spins Symbol'!$AD$7:$AI$8,6,0)-AJ20</f>
        <v>#N/A</v>
      </c>
      <c r="AK52" s="169">
        <v>0</v>
      </c>
      <c r="AL52" s="168" t="e">
        <f>VLOOKUP(MID($B52,1,2),'[2]Free Spins Symbol'!$AD$7:$AI$8,2,0)
*VLOOKUP(MID($B52,4,2),'[2]Free Spins Symbol'!$AD$7:$AI$8,3,0)
*1
*VLOOKUP(MID($B52,10,2),'[2]Free Spins Symbol'!$AD$7:$AI$8,5,0)
*VLOOKUP(MID($B52,13,2),'[2]Free Spins Symbol'!$AD$7:$AI$8,6,0)-AL20</f>
        <v>#N/A</v>
      </c>
      <c r="AM52" s="168" t="e">
        <f>VLOOKUP(MID($B52,1,2),'[2]Free Spins Symbol'!$AD$7:$AI$8,2,0)
*VLOOKUP(MID($B52,4,2),'[2]Free Spins Symbol'!$AD$7:$AI$8,3,0)
*VLOOKUP(MID($B52,7,2),'[2]Free Spins Symbol'!$AD$7:$AI$8,4,0)
*1
*VLOOKUP(MID($B52,13,2),'[2]Free Spins Symbol'!$AD$7:$AI$8,6,0)-AM20</f>
        <v>#N/A</v>
      </c>
      <c r="AN52" s="169">
        <v>0</v>
      </c>
      <c r="AO52" s="169">
        <v>0</v>
      </c>
      <c r="AP52" s="168" t="e">
        <f>1
*VLOOKUP(MID($B52,4,2),'[2]Free Spins Symbol'!$AD$7:$AI$8,3,0)
*1
*VLOOKUP(MID($B52,10,2),'[2]Free Spins Symbol'!$AD$7:$AI$8,5,0)
*VLOOKUP(MID($B52,13,2),'[2]Free Spins Symbol'!$AD$7:$AI$8,6,0)-AP20</f>
        <v>#N/A</v>
      </c>
      <c r="AQ52" s="168" t="e">
        <f>1
*VLOOKUP(MID($B52,4,2),'[2]Free Spins Symbol'!$AD$7:$AI$8,3,0)
*VLOOKUP(MID($B52,7,2),'[2]Free Spins Symbol'!$AD$7:$AI$8,4,0)
*1
*VLOOKUP(MID($B52,13,2),'[2]Free Spins Symbol'!$AD$7:$AI$8,6,0)-AQ20</f>
        <v>#N/A</v>
      </c>
      <c r="AR52" s="169">
        <v>0</v>
      </c>
      <c r="AS52" s="169">
        <v>0</v>
      </c>
      <c r="AT52" s="169">
        <v>0</v>
      </c>
      <c r="AU52" s="169">
        <v>0</v>
      </c>
      <c r="AV52" s="168" t="e">
        <f>VLOOKUP(MID($B52,1,2),'[2]Free Spins Symbol'!$AD$7:$AI$8,2,0)
*VLOOKUP(MID($B52,4,2),'[2]Free Spins Symbol'!$AD$7:$AI$8,3,0)
*1
*1
*VLOOKUP(MID($B52,13,2),'[2]Free Spins Symbol'!$AD$7:$AI$8,6,0)-AV20</f>
        <v>#N/A</v>
      </c>
      <c r="AW52" s="169">
        <v>0</v>
      </c>
      <c r="AX52" s="169">
        <v>0</v>
      </c>
      <c r="AY52" s="169">
        <v>0</v>
      </c>
      <c r="AZ52" s="169">
        <v>0</v>
      </c>
      <c r="BA52" s="168" t="e">
        <f>1
*VLOOKUP(MID($B52,4,2),'[2]Free Spins Symbol'!$AD$7:$AI$8,3,0)
*1
*1
*VLOOKUP(MID($B52,13,2),'[2]Free Spins Symbol'!$AD$7:$AI$8,6,0)-BA20</f>
        <v>#N/A</v>
      </c>
      <c r="BB52" s="169">
        <v>0</v>
      </c>
      <c r="BC52" s="169">
        <v>0</v>
      </c>
      <c r="BD52" s="169">
        <v>0</v>
      </c>
      <c r="BE52" s="169">
        <v>0</v>
      </c>
      <c r="BF52" s="169">
        <v>0</v>
      </c>
      <c r="BG52" s="169">
        <v>0</v>
      </c>
      <c r="BH52" s="169">
        <v>0</v>
      </c>
      <c r="BI52" s="169">
        <v>0</v>
      </c>
      <c r="BJ52" s="169">
        <v>0</v>
      </c>
      <c r="BK52" s="169">
        <v>0</v>
      </c>
      <c r="BL52" s="169">
        <v>0</v>
      </c>
      <c r="BM52" s="169">
        <v>0</v>
      </c>
      <c r="BN52" s="170">
        <v>0</v>
      </c>
    </row>
    <row r="53" spans="1:66" x14ac:dyDescent="0.3">
      <c r="A53" s="39"/>
      <c r="B53" s="192">
        <f>'[2]Held Stacked Wild'!A741</f>
        <v>0</v>
      </c>
      <c r="C53" s="189">
        <v>0</v>
      </c>
      <c r="D53" s="190">
        <v>0</v>
      </c>
      <c r="E53" s="190">
        <v>0</v>
      </c>
      <c r="F53" s="190">
        <v>0</v>
      </c>
      <c r="G53" s="190">
        <v>0</v>
      </c>
      <c r="H53" s="190">
        <v>0</v>
      </c>
      <c r="I53" s="190">
        <v>0</v>
      </c>
      <c r="J53" s="190">
        <v>0</v>
      </c>
      <c r="K53" s="190">
        <v>0</v>
      </c>
      <c r="L53" s="190">
        <v>0</v>
      </c>
      <c r="M53" s="190">
        <v>0</v>
      </c>
      <c r="N53" s="190">
        <v>0</v>
      </c>
      <c r="O53" s="190">
        <v>0</v>
      </c>
      <c r="P53" s="190">
        <v>0</v>
      </c>
      <c r="Q53" s="190">
        <v>0</v>
      </c>
      <c r="R53" s="190">
        <v>0</v>
      </c>
      <c r="S53" s="190">
        <v>0</v>
      </c>
      <c r="T53" s="190">
        <v>0</v>
      </c>
      <c r="U53" s="190">
        <v>0</v>
      </c>
      <c r="V53" s="190">
        <v>0</v>
      </c>
      <c r="W53" s="190">
        <v>0</v>
      </c>
      <c r="X53" s="190">
        <v>0</v>
      </c>
      <c r="Y53" s="190">
        <v>0</v>
      </c>
      <c r="Z53" s="190">
        <v>0</v>
      </c>
      <c r="AA53" s="190">
        <v>0</v>
      </c>
      <c r="AB53" s="190">
        <v>0</v>
      </c>
      <c r="AC53" s="190">
        <v>0</v>
      </c>
      <c r="AD53" s="190">
        <v>0</v>
      </c>
      <c r="AE53" s="190">
        <v>0</v>
      </c>
      <c r="AF53" s="190">
        <v>0</v>
      </c>
      <c r="AG53" s="190">
        <v>0</v>
      </c>
      <c r="AH53" s="191">
        <v>0</v>
      </c>
      <c r="AI53" s="171" t="e">
        <f>VLOOKUP(MID($B53,1,2),'[2]Free Spins Symbol'!$AD$7:$AI$8,2,0)
*VLOOKUP(MID($B53,4,2),'[2]Free Spins Symbol'!$AD$7:$AI$8,3,0)
*VLOOKUP(MID($B53,7,2),'[2]Free Spins Symbol'!$AD$7:$AI$8,4,0)
*VLOOKUP(MID($B53,10,2),'[2]Free Spins Symbol'!$AD$7:$AI$8,5,0)
*VLOOKUP(MID($B53,13,2),'[2]Free Spins Symbol'!$AD$7:$AI$8,6,0)-AI21</f>
        <v>#N/A</v>
      </c>
      <c r="AJ53" s="169">
        <v>0</v>
      </c>
      <c r="AK53" s="168" t="e">
        <f>VLOOKUP(MID($B53,1,2),'[2]Free Spins Symbol'!$AD$7:$AI$8,2,0)
*1
*VLOOKUP(MID($B53,7,2),'[2]Free Spins Symbol'!$AD$7:$AI$8,4,0)
*VLOOKUP(MID($B53,10,2),'[2]Free Spins Symbol'!$AD$7:$AI$8,5,0)
*VLOOKUP(MID($B53,13,2),'[2]Free Spins Symbol'!$AD$7:$AI$8,6,0)-AK21</f>
        <v>#N/A</v>
      </c>
      <c r="AL53" s="168" t="e">
        <f>VLOOKUP(MID($B53,1,2),'[2]Free Spins Symbol'!$AD$7:$AI$8,2,0)
*VLOOKUP(MID($B53,4,2),'[2]Free Spins Symbol'!$AD$7:$AI$8,3,0)
*1
*VLOOKUP(MID($B53,10,2),'[2]Free Spins Symbol'!$AD$7:$AI$8,5,0)
*VLOOKUP(MID($B53,13,2),'[2]Free Spins Symbol'!$AD$7:$AI$8,6,0)-AL21</f>
        <v>#N/A</v>
      </c>
      <c r="AM53" s="168" t="e">
        <f>VLOOKUP(MID($B53,1,2),'[2]Free Spins Symbol'!$AD$7:$AI$8,2,0)
*VLOOKUP(MID($B53,4,2),'[2]Free Spins Symbol'!$AD$7:$AI$8,3,0)
*VLOOKUP(MID($B53,7,2),'[2]Free Spins Symbol'!$AD$7:$AI$8,4,0)
*1
*VLOOKUP(MID($B53,13,2),'[2]Free Spins Symbol'!$AD$7:$AI$8,6,0)-AM21</f>
        <v>#N/A</v>
      </c>
      <c r="AN53" s="169">
        <v>0</v>
      </c>
      <c r="AO53" s="169">
        <v>0</v>
      </c>
      <c r="AP53" s="169">
        <v>0</v>
      </c>
      <c r="AQ53" s="169">
        <v>0</v>
      </c>
      <c r="AR53" s="169">
        <v>0</v>
      </c>
      <c r="AS53" s="168" t="e">
        <f>VLOOKUP(MID($B53,1,2),'[2]Free Spins Symbol'!$AD$7:$AI$8,2,0)
*1
*1
*VLOOKUP(MID($B53,10,2),'[2]Free Spins Symbol'!$AD$7:$AI$8,5,0)
*VLOOKUP(MID($B53,13,2),'[2]Free Spins Symbol'!$AD$7:$AI$8,6,0)-AS21</f>
        <v>#N/A</v>
      </c>
      <c r="AT53" s="168" t="e">
        <f>VLOOKUP(MID($B53,1,2),'[2]Free Spins Symbol'!$AD$7:$AI$8,2,0)
*1
*VLOOKUP(MID($B53,7,2),'[2]Free Spins Symbol'!$AD$7:$AI$8,4,0)
*1
*VLOOKUP(MID($B53,13,2),'[2]Free Spins Symbol'!$AD$7:$AI$8,6,0)-AT21</f>
        <v>#N/A</v>
      </c>
      <c r="AU53" s="169">
        <v>0</v>
      </c>
      <c r="AV53" s="168" t="e">
        <f>VLOOKUP(MID($B53,1,2),'[2]Free Spins Symbol'!$AD$7:$AI$8,2,0)
*VLOOKUP(MID($B53,4,2),'[2]Free Spins Symbol'!$AD$7:$AI$8,3,0)
*1
*1
*VLOOKUP(MID($B53,13,2),'[2]Free Spins Symbol'!$AD$7:$AI$8,6,0)-AV21</f>
        <v>#N/A</v>
      </c>
      <c r="AW53" s="169">
        <v>0</v>
      </c>
      <c r="AX53" s="169">
        <v>0</v>
      </c>
      <c r="AY53" s="169">
        <v>0</v>
      </c>
      <c r="AZ53" s="169">
        <v>0</v>
      </c>
      <c r="BA53" s="169">
        <v>0</v>
      </c>
      <c r="BB53" s="168" t="e">
        <f>VLOOKUP(MID($B53,1,2),'[2]Free Spins Symbol'!$AD$7:$AI$8,2,0)
*1
*1
*1
*VLOOKUP(MID($B53,13,2),'[2]Free Spins Symbol'!$AD$7:$AI$8,6,0)-BB21</f>
        <v>#N/A</v>
      </c>
      <c r="BC53" s="169">
        <v>0</v>
      </c>
      <c r="BD53" s="169">
        <v>0</v>
      </c>
      <c r="BE53" s="169">
        <v>0</v>
      </c>
      <c r="BF53" s="169">
        <v>0</v>
      </c>
      <c r="BG53" s="169">
        <v>0</v>
      </c>
      <c r="BH53" s="169">
        <v>0</v>
      </c>
      <c r="BI53" s="169">
        <v>0</v>
      </c>
      <c r="BJ53" s="169">
        <v>0</v>
      </c>
      <c r="BK53" s="169">
        <v>0</v>
      </c>
      <c r="BL53" s="169">
        <v>0</v>
      </c>
      <c r="BM53" s="169">
        <v>0</v>
      </c>
      <c r="BN53" s="170">
        <v>0</v>
      </c>
    </row>
    <row r="54" spans="1:66" x14ac:dyDescent="0.3">
      <c r="A54" s="39"/>
      <c r="B54" s="192">
        <f>'[2]Held Stacked Wild'!A780</f>
        <v>0</v>
      </c>
      <c r="C54" s="189">
        <v>0</v>
      </c>
      <c r="D54" s="190">
        <v>0</v>
      </c>
      <c r="E54" s="190">
        <v>0</v>
      </c>
      <c r="F54" s="190">
        <v>0</v>
      </c>
      <c r="G54" s="190">
        <v>0</v>
      </c>
      <c r="H54" s="190">
        <v>0</v>
      </c>
      <c r="I54" s="190">
        <v>0</v>
      </c>
      <c r="J54" s="190">
        <v>0</v>
      </c>
      <c r="K54" s="190">
        <v>0</v>
      </c>
      <c r="L54" s="190">
        <v>0</v>
      </c>
      <c r="M54" s="190">
        <v>0</v>
      </c>
      <c r="N54" s="190">
        <v>0</v>
      </c>
      <c r="O54" s="190">
        <v>0</v>
      </c>
      <c r="P54" s="190">
        <v>0</v>
      </c>
      <c r="Q54" s="190">
        <v>0</v>
      </c>
      <c r="R54" s="190">
        <v>0</v>
      </c>
      <c r="S54" s="190">
        <v>0</v>
      </c>
      <c r="T54" s="190">
        <v>0</v>
      </c>
      <c r="U54" s="190">
        <v>0</v>
      </c>
      <c r="V54" s="190">
        <v>0</v>
      </c>
      <c r="W54" s="190">
        <v>0</v>
      </c>
      <c r="X54" s="190">
        <v>0</v>
      </c>
      <c r="Y54" s="190">
        <v>0</v>
      </c>
      <c r="Z54" s="190">
        <v>0</v>
      </c>
      <c r="AA54" s="190">
        <v>0</v>
      </c>
      <c r="AB54" s="190">
        <v>0</v>
      </c>
      <c r="AC54" s="190">
        <v>0</v>
      </c>
      <c r="AD54" s="190">
        <v>0</v>
      </c>
      <c r="AE54" s="190">
        <v>0</v>
      </c>
      <c r="AF54" s="190">
        <v>0</v>
      </c>
      <c r="AG54" s="190">
        <v>0</v>
      </c>
      <c r="AH54" s="191">
        <v>0</v>
      </c>
      <c r="AI54" s="171" t="e">
        <f>VLOOKUP(MID($B54,1,2),'[2]Free Spins Symbol'!$AD$7:$AI$8,2,0)
*VLOOKUP(MID($B54,4,2),'[2]Free Spins Symbol'!$AD$7:$AI$8,3,0)
*VLOOKUP(MID($B54,7,2),'[2]Free Spins Symbol'!$AD$7:$AI$8,4,0)
*VLOOKUP(MID($B54,10,2),'[2]Free Spins Symbol'!$AD$7:$AI$8,5,0)
*VLOOKUP(MID($B54,13,2),'[2]Free Spins Symbol'!$AD$7:$AI$8,6,0)-AI22</f>
        <v>#N/A</v>
      </c>
      <c r="AJ54" s="168" t="e">
        <f>1
*VLOOKUP(MID($B54,4,2),'[2]Free Spins Symbol'!$AD$7:$AI$8,3,0)
*VLOOKUP(MID($B54,7,2),'[2]Free Spins Symbol'!$AD$7:$AI$8,4,0)
*VLOOKUP(MID($B54,10,2),'[2]Free Spins Symbol'!$AD$7:$AI$8,5,0)
*VLOOKUP(MID($B54,13,2),'[2]Free Spins Symbol'!$AD$7:$AI$8,6,0)-AJ22</f>
        <v>#N/A</v>
      </c>
      <c r="AK54" s="168" t="e">
        <f>VLOOKUP(MID($B54,1,2),'[2]Free Spins Symbol'!$AD$7:$AI$8,2,0)
*1
*VLOOKUP(MID($B54,7,2),'[2]Free Spins Symbol'!$AD$7:$AI$8,4,0)
*VLOOKUP(MID($B54,10,2),'[2]Free Spins Symbol'!$AD$7:$AI$8,5,0)
*VLOOKUP(MID($B54,13,2),'[2]Free Spins Symbol'!$AD$7:$AI$8,6,0)-AK22</f>
        <v>#N/A</v>
      </c>
      <c r="AL54" s="169">
        <v>0</v>
      </c>
      <c r="AM54" s="169">
        <v>0</v>
      </c>
      <c r="AN54" s="168" t="e">
        <f>VLOOKUP(MID($B54,1,2),'[2]Free Spins Symbol'!$AD$7:$AI$8,2,0)
*VLOOKUP(MID($B54,4,2),'[2]Free Spins Symbol'!$AD$7:$AI$8,3,0)
*VLOOKUP(MID($B54,7,2),'[2]Free Spins Symbol'!$AD$7:$AI$8,4,0)
*VLOOKUP(MID($B54,10,2),'[2]Free Spins Symbol'!$AD$7:$AI$8,5,0)
*1-AN22</f>
        <v>#N/A</v>
      </c>
      <c r="AO54" s="168" t="e">
        <f>1
*1
*VLOOKUP(MID($B54,7,2),'[2]Free Spins Symbol'!$AD$7:$AI$8,4,0)
*VLOOKUP(MID($B54,10,2),'[2]Free Spins Symbol'!$AD$7:$AI$8,5,0)
*VLOOKUP(MID($B54,13,2),'[2]Free Spins Symbol'!$AD$7:$AI$8,6,0)-AO22</f>
        <v>#N/A</v>
      </c>
      <c r="AP54" s="169">
        <v>0</v>
      </c>
      <c r="AQ54" s="169">
        <v>0</v>
      </c>
      <c r="AR54" s="168" t="e">
        <f>1
*VLOOKUP(MID($B54,4,2),'[2]Free Spins Symbol'!$AD$7:$AI$8,3,0)
*VLOOKUP(MID($B54,7,2),'[2]Free Spins Symbol'!$AD$7:$AI$8,4,0)
*VLOOKUP(MID($B54,10,2),'[2]Free Spins Symbol'!$AD$7:$AI$8,5,0)
*1-AR22</f>
        <v>#N/A</v>
      </c>
      <c r="AS54" s="169">
        <v>0</v>
      </c>
      <c r="AT54" s="169">
        <v>0</v>
      </c>
      <c r="AU54" s="168" t="e">
        <f>VLOOKUP(MID($B54,1,2),'[2]Free Spins Symbol'!$AD$7:$AI$8,2,0)
*1
*VLOOKUP(MID($B54,7,2),'[2]Free Spins Symbol'!$AD$7:$AI$8,4,0)
*VLOOKUP(MID($B54,10,2),'[2]Free Spins Symbol'!$AD$7:$AI$8,5,0)
*1-AU22</f>
        <v>#N/A</v>
      </c>
      <c r="AV54" s="169">
        <v>0</v>
      </c>
      <c r="AW54" s="169">
        <v>0</v>
      </c>
      <c r="AX54" s="169">
        <v>0</v>
      </c>
      <c r="AY54" s="169">
        <v>0</v>
      </c>
      <c r="AZ54" s="169">
        <v>0</v>
      </c>
      <c r="BA54" s="169">
        <v>0</v>
      </c>
      <c r="BB54" s="169">
        <v>0</v>
      </c>
      <c r="BC54" s="168" t="e">
        <f>1
*1
*VLOOKUP(MID($B54,7,2),'[2]Free Spins Symbol'!$AD$7:$AI$8,4,0)
*VLOOKUP(MID($B54,10,2),'[2]Free Spins Symbol'!$AD$7:$AI$8,5,0)
*1-BC22</f>
        <v>#N/A</v>
      </c>
      <c r="BD54" s="169">
        <v>0</v>
      </c>
      <c r="BE54" s="169">
        <v>0</v>
      </c>
      <c r="BF54" s="169">
        <v>0</v>
      </c>
      <c r="BG54" s="169">
        <v>0</v>
      </c>
      <c r="BH54" s="169">
        <v>0</v>
      </c>
      <c r="BI54" s="169">
        <v>0</v>
      </c>
      <c r="BJ54" s="169">
        <v>0</v>
      </c>
      <c r="BK54" s="169">
        <v>0</v>
      </c>
      <c r="BL54" s="169">
        <v>0</v>
      </c>
      <c r="BM54" s="169">
        <v>0</v>
      </c>
      <c r="BN54" s="170">
        <v>0</v>
      </c>
    </row>
    <row r="55" spans="1:66" x14ac:dyDescent="0.3">
      <c r="A55" s="39"/>
      <c r="B55" s="192">
        <f>'[2]Held Stacked Wild'!A819</f>
        <v>0</v>
      </c>
      <c r="C55" s="189">
        <v>0</v>
      </c>
      <c r="D55" s="190">
        <v>0</v>
      </c>
      <c r="E55" s="190">
        <v>0</v>
      </c>
      <c r="F55" s="190">
        <v>0</v>
      </c>
      <c r="G55" s="190">
        <v>0</v>
      </c>
      <c r="H55" s="190">
        <v>0</v>
      </c>
      <c r="I55" s="190">
        <v>0</v>
      </c>
      <c r="J55" s="190">
        <v>0</v>
      </c>
      <c r="K55" s="190">
        <v>0</v>
      </c>
      <c r="L55" s="190">
        <v>0</v>
      </c>
      <c r="M55" s="190">
        <v>0</v>
      </c>
      <c r="N55" s="190">
        <v>0</v>
      </c>
      <c r="O55" s="190">
        <v>0</v>
      </c>
      <c r="P55" s="190">
        <v>0</v>
      </c>
      <c r="Q55" s="190">
        <v>0</v>
      </c>
      <c r="R55" s="190">
        <v>0</v>
      </c>
      <c r="S55" s="190">
        <v>0</v>
      </c>
      <c r="T55" s="190">
        <v>0</v>
      </c>
      <c r="U55" s="190">
        <v>0</v>
      </c>
      <c r="V55" s="190">
        <v>0</v>
      </c>
      <c r="W55" s="190">
        <v>0</v>
      </c>
      <c r="X55" s="190">
        <v>0</v>
      </c>
      <c r="Y55" s="190">
        <v>0</v>
      </c>
      <c r="Z55" s="190">
        <v>0</v>
      </c>
      <c r="AA55" s="190">
        <v>0</v>
      </c>
      <c r="AB55" s="190">
        <v>0</v>
      </c>
      <c r="AC55" s="190">
        <v>0</v>
      </c>
      <c r="AD55" s="190">
        <v>0</v>
      </c>
      <c r="AE55" s="190">
        <v>0</v>
      </c>
      <c r="AF55" s="190">
        <v>0</v>
      </c>
      <c r="AG55" s="190">
        <v>0</v>
      </c>
      <c r="AH55" s="191">
        <v>0</v>
      </c>
      <c r="AI55" s="171" t="e">
        <f>VLOOKUP(MID($B55,1,2),'[2]Free Spins Symbol'!$AD$7:$AI$8,2,0)
*VLOOKUP(MID($B55,4,2),'[2]Free Spins Symbol'!$AD$7:$AI$8,3,0)
*VLOOKUP(MID($B55,7,2),'[2]Free Spins Symbol'!$AD$7:$AI$8,4,0)
*VLOOKUP(MID($B55,10,2),'[2]Free Spins Symbol'!$AD$7:$AI$8,5,0)
*VLOOKUP(MID($B55,13,2),'[2]Free Spins Symbol'!$AD$7:$AI$8,6,0)-AI23</f>
        <v>#N/A</v>
      </c>
      <c r="AJ55" s="168" t="e">
        <f>1
*VLOOKUP(MID($B55,4,2),'[2]Free Spins Symbol'!$AD$7:$AI$8,3,0)
*VLOOKUP(MID($B55,7,2),'[2]Free Spins Symbol'!$AD$7:$AI$8,4,0)
*VLOOKUP(MID($B55,10,2),'[2]Free Spins Symbol'!$AD$7:$AI$8,5,0)
*VLOOKUP(MID($B55,13,2),'[2]Free Spins Symbol'!$AD$7:$AI$8,6,0)-AJ23</f>
        <v>#N/A</v>
      </c>
      <c r="AK55" s="169">
        <v>0</v>
      </c>
      <c r="AL55" s="168" t="e">
        <f>VLOOKUP(MID($B55,1,2),'[2]Free Spins Symbol'!$AD$7:$AI$8,2,0)
*VLOOKUP(MID($B55,4,2),'[2]Free Spins Symbol'!$AD$7:$AI$8,3,0)
*1
*VLOOKUP(MID($B55,10,2),'[2]Free Spins Symbol'!$AD$7:$AI$8,5,0)
*VLOOKUP(MID($B55,13,2),'[2]Free Spins Symbol'!$AD$7:$AI$8,6,0)-AL23</f>
        <v>#N/A</v>
      </c>
      <c r="AM55" s="169">
        <v>0</v>
      </c>
      <c r="AN55" s="168" t="e">
        <f>VLOOKUP(MID($B55,1,2),'[2]Free Spins Symbol'!$AD$7:$AI$8,2,0)
*VLOOKUP(MID($B55,4,2),'[2]Free Spins Symbol'!$AD$7:$AI$8,3,0)
*VLOOKUP(MID($B55,7,2),'[2]Free Spins Symbol'!$AD$7:$AI$8,4,0)
*VLOOKUP(MID($B55,10,2),'[2]Free Spins Symbol'!$AD$7:$AI$8,5,0)
*1-AN23</f>
        <v>#N/A</v>
      </c>
      <c r="AO55" s="169">
        <v>0</v>
      </c>
      <c r="AP55" s="168" t="e">
        <f>1
*VLOOKUP(MID($B55,4,2),'[2]Free Spins Symbol'!$AD$7:$AI$8,3,0)
*1
*VLOOKUP(MID($B55,10,2),'[2]Free Spins Symbol'!$AD$7:$AI$8,5,0)
*VLOOKUP(MID($B55,13,2),'[2]Free Spins Symbol'!$AD$7:$AI$8,6,0)-AP23</f>
        <v>#N/A</v>
      </c>
      <c r="AQ55" s="169">
        <v>0</v>
      </c>
      <c r="AR55" s="168" t="e">
        <f>1
*VLOOKUP(MID($B55,4,2),'[2]Free Spins Symbol'!$AD$7:$AI$8,3,0)
*VLOOKUP(MID($B55,7,2),'[2]Free Spins Symbol'!$AD$7:$AI$8,4,0)
*VLOOKUP(MID($B55,10,2),'[2]Free Spins Symbol'!$AD$7:$AI$8,5,0)
*1-AR23</f>
        <v>#N/A</v>
      </c>
      <c r="AS55" s="169">
        <v>0</v>
      </c>
      <c r="AT55" s="169">
        <v>0</v>
      </c>
      <c r="AU55" s="169">
        <v>0</v>
      </c>
      <c r="AV55" s="169">
        <v>0</v>
      </c>
      <c r="AW55" s="168" t="e">
        <f>VLOOKUP(MID($B55,1,2),'[2]Free Spins Symbol'!$AD$7:$AI$8,2,0)
*VLOOKUP(MID($B55,4,2),'[2]Free Spins Symbol'!$AD$7:$AI$8,3,0)
*1
*VLOOKUP(MID($B55,10,2),'[2]Free Spins Symbol'!$AD$7:$AI$8,5,0)
*1-AW23</f>
        <v>#N/A</v>
      </c>
      <c r="AX55" s="169">
        <v>0</v>
      </c>
      <c r="AY55" s="169">
        <v>0</v>
      </c>
      <c r="AZ55" s="169">
        <v>0</v>
      </c>
      <c r="BA55" s="169">
        <v>0</v>
      </c>
      <c r="BB55" s="169">
        <v>0</v>
      </c>
      <c r="BC55" s="169">
        <v>0</v>
      </c>
      <c r="BD55" s="168" t="e">
        <f>1
*VLOOKUP(MID($B55,4,2),'[2]Free Spins Symbol'!$AD$7:$AI$8,3,0)
*1
*VLOOKUP(MID($B55,10,2),'[2]Free Spins Symbol'!$AD$7:$AI$8,5,0)
*1-BD23</f>
        <v>#N/A</v>
      </c>
      <c r="BE55" s="169">
        <v>0</v>
      </c>
      <c r="BF55" s="169">
        <v>0</v>
      </c>
      <c r="BG55" s="169">
        <v>0</v>
      </c>
      <c r="BH55" s="169">
        <v>0</v>
      </c>
      <c r="BI55" s="169">
        <v>0</v>
      </c>
      <c r="BJ55" s="169">
        <v>0</v>
      </c>
      <c r="BK55" s="169">
        <v>0</v>
      </c>
      <c r="BL55" s="169">
        <v>0</v>
      </c>
      <c r="BM55" s="169">
        <v>0</v>
      </c>
      <c r="BN55" s="170">
        <v>0</v>
      </c>
    </row>
    <row r="56" spans="1:66" x14ac:dyDescent="0.3">
      <c r="A56" s="39"/>
      <c r="B56" s="192">
        <f>'[2]Held Stacked Wild'!A858</f>
        <v>0</v>
      </c>
      <c r="C56" s="189">
        <v>0</v>
      </c>
      <c r="D56" s="190">
        <v>0</v>
      </c>
      <c r="E56" s="190">
        <v>0</v>
      </c>
      <c r="F56" s="190">
        <v>0</v>
      </c>
      <c r="G56" s="190">
        <v>0</v>
      </c>
      <c r="H56" s="190">
        <v>0</v>
      </c>
      <c r="I56" s="190">
        <v>0</v>
      </c>
      <c r="J56" s="190">
        <v>0</v>
      </c>
      <c r="K56" s="190">
        <v>0</v>
      </c>
      <c r="L56" s="190">
        <v>0</v>
      </c>
      <c r="M56" s="190">
        <v>0</v>
      </c>
      <c r="N56" s="190">
        <v>0</v>
      </c>
      <c r="O56" s="190">
        <v>0</v>
      </c>
      <c r="P56" s="190">
        <v>0</v>
      </c>
      <c r="Q56" s="190">
        <v>0</v>
      </c>
      <c r="R56" s="190">
        <v>0</v>
      </c>
      <c r="S56" s="190">
        <v>0</v>
      </c>
      <c r="T56" s="190">
        <v>0</v>
      </c>
      <c r="U56" s="190">
        <v>0</v>
      </c>
      <c r="V56" s="190">
        <v>0</v>
      </c>
      <c r="W56" s="190">
        <v>0</v>
      </c>
      <c r="X56" s="190">
        <v>0</v>
      </c>
      <c r="Y56" s="190">
        <v>0</v>
      </c>
      <c r="Z56" s="190">
        <v>0</v>
      </c>
      <c r="AA56" s="190">
        <v>0</v>
      </c>
      <c r="AB56" s="190">
        <v>0</v>
      </c>
      <c r="AC56" s="190">
        <v>0</v>
      </c>
      <c r="AD56" s="190">
        <v>0</v>
      </c>
      <c r="AE56" s="190">
        <v>0</v>
      </c>
      <c r="AF56" s="190">
        <v>0</v>
      </c>
      <c r="AG56" s="190">
        <v>0</v>
      </c>
      <c r="AH56" s="191">
        <v>0</v>
      </c>
      <c r="AI56" s="171" t="e">
        <f>VLOOKUP(MID($B56,1,2),'[2]Free Spins Symbol'!$AD$7:$AI$8,2,0)
*VLOOKUP(MID($B56,4,2),'[2]Free Spins Symbol'!$AD$7:$AI$8,3,0)
*VLOOKUP(MID($B56,7,2),'[2]Free Spins Symbol'!$AD$7:$AI$8,4,0)
*VLOOKUP(MID($B56,10,2),'[2]Free Spins Symbol'!$AD$7:$AI$8,5,0)
*VLOOKUP(MID($B56,13,2),'[2]Free Spins Symbol'!$AD$7:$AI$8,6,0)-AI24</f>
        <v>#N/A</v>
      </c>
      <c r="AJ56" s="169">
        <v>0</v>
      </c>
      <c r="AK56" s="168" t="e">
        <f>VLOOKUP(MID($B56,1,2),'[2]Free Spins Symbol'!$AD$7:$AI$8,2,0)
*1
*VLOOKUP(MID($B56,7,2),'[2]Free Spins Symbol'!$AD$7:$AI$8,4,0)
*VLOOKUP(MID($B56,10,2),'[2]Free Spins Symbol'!$AD$7:$AI$8,5,0)
*VLOOKUP(MID($B56,13,2),'[2]Free Spins Symbol'!$AD$7:$AI$8,6,0)-AK24</f>
        <v>#N/A</v>
      </c>
      <c r="AL56" s="168" t="e">
        <f>VLOOKUP(MID($B56,1,2),'[2]Free Spins Symbol'!$AD$7:$AI$8,2,0)
*VLOOKUP(MID($B56,4,2),'[2]Free Spins Symbol'!$AD$7:$AI$8,3,0)
*1
*VLOOKUP(MID($B56,10,2),'[2]Free Spins Symbol'!$AD$7:$AI$8,5,0)
*VLOOKUP(MID($B56,13,2),'[2]Free Spins Symbol'!$AD$7:$AI$8,6,0)-AL24</f>
        <v>#N/A</v>
      </c>
      <c r="AM56" s="169">
        <v>0</v>
      </c>
      <c r="AN56" s="168" t="e">
        <f>VLOOKUP(MID($B56,1,2),'[2]Free Spins Symbol'!$AD$7:$AI$8,2,0)
*VLOOKUP(MID($B56,4,2),'[2]Free Spins Symbol'!$AD$7:$AI$8,3,0)
*VLOOKUP(MID($B56,7,2),'[2]Free Spins Symbol'!$AD$7:$AI$8,4,0)
*VLOOKUP(MID($B56,10,2),'[2]Free Spins Symbol'!$AD$7:$AI$8,5,0)
*1-AN24</f>
        <v>#N/A</v>
      </c>
      <c r="AO56" s="169">
        <v>0</v>
      </c>
      <c r="AP56" s="169">
        <v>0</v>
      </c>
      <c r="AQ56" s="169">
        <v>0</v>
      </c>
      <c r="AR56" s="169">
        <v>0</v>
      </c>
      <c r="AS56" s="168" t="e">
        <f>VLOOKUP(MID($B56,1,2),'[2]Free Spins Symbol'!$AD$7:$AI$8,2,0)
*1
*1
*VLOOKUP(MID($B56,10,2),'[2]Free Spins Symbol'!$AD$7:$AI$8,5,0)
*VLOOKUP(MID($B56,13,2),'[2]Free Spins Symbol'!$AD$7:$AI$8,6,0)-AS24</f>
        <v>#N/A</v>
      </c>
      <c r="AT56" s="169">
        <v>0</v>
      </c>
      <c r="AU56" s="168" t="e">
        <f>VLOOKUP(MID($B56,1,2),'[2]Free Spins Symbol'!$AD$7:$AI$8,2,0)
*1
*VLOOKUP(MID($B56,7,2),'[2]Free Spins Symbol'!$AD$7:$AI$8,4,0)
*VLOOKUP(MID($B56,10,2),'[2]Free Spins Symbol'!$AD$7:$AI$8,5,0)
*1-AU24</f>
        <v>#N/A</v>
      </c>
      <c r="AV56" s="169">
        <v>0</v>
      </c>
      <c r="AW56" s="168" t="e">
        <f>VLOOKUP(MID($B56,1,2),'[2]Free Spins Symbol'!$AD$7:$AI$8,2,0)
*VLOOKUP(MID($B56,4,2),'[2]Free Spins Symbol'!$AD$7:$AI$8,3,0)
*1
*VLOOKUP(MID($B56,10,2),'[2]Free Spins Symbol'!$AD$7:$AI$8,5,0)
*1-AW24</f>
        <v>#N/A</v>
      </c>
      <c r="AX56" s="169">
        <v>0</v>
      </c>
      <c r="AY56" s="169">
        <v>0</v>
      </c>
      <c r="AZ56" s="169">
        <v>0</v>
      </c>
      <c r="BA56" s="169">
        <v>0</v>
      </c>
      <c r="BB56" s="169">
        <v>0</v>
      </c>
      <c r="BC56" s="169">
        <v>0</v>
      </c>
      <c r="BD56" s="169">
        <v>0</v>
      </c>
      <c r="BE56" s="168" t="e">
        <f>VLOOKUP(MID($B56,1,2),'[2]Free Spins Symbol'!$AD$7:$AI$8,2,0)
*1
*1
*VLOOKUP(MID($B56,10,2),'[2]Free Spins Symbol'!$AD$7:$AI$8,5,0)
*1-BE24</f>
        <v>#N/A</v>
      </c>
      <c r="BF56" s="169">
        <v>0</v>
      </c>
      <c r="BG56" s="169">
        <v>0</v>
      </c>
      <c r="BH56" s="169">
        <v>0</v>
      </c>
      <c r="BI56" s="169">
        <v>0</v>
      </c>
      <c r="BJ56" s="169">
        <v>0</v>
      </c>
      <c r="BK56" s="169">
        <v>0</v>
      </c>
      <c r="BL56" s="169">
        <v>0</v>
      </c>
      <c r="BM56" s="169">
        <v>0</v>
      </c>
      <c r="BN56" s="170">
        <v>0</v>
      </c>
    </row>
    <row r="57" spans="1:66" x14ac:dyDescent="0.3">
      <c r="A57" s="39"/>
      <c r="B57" s="192">
        <f>'[2]Held Stacked Wild'!A897</f>
        <v>0</v>
      </c>
      <c r="C57" s="189">
        <v>0</v>
      </c>
      <c r="D57" s="190">
        <v>0</v>
      </c>
      <c r="E57" s="190">
        <v>0</v>
      </c>
      <c r="F57" s="190">
        <v>0</v>
      </c>
      <c r="G57" s="190">
        <v>0</v>
      </c>
      <c r="H57" s="190">
        <v>0</v>
      </c>
      <c r="I57" s="190">
        <v>0</v>
      </c>
      <c r="J57" s="190">
        <v>0</v>
      </c>
      <c r="K57" s="190">
        <v>0</v>
      </c>
      <c r="L57" s="190">
        <v>0</v>
      </c>
      <c r="M57" s="190">
        <v>0</v>
      </c>
      <c r="N57" s="190">
        <v>0</v>
      </c>
      <c r="O57" s="190">
        <v>0</v>
      </c>
      <c r="P57" s="190">
        <v>0</v>
      </c>
      <c r="Q57" s="190">
        <v>0</v>
      </c>
      <c r="R57" s="190">
        <v>0</v>
      </c>
      <c r="S57" s="190">
        <v>0</v>
      </c>
      <c r="T57" s="190">
        <v>0</v>
      </c>
      <c r="U57" s="190">
        <v>0</v>
      </c>
      <c r="V57" s="190">
        <v>0</v>
      </c>
      <c r="W57" s="190">
        <v>0</v>
      </c>
      <c r="X57" s="190">
        <v>0</v>
      </c>
      <c r="Y57" s="190">
        <v>0</v>
      </c>
      <c r="Z57" s="190">
        <v>0</v>
      </c>
      <c r="AA57" s="190">
        <v>0</v>
      </c>
      <c r="AB57" s="190">
        <v>0</v>
      </c>
      <c r="AC57" s="190">
        <v>0</v>
      </c>
      <c r="AD57" s="190">
        <v>0</v>
      </c>
      <c r="AE57" s="190">
        <v>0</v>
      </c>
      <c r="AF57" s="190">
        <v>0</v>
      </c>
      <c r="AG57" s="190">
        <v>0</v>
      </c>
      <c r="AH57" s="191">
        <v>0</v>
      </c>
      <c r="AI57" s="171" t="e">
        <f>VLOOKUP(MID($B57,1,2),'[2]Free Spins Symbol'!$AD$7:$AI$8,2,0)
*VLOOKUP(MID($B57,4,2),'[2]Free Spins Symbol'!$AD$7:$AI$8,3,0)
*VLOOKUP(MID($B57,7,2),'[2]Free Spins Symbol'!$AD$7:$AI$8,4,0)
*VLOOKUP(MID($B57,10,2),'[2]Free Spins Symbol'!$AD$7:$AI$8,5,0)
*VLOOKUP(MID($B57,13,2),'[2]Free Spins Symbol'!$AD$7:$AI$8,6,0)-AI25</f>
        <v>#N/A</v>
      </c>
      <c r="AJ57" s="168" t="e">
        <f>1
*VLOOKUP(MID($B57,4,2),'[2]Free Spins Symbol'!$AD$7:$AI$8,3,0)
*VLOOKUP(MID($B57,7,2),'[2]Free Spins Symbol'!$AD$7:$AI$8,4,0)
*VLOOKUP(MID($B57,10,2),'[2]Free Spins Symbol'!$AD$7:$AI$8,5,0)
*VLOOKUP(MID($B57,13,2),'[2]Free Spins Symbol'!$AD$7:$AI$8,6,0)-AJ25</f>
        <v>#N/A</v>
      </c>
      <c r="AK57" s="169">
        <v>0</v>
      </c>
      <c r="AL57" s="169">
        <v>0</v>
      </c>
      <c r="AM57" s="168" t="e">
        <f>VLOOKUP(MID($B57,1,2),'[2]Free Spins Symbol'!$AD$7:$AI$8,2,0)
*VLOOKUP(MID($B57,4,2),'[2]Free Spins Symbol'!$AD$7:$AI$8,3,0)
*VLOOKUP(MID($B57,7,2),'[2]Free Spins Symbol'!$AD$7:$AI$8,4,0)
*1
*VLOOKUP(MID($B57,13,2),'[2]Free Spins Symbol'!$AD$7:$AI$8,6,0)-AM25</f>
        <v>#N/A</v>
      </c>
      <c r="AN57" s="168" t="e">
        <f>VLOOKUP(MID($B57,1,2),'[2]Free Spins Symbol'!$AD$7:$AI$8,2,0)
*VLOOKUP(MID($B57,4,2),'[2]Free Spins Symbol'!$AD$7:$AI$8,3,0)
*VLOOKUP(MID($B57,7,2),'[2]Free Spins Symbol'!$AD$7:$AI$8,4,0)
*VLOOKUP(MID($B57,10,2),'[2]Free Spins Symbol'!$AD$7:$AI$8,5,0)
*1-AN25</f>
        <v>#N/A</v>
      </c>
      <c r="AO57" s="169">
        <v>0</v>
      </c>
      <c r="AP57" s="169">
        <v>0</v>
      </c>
      <c r="AQ57" s="168" t="e">
        <f>1
*VLOOKUP(MID($B57,4,2),'[2]Free Spins Symbol'!$AD$7:$AI$8,3,0)
*VLOOKUP(MID($B57,7,2),'[2]Free Spins Symbol'!$AD$7:$AI$8,4,0)
*1
*VLOOKUP(MID($B57,13,2),'[2]Free Spins Symbol'!$AD$7:$AI$8,6,0)-AQ25</f>
        <v>#N/A</v>
      </c>
      <c r="AR57" s="168" t="e">
        <f>1
*VLOOKUP(MID($B57,4,2),'[2]Free Spins Symbol'!$AD$7:$AI$8,3,0)
*VLOOKUP(MID($B57,7,2),'[2]Free Spins Symbol'!$AD$7:$AI$8,4,0)
*VLOOKUP(MID($B57,10,2),'[2]Free Spins Symbol'!$AD$7:$AI$8,5,0)
*1-AR25</f>
        <v>#N/A</v>
      </c>
      <c r="AS57" s="169">
        <v>0</v>
      </c>
      <c r="AT57" s="169">
        <v>0</v>
      </c>
      <c r="AU57" s="169">
        <v>0</v>
      </c>
      <c r="AV57" s="169">
        <v>0</v>
      </c>
      <c r="AW57" s="169">
        <v>0</v>
      </c>
      <c r="AX57" s="168" t="e">
        <f>VLOOKUP(MID($B57,1,2),'[2]Free Spins Symbol'!$AD$7:$AI$8,2,0)
*VLOOKUP(MID($B57,4,2),'[2]Free Spins Symbol'!$AD$7:$AI$8,3,0)
*VLOOKUP(MID($B57,7,2),'[2]Free Spins Symbol'!$AD$7:$AI$8,4,0)
*1
*1-AX25</f>
        <v>#N/A</v>
      </c>
      <c r="AY57" s="169">
        <v>0</v>
      </c>
      <c r="AZ57" s="169">
        <v>0</v>
      </c>
      <c r="BA57" s="169">
        <v>0</v>
      </c>
      <c r="BB57" s="169">
        <v>0</v>
      </c>
      <c r="BC57" s="169">
        <v>0</v>
      </c>
      <c r="BD57" s="169">
        <v>0</v>
      </c>
      <c r="BE57" s="169">
        <v>0</v>
      </c>
      <c r="BF57" s="168" t="e">
        <f>1
*VLOOKUP(MID($B57,4,2),'[2]Free Spins Symbol'!$AD$7:$AI$8,3,0)
*VLOOKUP(MID($B57,7,2),'[2]Free Spins Symbol'!$AD$7:$AI$8,4,0)
*1
*1-BF25</f>
        <v>#N/A</v>
      </c>
      <c r="BG57" s="169">
        <v>0</v>
      </c>
      <c r="BH57" s="169">
        <v>0</v>
      </c>
      <c r="BI57" s="169">
        <v>0</v>
      </c>
      <c r="BJ57" s="169">
        <v>0</v>
      </c>
      <c r="BK57" s="169">
        <v>0</v>
      </c>
      <c r="BL57" s="169">
        <v>0</v>
      </c>
      <c r="BM57" s="169">
        <v>0</v>
      </c>
      <c r="BN57" s="170">
        <v>0</v>
      </c>
    </row>
    <row r="58" spans="1:66" x14ac:dyDescent="0.3">
      <c r="A58" s="39"/>
      <c r="B58" s="192">
        <f>'[2]Held Stacked Wild'!A936</f>
        <v>0</v>
      </c>
      <c r="C58" s="189">
        <v>0</v>
      </c>
      <c r="D58" s="190">
        <v>0</v>
      </c>
      <c r="E58" s="190">
        <v>0</v>
      </c>
      <c r="F58" s="190">
        <v>0</v>
      </c>
      <c r="G58" s="190">
        <v>0</v>
      </c>
      <c r="H58" s="190">
        <v>0</v>
      </c>
      <c r="I58" s="190">
        <v>0</v>
      </c>
      <c r="J58" s="190">
        <v>0</v>
      </c>
      <c r="K58" s="190">
        <v>0</v>
      </c>
      <c r="L58" s="190">
        <v>0</v>
      </c>
      <c r="M58" s="190">
        <v>0</v>
      </c>
      <c r="N58" s="190">
        <v>0</v>
      </c>
      <c r="O58" s="190">
        <v>0</v>
      </c>
      <c r="P58" s="190">
        <v>0</v>
      </c>
      <c r="Q58" s="190">
        <v>0</v>
      </c>
      <c r="R58" s="190">
        <v>0</v>
      </c>
      <c r="S58" s="190">
        <v>0</v>
      </c>
      <c r="T58" s="190">
        <v>0</v>
      </c>
      <c r="U58" s="190">
        <v>0</v>
      </c>
      <c r="V58" s="190">
        <v>0</v>
      </c>
      <c r="W58" s="190">
        <v>0</v>
      </c>
      <c r="X58" s="190">
        <v>0</v>
      </c>
      <c r="Y58" s="190">
        <v>0</v>
      </c>
      <c r="Z58" s="190">
        <v>0</v>
      </c>
      <c r="AA58" s="190">
        <v>0</v>
      </c>
      <c r="AB58" s="190">
        <v>0</v>
      </c>
      <c r="AC58" s="190">
        <v>0</v>
      </c>
      <c r="AD58" s="190">
        <v>0</v>
      </c>
      <c r="AE58" s="190">
        <v>0</v>
      </c>
      <c r="AF58" s="190">
        <v>0</v>
      </c>
      <c r="AG58" s="190">
        <v>0</v>
      </c>
      <c r="AH58" s="191">
        <v>0</v>
      </c>
      <c r="AI58" s="171" t="e">
        <f>VLOOKUP(MID($B58,1,2),'[2]Free Spins Symbol'!$AD$7:$AI$8,2,0)
*VLOOKUP(MID($B58,4,2),'[2]Free Spins Symbol'!$AD$7:$AI$8,3,0)
*VLOOKUP(MID($B58,7,2),'[2]Free Spins Symbol'!$AD$7:$AI$8,4,0)
*VLOOKUP(MID($B58,10,2),'[2]Free Spins Symbol'!$AD$7:$AI$8,5,0)
*VLOOKUP(MID($B58,13,2),'[2]Free Spins Symbol'!$AD$7:$AI$8,6,0)-AI26</f>
        <v>#N/A</v>
      </c>
      <c r="AJ58" s="169">
        <v>0</v>
      </c>
      <c r="AK58" s="168" t="e">
        <f>VLOOKUP(MID($B58,1,2),'[2]Free Spins Symbol'!$AD$7:$AI$8,2,0)
*1
*VLOOKUP(MID($B58,7,2),'[2]Free Spins Symbol'!$AD$7:$AI$8,4,0)
*VLOOKUP(MID($B58,10,2),'[2]Free Spins Symbol'!$AD$7:$AI$8,5,0)
*VLOOKUP(MID($B58,13,2),'[2]Free Spins Symbol'!$AD$7:$AI$8,6,0)-AK26</f>
        <v>#N/A</v>
      </c>
      <c r="AL58" s="169">
        <v>0</v>
      </c>
      <c r="AM58" s="168" t="e">
        <f>VLOOKUP(MID($B58,1,2),'[2]Free Spins Symbol'!$AD$7:$AI$8,2,0)
*VLOOKUP(MID($B58,4,2),'[2]Free Spins Symbol'!$AD$7:$AI$8,3,0)
*VLOOKUP(MID($B58,7,2),'[2]Free Spins Symbol'!$AD$7:$AI$8,4,0)
*1
*VLOOKUP(MID($B58,13,2),'[2]Free Spins Symbol'!$AD$7:$AI$8,6,0)-AM26</f>
        <v>#N/A</v>
      </c>
      <c r="AN58" s="168" t="e">
        <f>VLOOKUP(MID($B58,1,2),'[2]Free Spins Symbol'!$AD$7:$AI$8,2,0)
*VLOOKUP(MID($B58,4,2),'[2]Free Spins Symbol'!$AD$7:$AI$8,3,0)
*VLOOKUP(MID($B58,7,2),'[2]Free Spins Symbol'!$AD$7:$AI$8,4,0)
*VLOOKUP(MID($B58,10,2),'[2]Free Spins Symbol'!$AD$7:$AI$8,5,0)
*1-AN26</f>
        <v>#N/A</v>
      </c>
      <c r="AO58" s="169">
        <v>0</v>
      </c>
      <c r="AP58" s="169">
        <v>0</v>
      </c>
      <c r="AQ58" s="169">
        <v>0</v>
      </c>
      <c r="AR58" s="169">
        <v>0</v>
      </c>
      <c r="AS58" s="169">
        <v>0</v>
      </c>
      <c r="AT58" s="168" t="e">
        <f>VLOOKUP(MID($B58,1,2),'[2]Free Spins Symbol'!$AD$7:$AI$8,2,0)
*1
*VLOOKUP(MID($B58,7,2),'[2]Free Spins Symbol'!$AD$7:$AI$8,4,0)
*1
*VLOOKUP(MID($B58,13,2),'[2]Free Spins Symbol'!$AD$7:$AI$8,6,0)-AT26</f>
        <v>#N/A</v>
      </c>
      <c r="AU58" s="168" t="e">
        <f>VLOOKUP(MID($B58,1,2),'[2]Free Spins Symbol'!$AD$7:$AI$8,2,0)
*1
*VLOOKUP(MID($B58,7,2),'[2]Free Spins Symbol'!$AD$7:$AI$8,4,0)
*VLOOKUP(MID($B58,10,2),'[2]Free Spins Symbol'!$AD$7:$AI$8,5,0)
*1-AU26</f>
        <v>#N/A</v>
      </c>
      <c r="AV58" s="169">
        <v>0</v>
      </c>
      <c r="AW58" s="169">
        <v>0</v>
      </c>
      <c r="AX58" s="168" t="e">
        <f>VLOOKUP(MID($B58,1,2),'[2]Free Spins Symbol'!$AD$7:$AI$8,2,0)
*VLOOKUP(MID($B58,4,2),'[2]Free Spins Symbol'!$AD$7:$AI$8,3,0)
*VLOOKUP(MID($B58,7,2),'[2]Free Spins Symbol'!$AD$7:$AI$8,4,0)
*1
*1-AX26</f>
        <v>#N/A</v>
      </c>
      <c r="AY58" s="169">
        <v>0</v>
      </c>
      <c r="AZ58" s="169">
        <v>0</v>
      </c>
      <c r="BA58" s="169">
        <v>0</v>
      </c>
      <c r="BB58" s="169">
        <v>0</v>
      </c>
      <c r="BC58" s="169">
        <v>0</v>
      </c>
      <c r="BD58" s="169">
        <v>0</v>
      </c>
      <c r="BE58" s="169">
        <v>0</v>
      </c>
      <c r="BF58" s="169">
        <v>0</v>
      </c>
      <c r="BG58" s="168" t="e">
        <f>VLOOKUP(MID($B58,1,2),'[2]Free Spins Symbol'!$AD$7:$AI$8,2,0)
*1
*VLOOKUP(MID($B58,7,2),'[2]Free Spins Symbol'!$AD$7:$AI$8,4,0)
*1
*1-BG26</f>
        <v>#N/A</v>
      </c>
      <c r="BH58" s="169">
        <v>0</v>
      </c>
      <c r="BI58" s="169">
        <v>0</v>
      </c>
      <c r="BJ58" s="169">
        <v>0</v>
      </c>
      <c r="BK58" s="169">
        <v>0</v>
      </c>
      <c r="BL58" s="169">
        <v>0</v>
      </c>
      <c r="BM58" s="169">
        <v>0</v>
      </c>
      <c r="BN58" s="170">
        <v>0</v>
      </c>
    </row>
    <row r="59" spans="1:66" x14ac:dyDescent="0.3">
      <c r="A59" s="39"/>
      <c r="B59" s="192">
        <f>'[2]Held Stacked Wild'!A975</f>
        <v>0</v>
      </c>
      <c r="C59" s="189">
        <v>0</v>
      </c>
      <c r="D59" s="190">
        <v>0</v>
      </c>
      <c r="E59" s="190">
        <v>0</v>
      </c>
      <c r="F59" s="190">
        <v>0</v>
      </c>
      <c r="G59" s="190">
        <v>0</v>
      </c>
      <c r="H59" s="190">
        <v>0</v>
      </c>
      <c r="I59" s="190">
        <v>0</v>
      </c>
      <c r="J59" s="190">
        <v>0</v>
      </c>
      <c r="K59" s="190">
        <v>0</v>
      </c>
      <c r="L59" s="190">
        <v>0</v>
      </c>
      <c r="M59" s="190">
        <v>0</v>
      </c>
      <c r="N59" s="190">
        <v>0</v>
      </c>
      <c r="O59" s="190">
        <v>0</v>
      </c>
      <c r="P59" s="190">
        <v>0</v>
      </c>
      <c r="Q59" s="190">
        <v>0</v>
      </c>
      <c r="R59" s="190">
        <v>0</v>
      </c>
      <c r="S59" s="190">
        <v>0</v>
      </c>
      <c r="T59" s="190">
        <v>0</v>
      </c>
      <c r="U59" s="190">
        <v>0</v>
      </c>
      <c r="V59" s="190">
        <v>0</v>
      </c>
      <c r="W59" s="190">
        <v>0</v>
      </c>
      <c r="X59" s="190">
        <v>0</v>
      </c>
      <c r="Y59" s="190">
        <v>0</v>
      </c>
      <c r="Z59" s="190">
        <v>0</v>
      </c>
      <c r="AA59" s="190">
        <v>0</v>
      </c>
      <c r="AB59" s="190">
        <v>0</v>
      </c>
      <c r="AC59" s="190">
        <v>0</v>
      </c>
      <c r="AD59" s="190">
        <v>0</v>
      </c>
      <c r="AE59" s="190">
        <v>0</v>
      </c>
      <c r="AF59" s="190">
        <v>0</v>
      </c>
      <c r="AG59" s="190">
        <v>0</v>
      </c>
      <c r="AH59" s="191">
        <v>0</v>
      </c>
      <c r="AI59" s="171" t="e">
        <f>VLOOKUP(MID($B59,1,2),'[2]Free Spins Symbol'!$AD$7:$AI$8,2,0)
*VLOOKUP(MID($B59,4,2),'[2]Free Spins Symbol'!$AD$7:$AI$8,3,0)
*VLOOKUP(MID($B59,7,2),'[2]Free Spins Symbol'!$AD$7:$AI$8,4,0)
*VLOOKUP(MID($B59,10,2),'[2]Free Spins Symbol'!$AD$7:$AI$8,5,0)
*VLOOKUP(MID($B59,13,2),'[2]Free Spins Symbol'!$AD$7:$AI$8,6,0)-AI27</f>
        <v>#N/A</v>
      </c>
      <c r="AJ59" s="169">
        <v>0</v>
      </c>
      <c r="AK59" s="169">
        <v>0</v>
      </c>
      <c r="AL59" s="168" t="e">
        <f>VLOOKUP(MID($B59,1,2),'[2]Free Spins Symbol'!$AD$7:$AI$8,2,0)
*VLOOKUP(MID($B59,4,2),'[2]Free Spins Symbol'!$AD$7:$AI$8,3,0)
*1
*VLOOKUP(MID($B59,10,2),'[2]Free Spins Symbol'!$AD$7:$AI$8,5,0)
*VLOOKUP(MID($B59,13,2),'[2]Free Spins Symbol'!$AD$7:$AI$8,6,0)-AL27</f>
        <v>#N/A</v>
      </c>
      <c r="AM59" s="168" t="e">
        <f>VLOOKUP(MID($B59,1,2),'[2]Free Spins Symbol'!$AD$7:$AI$8,2,0)
*VLOOKUP(MID($B59,4,2),'[2]Free Spins Symbol'!$AD$7:$AI$8,3,0)
*VLOOKUP(MID($B59,7,2),'[2]Free Spins Symbol'!$AD$7:$AI$8,4,0)
*1
*VLOOKUP(MID($B59,13,2),'[2]Free Spins Symbol'!$AD$7:$AI$8,6,0)-AM27</f>
        <v>#N/A</v>
      </c>
      <c r="AN59" s="168" t="e">
        <f>VLOOKUP(MID($B59,1,2),'[2]Free Spins Symbol'!$AD$7:$AI$8,2,0)
*VLOOKUP(MID($B59,4,2),'[2]Free Spins Symbol'!$AD$7:$AI$8,3,0)
*VLOOKUP(MID($B59,7,2),'[2]Free Spins Symbol'!$AD$7:$AI$8,4,0)
*VLOOKUP(MID($B59,10,2),'[2]Free Spins Symbol'!$AD$7:$AI$8,5,0)
*1-AN27</f>
        <v>#N/A</v>
      </c>
      <c r="AO59" s="169">
        <v>0</v>
      </c>
      <c r="AP59" s="169">
        <v>0</v>
      </c>
      <c r="AQ59" s="169">
        <v>0</v>
      </c>
      <c r="AR59" s="169">
        <v>0</v>
      </c>
      <c r="AS59" s="169">
        <v>0</v>
      </c>
      <c r="AT59" s="169">
        <v>0</v>
      </c>
      <c r="AU59" s="169">
        <v>0</v>
      </c>
      <c r="AV59" s="168" t="e">
        <f>VLOOKUP(MID($B59,1,2),'[2]Free Spins Symbol'!$AD$7:$AI$8,2,0)
*VLOOKUP(MID($B59,4,2),'[2]Free Spins Symbol'!$AD$7:$AI$8,3,0)
*1
*1
*VLOOKUP(MID($B59,13,2),'[2]Free Spins Symbol'!$AD$7:$AI$8,6,0)-AV27</f>
        <v>#N/A</v>
      </c>
      <c r="AW59" s="168" t="e">
        <f>VLOOKUP(MID($B59,1,2),'[2]Free Spins Symbol'!$AD$7:$AI$8,2,0)
*VLOOKUP(MID($B59,4,2),'[2]Free Spins Symbol'!$AD$7:$AI$8,3,0)
*1
*VLOOKUP(MID($B59,10,2),'[2]Free Spins Symbol'!$AD$7:$AI$8,5,0)
*1-AW27</f>
        <v>#N/A</v>
      </c>
      <c r="AX59" s="168" t="e">
        <f>VLOOKUP(MID($B59,1,2),'[2]Free Spins Symbol'!$AD$7:$AI$8,2,0)
*VLOOKUP(MID($B59,4,2),'[2]Free Spins Symbol'!$AD$7:$AI$8,3,0)
*VLOOKUP(MID($B59,7,2),'[2]Free Spins Symbol'!$AD$7:$AI$8,4,0)
*1
*1-AX27</f>
        <v>#N/A</v>
      </c>
      <c r="AY59" s="169">
        <v>0</v>
      </c>
      <c r="AZ59" s="169">
        <v>0</v>
      </c>
      <c r="BA59" s="169">
        <v>0</v>
      </c>
      <c r="BB59" s="169">
        <v>0</v>
      </c>
      <c r="BC59" s="169">
        <v>0</v>
      </c>
      <c r="BD59" s="169">
        <v>0</v>
      </c>
      <c r="BE59" s="169">
        <v>0</v>
      </c>
      <c r="BF59" s="169">
        <v>0</v>
      </c>
      <c r="BG59" s="169">
        <v>0</v>
      </c>
      <c r="BH59" s="168" t="e">
        <f>VLOOKUP(MID($B59,1,2),'[2]Free Spins Symbol'!$AD$7:$AI$8,2,0)
*VLOOKUP(MID($B59,4,2),'[2]Free Spins Symbol'!$AD$7:$AI$8,3,0)
*1
*1
*1-BH27</f>
        <v>#N/A</v>
      </c>
      <c r="BI59" s="169">
        <v>0</v>
      </c>
      <c r="BJ59" s="169">
        <v>0</v>
      </c>
      <c r="BK59" s="169">
        <v>0</v>
      </c>
      <c r="BL59" s="169">
        <v>0</v>
      </c>
      <c r="BM59" s="169">
        <v>0</v>
      </c>
      <c r="BN59" s="170">
        <v>0</v>
      </c>
    </row>
    <row r="60" spans="1:66" x14ac:dyDescent="0.3">
      <c r="A60" s="39"/>
      <c r="B60" s="192">
        <f>'[2]Held Stacked Wild'!A1014</f>
        <v>0</v>
      </c>
      <c r="C60" s="189">
        <v>0</v>
      </c>
      <c r="D60" s="190">
        <v>0</v>
      </c>
      <c r="E60" s="190">
        <v>0</v>
      </c>
      <c r="F60" s="190">
        <v>0</v>
      </c>
      <c r="G60" s="190">
        <v>0</v>
      </c>
      <c r="H60" s="190">
        <v>0</v>
      </c>
      <c r="I60" s="190">
        <v>0</v>
      </c>
      <c r="J60" s="190">
        <v>0</v>
      </c>
      <c r="K60" s="190">
        <v>0</v>
      </c>
      <c r="L60" s="190">
        <v>0</v>
      </c>
      <c r="M60" s="190">
        <v>0</v>
      </c>
      <c r="N60" s="190">
        <v>0</v>
      </c>
      <c r="O60" s="190">
        <v>0</v>
      </c>
      <c r="P60" s="190">
        <v>0</v>
      </c>
      <c r="Q60" s="190">
        <v>0</v>
      </c>
      <c r="R60" s="190">
        <v>0</v>
      </c>
      <c r="S60" s="190">
        <v>0</v>
      </c>
      <c r="T60" s="190">
        <v>0</v>
      </c>
      <c r="U60" s="190">
        <v>0</v>
      </c>
      <c r="V60" s="190">
        <v>0</v>
      </c>
      <c r="W60" s="190">
        <v>0</v>
      </c>
      <c r="X60" s="190">
        <v>0</v>
      </c>
      <c r="Y60" s="190">
        <v>0</v>
      </c>
      <c r="Z60" s="190">
        <v>0</v>
      </c>
      <c r="AA60" s="190">
        <v>0</v>
      </c>
      <c r="AB60" s="190">
        <v>0</v>
      </c>
      <c r="AC60" s="190">
        <v>0</v>
      </c>
      <c r="AD60" s="190">
        <v>0</v>
      </c>
      <c r="AE60" s="190">
        <v>0</v>
      </c>
      <c r="AF60" s="190">
        <v>0</v>
      </c>
      <c r="AG60" s="190">
        <v>0</v>
      </c>
      <c r="AH60" s="191">
        <v>0</v>
      </c>
      <c r="AI60" s="171" t="e">
        <f>VLOOKUP(MID($B60,1,2),'[2]Free Spins Symbol'!$AD$7:$AI$8,2,0)
*VLOOKUP(MID($B60,4,2),'[2]Free Spins Symbol'!$AD$7:$AI$8,3,0)
*VLOOKUP(MID($B60,7,2),'[2]Free Spins Symbol'!$AD$7:$AI$8,4,0)
*VLOOKUP(MID($B60,10,2),'[2]Free Spins Symbol'!$AD$7:$AI$8,5,0)
*VLOOKUP(MID($B60,13,2),'[2]Free Spins Symbol'!$AD$7:$AI$8,6,0)-AI28</f>
        <v>#N/A</v>
      </c>
      <c r="AJ60" s="168" t="e">
        <f>1
*VLOOKUP(MID($B60,4,2),'[2]Free Spins Symbol'!$AD$7:$AI$8,3,0)
*VLOOKUP(MID($B60,7,2),'[2]Free Spins Symbol'!$AD$7:$AI$8,4,0)
*VLOOKUP(MID($B60,10,2),'[2]Free Spins Symbol'!$AD$7:$AI$8,5,0)
*VLOOKUP(MID($B60,13,2),'[2]Free Spins Symbol'!$AD$7:$AI$8,6,0)-AJ28</f>
        <v>#N/A</v>
      </c>
      <c r="AK60" s="168" t="e">
        <f>VLOOKUP(MID($B60,1,2),'[2]Free Spins Symbol'!$AD$7:$AI$8,2,0)
*1
*VLOOKUP(MID($B60,7,2),'[2]Free Spins Symbol'!$AD$7:$AI$8,4,0)
*VLOOKUP(MID($B60,10,2),'[2]Free Spins Symbol'!$AD$7:$AI$8,5,0)
*VLOOKUP(MID($B60,13,2),'[2]Free Spins Symbol'!$AD$7:$AI$8,6,0)-AK28</f>
        <v>#N/A</v>
      </c>
      <c r="AL60" s="168" t="e">
        <f>VLOOKUP(MID($B60,1,2),'[2]Free Spins Symbol'!$AD$7:$AI$8,2,0)
*VLOOKUP(MID($B60,4,2),'[2]Free Spins Symbol'!$AD$7:$AI$8,3,0)
*1
*VLOOKUP(MID($B60,10,2),'[2]Free Spins Symbol'!$AD$7:$AI$8,5,0)
*VLOOKUP(MID($B60,13,2),'[2]Free Spins Symbol'!$AD$7:$AI$8,6,0)-AL28</f>
        <v>#N/A</v>
      </c>
      <c r="AM60" s="168" t="e">
        <f>VLOOKUP(MID($B60,1,2),'[2]Free Spins Symbol'!$AD$7:$AI$8,2,0)
*VLOOKUP(MID($B60,4,2),'[2]Free Spins Symbol'!$AD$7:$AI$8,3,0)
*VLOOKUP(MID($B60,7,2),'[2]Free Spins Symbol'!$AD$7:$AI$8,4,0)
*1
*VLOOKUP(MID($B60,13,2),'[2]Free Spins Symbol'!$AD$7:$AI$8,6,0)-AM28</f>
        <v>#N/A</v>
      </c>
      <c r="AN60" s="169">
        <v>0</v>
      </c>
      <c r="AO60" s="168" t="e">
        <f>1
*1
*VLOOKUP(MID($B60,7,2),'[2]Free Spins Symbol'!$AD$7:$AI$8,4,0)
*VLOOKUP(MID($B60,10,2),'[2]Free Spins Symbol'!$AD$7:$AI$8,5,0)
*VLOOKUP(MID($B60,13,2),'[2]Free Spins Symbol'!$AD$7:$AI$8,6,0)-AO28</f>
        <v>#N/A</v>
      </c>
      <c r="AP60" s="168" t="e">
        <f>1
*VLOOKUP(MID($B60,4,2),'[2]Free Spins Symbol'!$AD$7:$AI$8,3,0)
*1
*VLOOKUP(MID($B60,10,2),'[2]Free Spins Symbol'!$AD$7:$AI$8,5,0)
*VLOOKUP(MID($B60,13,2),'[2]Free Spins Symbol'!$AD$7:$AI$8,6,0)-AP28</f>
        <v>#N/A</v>
      </c>
      <c r="AQ60" s="168" t="e">
        <f>1
*VLOOKUP(MID($B60,4,2),'[2]Free Spins Symbol'!$AD$7:$AI$8,3,0)
*VLOOKUP(MID($B60,7,2),'[2]Free Spins Symbol'!$AD$7:$AI$8,4,0)
*1
*VLOOKUP(MID($B60,13,2),'[2]Free Spins Symbol'!$AD$7:$AI$8,6,0)-AQ28</f>
        <v>#N/A</v>
      </c>
      <c r="AR60" s="169">
        <v>0</v>
      </c>
      <c r="AS60" s="168" t="e">
        <f>VLOOKUP(MID($B60,1,2),'[2]Free Spins Symbol'!$AD$7:$AI$8,2,0)
*1
*1
*VLOOKUP(MID($B60,10,2),'[2]Free Spins Symbol'!$AD$7:$AI$8,5,0)
*VLOOKUP(MID($B60,13,2),'[2]Free Spins Symbol'!$AD$7:$AI$8,6,0)-AS28</f>
        <v>#N/A</v>
      </c>
      <c r="AT60" s="168" t="e">
        <f>VLOOKUP(MID($B60,1,2),'[2]Free Spins Symbol'!$AD$7:$AI$8,2,0)
*1
*VLOOKUP(MID($B60,7,2),'[2]Free Spins Symbol'!$AD$7:$AI$8,4,0)
*1
*VLOOKUP(MID($B60,13,2),'[2]Free Spins Symbol'!$AD$7:$AI$8,6,0)-AT28</f>
        <v>#N/A</v>
      </c>
      <c r="AU60" s="169">
        <v>0</v>
      </c>
      <c r="AV60" s="168" t="e">
        <f>VLOOKUP(MID($B60,1,2),'[2]Free Spins Symbol'!$AD$7:$AI$8,2,0)
*VLOOKUP(MID($B60,4,2),'[2]Free Spins Symbol'!$AD$7:$AI$8,3,0)
*1
*1
*VLOOKUP(MID($B60,13,2),'[2]Free Spins Symbol'!$AD$7:$AI$8,6,0)-AV28</f>
        <v>#N/A</v>
      </c>
      <c r="AW60" s="169">
        <v>0</v>
      </c>
      <c r="AX60" s="169">
        <v>0</v>
      </c>
      <c r="AY60" s="168" t="e">
        <f>1
*1
*1
*VLOOKUP(MID($B60,10,2),'[2]Free Spins Symbol'!$AD$7:$AI$8,5,0)
*VLOOKUP(MID($B60,13,2),'[2]Free Spins Symbol'!$AD$7:$AI$8,6,0)-AY28</f>
        <v>#N/A</v>
      </c>
      <c r="AZ60" s="168" t="e">
        <f>1
*1
*VLOOKUP(MID($B60,7,2),'[2]Free Spins Symbol'!$AD$7:$AI$8,4,0)
*1
*VLOOKUP(MID($B60,13,2),'[2]Free Spins Symbol'!$AD$7:$AI$8,6,0)-AZ28</f>
        <v>#N/A</v>
      </c>
      <c r="BA60" s="168" t="e">
        <f>1
*VLOOKUP(MID($B60,4,2),'[2]Free Spins Symbol'!$AD$7:$AI$8,3,0)
*1
*1
*VLOOKUP(MID($B60,13,2),'[2]Free Spins Symbol'!$AD$7:$AI$8,6,0)-BA28</f>
        <v>#N/A</v>
      </c>
      <c r="BB60" s="168" t="e">
        <f>VLOOKUP(MID($B60,1,2),'[2]Free Spins Symbol'!$AD$7:$AI$8,2,0)
*1
*1
*1
*VLOOKUP(MID($B60,13,2),'[2]Free Spins Symbol'!$AD$7:$AI$8,6,0)-BB28</f>
        <v>#N/A</v>
      </c>
      <c r="BC60" s="169">
        <v>0</v>
      </c>
      <c r="BD60" s="169">
        <v>0</v>
      </c>
      <c r="BE60" s="169">
        <v>0</v>
      </c>
      <c r="BF60" s="169">
        <v>0</v>
      </c>
      <c r="BG60" s="169">
        <v>0</v>
      </c>
      <c r="BH60" s="169">
        <v>0</v>
      </c>
      <c r="BI60" s="168" t="e">
        <f>1
*1
*1
*1
*VLOOKUP(MID($B60,13,2),'[2]Free Spins Symbol'!$AD$7:$AI$8,6,0)-BI28</f>
        <v>#N/A</v>
      </c>
      <c r="BJ60" s="169">
        <v>0</v>
      </c>
      <c r="BK60" s="169">
        <v>0</v>
      </c>
      <c r="BL60" s="169">
        <v>0</v>
      </c>
      <c r="BM60" s="169">
        <v>0</v>
      </c>
      <c r="BN60" s="170">
        <v>0</v>
      </c>
    </row>
    <row r="61" spans="1:66" x14ac:dyDescent="0.3">
      <c r="A61" s="39"/>
      <c r="B61" s="192">
        <f>'[2]Held Stacked Wild'!A1053</f>
        <v>0</v>
      </c>
      <c r="C61" s="189">
        <v>0</v>
      </c>
      <c r="D61" s="190">
        <v>0</v>
      </c>
      <c r="E61" s="190">
        <v>0</v>
      </c>
      <c r="F61" s="190">
        <v>0</v>
      </c>
      <c r="G61" s="190">
        <v>0</v>
      </c>
      <c r="H61" s="190">
        <v>0</v>
      </c>
      <c r="I61" s="190">
        <v>0</v>
      </c>
      <c r="J61" s="190">
        <v>0</v>
      </c>
      <c r="K61" s="190">
        <v>0</v>
      </c>
      <c r="L61" s="190">
        <v>0</v>
      </c>
      <c r="M61" s="190">
        <v>0</v>
      </c>
      <c r="N61" s="190">
        <v>0</v>
      </c>
      <c r="O61" s="190">
        <v>0</v>
      </c>
      <c r="P61" s="190">
        <v>0</v>
      </c>
      <c r="Q61" s="190">
        <v>0</v>
      </c>
      <c r="R61" s="190">
        <v>0</v>
      </c>
      <c r="S61" s="190">
        <v>0</v>
      </c>
      <c r="T61" s="190">
        <v>0</v>
      </c>
      <c r="U61" s="190">
        <v>0</v>
      </c>
      <c r="V61" s="190">
        <v>0</v>
      </c>
      <c r="W61" s="190">
        <v>0</v>
      </c>
      <c r="X61" s="190">
        <v>0</v>
      </c>
      <c r="Y61" s="190">
        <v>0</v>
      </c>
      <c r="Z61" s="190">
        <v>0</v>
      </c>
      <c r="AA61" s="190">
        <v>0</v>
      </c>
      <c r="AB61" s="190">
        <v>0</v>
      </c>
      <c r="AC61" s="190">
        <v>0</v>
      </c>
      <c r="AD61" s="190">
        <v>0</v>
      </c>
      <c r="AE61" s="190">
        <v>0</v>
      </c>
      <c r="AF61" s="190">
        <v>0</v>
      </c>
      <c r="AG61" s="190">
        <v>0</v>
      </c>
      <c r="AH61" s="191">
        <v>0</v>
      </c>
      <c r="AI61" s="171" t="e">
        <f>VLOOKUP(MID($B61,1,2),'[2]Free Spins Symbol'!$AD$7:$AI$8,2,0)
*VLOOKUP(MID($B61,4,2),'[2]Free Spins Symbol'!$AD$7:$AI$8,3,0)
*VLOOKUP(MID($B61,7,2),'[2]Free Spins Symbol'!$AD$7:$AI$8,4,0)
*VLOOKUP(MID($B61,10,2),'[2]Free Spins Symbol'!$AD$7:$AI$8,5,0)
*VLOOKUP(MID($B61,13,2),'[2]Free Spins Symbol'!$AD$7:$AI$8,6,0)-AI29</f>
        <v>#N/A</v>
      </c>
      <c r="AJ61" s="168" t="e">
        <f>1
*VLOOKUP(MID($B61,4,2),'[2]Free Spins Symbol'!$AD$7:$AI$8,3,0)
*VLOOKUP(MID($B61,7,2),'[2]Free Spins Symbol'!$AD$7:$AI$8,4,0)
*VLOOKUP(MID($B61,10,2),'[2]Free Spins Symbol'!$AD$7:$AI$8,5,0)
*VLOOKUP(MID($B61,13,2),'[2]Free Spins Symbol'!$AD$7:$AI$8,6,0)-AJ29</f>
        <v>#N/A</v>
      </c>
      <c r="AK61" s="168" t="e">
        <f>VLOOKUP(MID($B61,1,2),'[2]Free Spins Symbol'!$AD$7:$AI$8,2,0)
*1
*VLOOKUP(MID($B61,7,2),'[2]Free Spins Symbol'!$AD$7:$AI$8,4,0)
*VLOOKUP(MID($B61,10,2),'[2]Free Spins Symbol'!$AD$7:$AI$8,5,0)
*VLOOKUP(MID($B61,13,2),'[2]Free Spins Symbol'!$AD$7:$AI$8,6,0)-AK29</f>
        <v>#N/A</v>
      </c>
      <c r="AL61" s="168" t="e">
        <f>VLOOKUP(MID($B61,1,2),'[2]Free Spins Symbol'!$AD$7:$AI$8,2,0)
*VLOOKUP(MID($B61,4,2),'[2]Free Spins Symbol'!$AD$7:$AI$8,3,0)
*1
*VLOOKUP(MID($B61,10,2),'[2]Free Spins Symbol'!$AD$7:$AI$8,5,0)
*VLOOKUP(MID($B61,13,2),'[2]Free Spins Symbol'!$AD$7:$AI$8,6,0)-AL29</f>
        <v>#N/A</v>
      </c>
      <c r="AM61" s="169">
        <v>0</v>
      </c>
      <c r="AN61" s="168" t="e">
        <f>VLOOKUP(MID($B61,1,2),'[2]Free Spins Symbol'!$AD$7:$AI$8,2,0)
*VLOOKUP(MID($B61,4,2),'[2]Free Spins Symbol'!$AD$7:$AI$8,3,0)
*VLOOKUP(MID($B61,7,2),'[2]Free Spins Symbol'!$AD$7:$AI$8,4,0)
*VLOOKUP(MID($B61,10,2),'[2]Free Spins Symbol'!$AD$7:$AI$8,5,0)
*1-AN29</f>
        <v>#N/A</v>
      </c>
      <c r="AO61" s="168" t="e">
        <f>1
*1
*VLOOKUP(MID($B61,7,2),'[2]Free Spins Symbol'!$AD$7:$AI$8,4,0)
*VLOOKUP(MID($B61,10,2),'[2]Free Spins Symbol'!$AD$7:$AI$8,5,0)
*VLOOKUP(MID($B61,13,2),'[2]Free Spins Symbol'!$AD$7:$AI$8,6,0)-AO29</f>
        <v>#N/A</v>
      </c>
      <c r="AP61" s="168" t="e">
        <f>1
*VLOOKUP(MID($B61,4,2),'[2]Free Spins Symbol'!$AD$7:$AI$8,3,0)
*1
*VLOOKUP(MID($B61,10,2),'[2]Free Spins Symbol'!$AD$7:$AI$8,5,0)
*VLOOKUP(MID($B61,13,2),'[2]Free Spins Symbol'!$AD$7:$AI$8,6,0)-AP29</f>
        <v>#N/A</v>
      </c>
      <c r="AQ61" s="169">
        <v>0</v>
      </c>
      <c r="AR61" s="168" t="e">
        <f>1
*VLOOKUP(MID($B61,4,2),'[2]Free Spins Symbol'!$AD$7:$AI$8,3,0)
*VLOOKUP(MID($B61,7,2),'[2]Free Spins Symbol'!$AD$7:$AI$8,4,0)
*VLOOKUP(MID($B61,10,2),'[2]Free Spins Symbol'!$AD$7:$AI$8,5,0)
*1-AR29</f>
        <v>#N/A</v>
      </c>
      <c r="AS61" s="168" t="e">
        <f>VLOOKUP(MID($B61,1,2),'[2]Free Spins Symbol'!$AD$7:$AI$8,2,0)
*1
*1
*VLOOKUP(MID($B61,10,2),'[2]Free Spins Symbol'!$AD$7:$AI$8,5,0)
*VLOOKUP(MID($B61,13,2),'[2]Free Spins Symbol'!$AD$7:$AI$8,6,0)-AS29</f>
        <v>#N/A</v>
      </c>
      <c r="AT61" s="169">
        <v>0</v>
      </c>
      <c r="AU61" s="168" t="e">
        <f>VLOOKUP(MID($B61,1,2),'[2]Free Spins Symbol'!$AD$7:$AI$8,2,0)
*1
*VLOOKUP(MID($B61,7,2),'[2]Free Spins Symbol'!$AD$7:$AI$8,4,0)
*VLOOKUP(MID($B61,10,2),'[2]Free Spins Symbol'!$AD$7:$AI$8,5,0)
*1-AU29</f>
        <v>#N/A</v>
      </c>
      <c r="AV61" s="169">
        <v>0</v>
      </c>
      <c r="AW61" s="168" t="e">
        <f>VLOOKUP(MID($B61,1,2),'[2]Free Spins Symbol'!$AD$7:$AI$8,2,0)
*VLOOKUP(MID($B61,4,2),'[2]Free Spins Symbol'!$AD$7:$AI$8,3,0)
*1
*VLOOKUP(MID($B61,10,2),'[2]Free Spins Symbol'!$AD$7:$AI$8,5,0)
*1-AW29</f>
        <v>#N/A</v>
      </c>
      <c r="AX61" s="169">
        <v>0</v>
      </c>
      <c r="AY61" s="168" t="e">
        <f>1
*1
*1
*VLOOKUP(MID($B61,10,2),'[2]Free Spins Symbol'!$AD$7:$AI$8,5,0)
*VLOOKUP(MID($B61,13,2),'[2]Free Spins Symbol'!$AD$7:$AI$8,6,0)-AY29</f>
        <v>#N/A</v>
      </c>
      <c r="AZ61" s="169">
        <v>0</v>
      </c>
      <c r="BA61" s="169">
        <v>0</v>
      </c>
      <c r="BB61" s="169">
        <v>0</v>
      </c>
      <c r="BC61" s="168" t="e">
        <f>1
*1
*VLOOKUP(MID($B61,7,2),'[2]Free Spins Symbol'!$AD$7:$AI$8,4,0)
*VLOOKUP(MID($B61,10,2),'[2]Free Spins Symbol'!$AD$7:$AI$8,5,0)
*1-BC29</f>
        <v>#N/A</v>
      </c>
      <c r="BD61" s="168" t="e">
        <f>1
*VLOOKUP(MID($B61,4,2),'[2]Free Spins Symbol'!$AD$7:$AI$8,3,0)
*1
*VLOOKUP(MID($B61,10,2),'[2]Free Spins Symbol'!$AD$7:$AI$8,5,0)
*1-BD29</f>
        <v>#N/A</v>
      </c>
      <c r="BE61" s="168" t="e">
        <f>VLOOKUP(MID($B61,1,2),'[2]Free Spins Symbol'!$AD$7:$AI$8,2,0)
*1
*1
*VLOOKUP(MID($B61,10,2),'[2]Free Spins Symbol'!$AD$7:$AI$8,5,0)
*1-BE29</f>
        <v>#N/A</v>
      </c>
      <c r="BF61" s="169">
        <v>0</v>
      </c>
      <c r="BG61" s="169">
        <v>0</v>
      </c>
      <c r="BH61" s="169">
        <v>0</v>
      </c>
      <c r="BI61" s="169">
        <v>0</v>
      </c>
      <c r="BJ61" s="168" t="e">
        <f>1
*1
*1
*VLOOKUP(MID($B61,10,2),'[2]Free Spins Symbol'!$AD$7:$AI$8,5,0)
*1-BJ29</f>
        <v>#N/A</v>
      </c>
      <c r="BK61" s="169">
        <v>0</v>
      </c>
      <c r="BL61" s="169">
        <v>0</v>
      </c>
      <c r="BM61" s="169">
        <v>0</v>
      </c>
      <c r="BN61" s="170">
        <v>0</v>
      </c>
    </row>
    <row r="62" spans="1:66" x14ac:dyDescent="0.3">
      <c r="A62" s="39"/>
      <c r="B62" s="192">
        <f>'[2]Held Stacked Wild'!A1092</f>
        <v>0</v>
      </c>
      <c r="C62" s="189">
        <v>0</v>
      </c>
      <c r="D62" s="190">
        <v>0</v>
      </c>
      <c r="E62" s="190">
        <v>0</v>
      </c>
      <c r="F62" s="190">
        <v>0</v>
      </c>
      <c r="G62" s="190">
        <v>0</v>
      </c>
      <c r="H62" s="190">
        <v>0</v>
      </c>
      <c r="I62" s="190">
        <v>0</v>
      </c>
      <c r="J62" s="190">
        <v>0</v>
      </c>
      <c r="K62" s="190">
        <v>0</v>
      </c>
      <c r="L62" s="190">
        <v>0</v>
      </c>
      <c r="M62" s="190">
        <v>0</v>
      </c>
      <c r="N62" s="190">
        <v>0</v>
      </c>
      <c r="O62" s="190">
        <v>0</v>
      </c>
      <c r="P62" s="190">
        <v>0</v>
      </c>
      <c r="Q62" s="190">
        <v>0</v>
      </c>
      <c r="R62" s="190">
        <v>0</v>
      </c>
      <c r="S62" s="190">
        <v>0</v>
      </c>
      <c r="T62" s="190">
        <v>0</v>
      </c>
      <c r="U62" s="190">
        <v>0</v>
      </c>
      <c r="V62" s="190">
        <v>0</v>
      </c>
      <c r="W62" s="190">
        <v>0</v>
      </c>
      <c r="X62" s="190">
        <v>0</v>
      </c>
      <c r="Y62" s="190">
        <v>0</v>
      </c>
      <c r="Z62" s="190">
        <v>0</v>
      </c>
      <c r="AA62" s="190">
        <v>0</v>
      </c>
      <c r="AB62" s="190">
        <v>0</v>
      </c>
      <c r="AC62" s="190">
        <v>0</v>
      </c>
      <c r="AD62" s="190">
        <v>0</v>
      </c>
      <c r="AE62" s="190">
        <v>0</v>
      </c>
      <c r="AF62" s="190">
        <v>0</v>
      </c>
      <c r="AG62" s="190">
        <v>0</v>
      </c>
      <c r="AH62" s="191">
        <v>0</v>
      </c>
      <c r="AI62" s="171" t="e">
        <f>VLOOKUP(MID($B62,1,2),'[2]Free Spins Symbol'!$AD$7:$AI$8,2,0)
*VLOOKUP(MID($B62,4,2),'[2]Free Spins Symbol'!$AD$7:$AI$8,3,0)
*VLOOKUP(MID($B62,7,2),'[2]Free Spins Symbol'!$AD$7:$AI$8,4,0)
*VLOOKUP(MID($B62,10,2),'[2]Free Spins Symbol'!$AD$7:$AI$8,5,0)
*VLOOKUP(MID($B62,13,2),'[2]Free Spins Symbol'!$AD$7:$AI$8,6,0)-AI30</f>
        <v>#N/A</v>
      </c>
      <c r="AJ62" s="168" t="e">
        <f>1
*VLOOKUP(MID($B62,4,2),'[2]Free Spins Symbol'!$AD$7:$AI$8,3,0)
*VLOOKUP(MID($B62,7,2),'[2]Free Spins Symbol'!$AD$7:$AI$8,4,0)
*VLOOKUP(MID($B62,10,2),'[2]Free Spins Symbol'!$AD$7:$AI$8,5,0)
*VLOOKUP(MID($B62,13,2),'[2]Free Spins Symbol'!$AD$7:$AI$8,6,0)-AJ30</f>
        <v>#N/A</v>
      </c>
      <c r="AK62" s="168" t="e">
        <f>VLOOKUP(MID($B62,1,2),'[2]Free Spins Symbol'!$AD$7:$AI$8,2,0)
*1
*VLOOKUP(MID($B62,7,2),'[2]Free Spins Symbol'!$AD$7:$AI$8,4,0)
*VLOOKUP(MID($B62,10,2),'[2]Free Spins Symbol'!$AD$7:$AI$8,5,0)
*VLOOKUP(MID($B62,13,2),'[2]Free Spins Symbol'!$AD$7:$AI$8,6,0)-AK30</f>
        <v>#N/A</v>
      </c>
      <c r="AL62" s="169">
        <v>0</v>
      </c>
      <c r="AM62" s="168" t="e">
        <f>VLOOKUP(MID($B62,1,2),'[2]Free Spins Symbol'!$AD$7:$AI$8,2,0)
*VLOOKUP(MID($B62,4,2),'[2]Free Spins Symbol'!$AD$7:$AI$8,3,0)
*VLOOKUP(MID($B62,7,2),'[2]Free Spins Symbol'!$AD$7:$AI$8,4,0)
*1
*VLOOKUP(MID($B62,13,2),'[2]Free Spins Symbol'!$AD$7:$AI$8,6,0)-AM30</f>
        <v>#N/A</v>
      </c>
      <c r="AN62" s="168" t="e">
        <f>VLOOKUP(MID($B62,1,2),'[2]Free Spins Symbol'!$AD$7:$AI$8,2,0)
*VLOOKUP(MID($B62,4,2),'[2]Free Spins Symbol'!$AD$7:$AI$8,3,0)
*VLOOKUP(MID($B62,7,2),'[2]Free Spins Symbol'!$AD$7:$AI$8,4,0)
*VLOOKUP(MID($B62,10,2),'[2]Free Spins Symbol'!$AD$7:$AI$8,5,0)
*1-AN30</f>
        <v>#N/A</v>
      </c>
      <c r="AO62" s="168" t="e">
        <f>1
*1
*VLOOKUP(MID($B62,7,2),'[2]Free Spins Symbol'!$AD$7:$AI$8,4,0)
*VLOOKUP(MID($B62,10,2),'[2]Free Spins Symbol'!$AD$7:$AI$8,5,0)
*VLOOKUP(MID($B62,13,2),'[2]Free Spins Symbol'!$AD$7:$AI$8,6,0)-AO30</f>
        <v>#N/A</v>
      </c>
      <c r="AP62" s="169">
        <v>0</v>
      </c>
      <c r="AQ62" s="168" t="e">
        <f>1
*VLOOKUP(MID($B62,4,2),'[2]Free Spins Symbol'!$AD$7:$AI$8,3,0)
*VLOOKUP(MID($B62,7,2),'[2]Free Spins Symbol'!$AD$7:$AI$8,4,0)
*1
*VLOOKUP(MID($B62,13,2),'[2]Free Spins Symbol'!$AD$7:$AI$8,6,0)-AQ30</f>
        <v>#N/A</v>
      </c>
      <c r="AR62" s="168" t="e">
        <f>1
*VLOOKUP(MID($B62,4,2),'[2]Free Spins Symbol'!$AD$7:$AI$8,3,0)
*VLOOKUP(MID($B62,7,2),'[2]Free Spins Symbol'!$AD$7:$AI$8,4,0)
*VLOOKUP(MID($B62,10,2),'[2]Free Spins Symbol'!$AD$7:$AI$8,5,0)
*1-AR30</f>
        <v>#N/A</v>
      </c>
      <c r="AS62" s="169">
        <v>0</v>
      </c>
      <c r="AT62" s="168" t="e">
        <f>VLOOKUP(MID($B62,1,2),'[2]Free Spins Symbol'!$AD$7:$AI$8,2,0)
*1
*VLOOKUP(MID($B62,7,2),'[2]Free Spins Symbol'!$AD$7:$AI$8,4,0)
*1
*VLOOKUP(MID($B62,13,2),'[2]Free Spins Symbol'!$AD$7:$AI$8,6,0)-AT30</f>
        <v>#N/A</v>
      </c>
      <c r="AU62" s="168" t="e">
        <f>VLOOKUP(MID($B62,1,2),'[2]Free Spins Symbol'!$AD$7:$AI$8,2,0)
*1
*VLOOKUP(MID($B62,7,2),'[2]Free Spins Symbol'!$AD$7:$AI$8,4,0)
*VLOOKUP(MID($B62,10,2),'[2]Free Spins Symbol'!$AD$7:$AI$8,5,0)
*1-AU30</f>
        <v>#N/A</v>
      </c>
      <c r="AV62" s="169">
        <v>0</v>
      </c>
      <c r="AW62" s="169">
        <v>0</v>
      </c>
      <c r="AX62" s="168" t="e">
        <f>VLOOKUP(MID($B62,1,2),'[2]Free Spins Symbol'!$AD$7:$AI$8,2,0)
*VLOOKUP(MID($B62,4,2),'[2]Free Spins Symbol'!$AD$7:$AI$8,3,0)
*VLOOKUP(MID($B62,7,2),'[2]Free Spins Symbol'!$AD$7:$AI$8,4,0)
*1
*1-AX30</f>
        <v>#N/A</v>
      </c>
      <c r="AY62" s="169">
        <v>0</v>
      </c>
      <c r="AZ62" s="168" t="e">
        <f>1
*1
*VLOOKUP(MID($B62,7,2),'[2]Free Spins Symbol'!$AD$7:$AI$8,4,0)
*1
*VLOOKUP(MID($B62,13,2),'[2]Free Spins Symbol'!$AD$7:$AI$8,6,0)-AZ30</f>
        <v>#N/A</v>
      </c>
      <c r="BA62" s="169">
        <v>0</v>
      </c>
      <c r="BB62" s="169">
        <v>0</v>
      </c>
      <c r="BC62" s="168" t="e">
        <f>1
*1
*VLOOKUP(MID($B62,7,2),'[2]Free Spins Symbol'!$AD$7:$AI$8,4,0)
*VLOOKUP(MID($B62,10,2),'[2]Free Spins Symbol'!$AD$7:$AI$8,5,0)
*1-BC30</f>
        <v>#N/A</v>
      </c>
      <c r="BD62" s="169">
        <v>0</v>
      </c>
      <c r="BE62" s="169">
        <v>0</v>
      </c>
      <c r="BF62" s="168" t="e">
        <f>1
*VLOOKUP(MID($B62,4,2),'[2]Free Spins Symbol'!$AD$7:$AI$8,3,0)
*VLOOKUP(MID($B62,7,2),'[2]Free Spins Symbol'!$AD$7:$AI$8,4,0)
*1
*1-BF30</f>
        <v>#N/A</v>
      </c>
      <c r="BG62" s="168" t="e">
        <f>VLOOKUP(MID($B62,1,2),'[2]Free Spins Symbol'!$AD$7:$AI$8,2,0)
*1
*VLOOKUP(MID($B62,7,2),'[2]Free Spins Symbol'!$AD$7:$AI$8,4,0)
*1
*1-BG30</f>
        <v>#N/A</v>
      </c>
      <c r="BH62" s="169">
        <v>0</v>
      </c>
      <c r="BI62" s="169">
        <v>0</v>
      </c>
      <c r="BJ62" s="169">
        <v>0</v>
      </c>
      <c r="BK62" s="168" t="e">
        <f>1
*1
*VLOOKUP(MID($B62,7,2),'[2]Free Spins Symbol'!$AD$7:$AI$8,4,0)
*1
*1-BK30</f>
        <v>#N/A</v>
      </c>
      <c r="BL62" s="169">
        <v>0</v>
      </c>
      <c r="BM62" s="169">
        <v>0</v>
      </c>
      <c r="BN62" s="170">
        <v>0</v>
      </c>
    </row>
    <row r="63" spans="1:66" x14ac:dyDescent="0.3">
      <c r="A63" s="39"/>
      <c r="B63" s="192">
        <f>'[2]Held Stacked Wild'!A1131</f>
        <v>0</v>
      </c>
      <c r="C63" s="189">
        <v>0</v>
      </c>
      <c r="D63" s="190">
        <v>0</v>
      </c>
      <c r="E63" s="190">
        <v>0</v>
      </c>
      <c r="F63" s="190">
        <v>0</v>
      </c>
      <c r="G63" s="190">
        <v>0</v>
      </c>
      <c r="H63" s="190">
        <v>0</v>
      </c>
      <c r="I63" s="190">
        <v>0</v>
      </c>
      <c r="J63" s="190">
        <v>0</v>
      </c>
      <c r="K63" s="190">
        <v>0</v>
      </c>
      <c r="L63" s="190">
        <v>0</v>
      </c>
      <c r="M63" s="190">
        <v>0</v>
      </c>
      <c r="N63" s="190">
        <v>0</v>
      </c>
      <c r="O63" s="190">
        <v>0</v>
      </c>
      <c r="P63" s="190">
        <v>0</v>
      </c>
      <c r="Q63" s="190">
        <v>0</v>
      </c>
      <c r="R63" s="190">
        <v>0</v>
      </c>
      <c r="S63" s="190">
        <v>0</v>
      </c>
      <c r="T63" s="190">
        <v>0</v>
      </c>
      <c r="U63" s="190">
        <v>0</v>
      </c>
      <c r="V63" s="190">
        <v>0</v>
      </c>
      <c r="W63" s="190">
        <v>0</v>
      </c>
      <c r="X63" s="190">
        <v>0</v>
      </c>
      <c r="Y63" s="190">
        <v>0</v>
      </c>
      <c r="Z63" s="190">
        <v>0</v>
      </c>
      <c r="AA63" s="190">
        <v>0</v>
      </c>
      <c r="AB63" s="190">
        <v>0</v>
      </c>
      <c r="AC63" s="190">
        <v>0</v>
      </c>
      <c r="AD63" s="190">
        <v>0</v>
      </c>
      <c r="AE63" s="190">
        <v>0</v>
      </c>
      <c r="AF63" s="190">
        <v>0</v>
      </c>
      <c r="AG63" s="190">
        <v>0</v>
      </c>
      <c r="AH63" s="191">
        <v>0</v>
      </c>
      <c r="AI63" s="171" t="e">
        <f>VLOOKUP(MID($B63,1,2),'[2]Free Spins Symbol'!$AD$7:$AI$8,2,0)
*VLOOKUP(MID($B63,4,2),'[2]Free Spins Symbol'!$AD$7:$AI$8,3,0)
*VLOOKUP(MID($B63,7,2),'[2]Free Spins Symbol'!$AD$7:$AI$8,4,0)
*VLOOKUP(MID($B63,10,2),'[2]Free Spins Symbol'!$AD$7:$AI$8,5,0)
*VLOOKUP(MID($B63,13,2),'[2]Free Spins Symbol'!$AD$7:$AI$8,6,0)-AI31</f>
        <v>#N/A</v>
      </c>
      <c r="AJ63" s="168" t="e">
        <f>1
*VLOOKUP(MID($B63,4,2),'[2]Free Spins Symbol'!$AD$7:$AI$8,3,0)
*VLOOKUP(MID($B63,7,2),'[2]Free Spins Symbol'!$AD$7:$AI$8,4,0)
*VLOOKUP(MID($B63,10,2),'[2]Free Spins Symbol'!$AD$7:$AI$8,5,0)
*VLOOKUP(MID($B63,13,2),'[2]Free Spins Symbol'!$AD$7:$AI$8,6,0)-AJ31</f>
        <v>#N/A</v>
      </c>
      <c r="AK63" s="169">
        <v>0</v>
      </c>
      <c r="AL63" s="168" t="e">
        <f>VLOOKUP(MID($B63,1,2),'[2]Free Spins Symbol'!$AD$7:$AI$8,2,0)
*VLOOKUP(MID($B63,4,2),'[2]Free Spins Symbol'!$AD$7:$AI$8,3,0)
*1
*VLOOKUP(MID($B63,10,2),'[2]Free Spins Symbol'!$AD$7:$AI$8,5,0)
*VLOOKUP(MID($B63,13,2),'[2]Free Spins Symbol'!$AD$7:$AI$8,6,0)-AL31</f>
        <v>#N/A</v>
      </c>
      <c r="AM63" s="168" t="e">
        <f>VLOOKUP(MID($B63,1,2),'[2]Free Spins Symbol'!$AD$7:$AI$8,2,0)
*VLOOKUP(MID($B63,4,2),'[2]Free Spins Symbol'!$AD$7:$AI$8,3,0)
*VLOOKUP(MID($B63,7,2),'[2]Free Spins Symbol'!$AD$7:$AI$8,4,0)
*1
*VLOOKUP(MID($B63,13,2),'[2]Free Spins Symbol'!$AD$7:$AI$8,6,0)-AM31</f>
        <v>#N/A</v>
      </c>
      <c r="AN63" s="168" t="e">
        <f>VLOOKUP(MID($B63,1,2),'[2]Free Spins Symbol'!$AD$7:$AI$8,2,0)
*VLOOKUP(MID($B63,4,2),'[2]Free Spins Symbol'!$AD$7:$AI$8,3,0)
*VLOOKUP(MID($B63,7,2),'[2]Free Spins Symbol'!$AD$7:$AI$8,4,0)
*VLOOKUP(MID($B63,10,2),'[2]Free Spins Symbol'!$AD$7:$AI$8,5,0)
*1-AN31</f>
        <v>#N/A</v>
      </c>
      <c r="AO63" s="169">
        <v>0</v>
      </c>
      <c r="AP63" s="168" t="e">
        <f>1
*VLOOKUP(MID($B63,4,2),'[2]Free Spins Symbol'!$AD$7:$AI$8,3,0)
*1
*VLOOKUP(MID($B63,10,2),'[2]Free Spins Symbol'!$AD$7:$AI$8,5,0)
*VLOOKUP(MID($B63,13,2),'[2]Free Spins Symbol'!$AD$7:$AI$8,6,0)-AP31</f>
        <v>#N/A</v>
      </c>
      <c r="AQ63" s="168" t="e">
        <f>1
*VLOOKUP(MID($B63,4,2),'[2]Free Spins Symbol'!$AD$7:$AI$8,3,0)
*VLOOKUP(MID($B63,7,2),'[2]Free Spins Symbol'!$AD$7:$AI$8,4,0)
*1
*VLOOKUP(MID($B63,13,2),'[2]Free Spins Symbol'!$AD$7:$AI$8,6,0)-AQ31</f>
        <v>#N/A</v>
      </c>
      <c r="AR63" s="168" t="e">
        <f>1
*VLOOKUP(MID($B63,4,2),'[2]Free Spins Symbol'!$AD$7:$AI$8,3,0)
*VLOOKUP(MID($B63,7,2),'[2]Free Spins Symbol'!$AD$7:$AI$8,4,0)
*VLOOKUP(MID($B63,10,2),'[2]Free Spins Symbol'!$AD$7:$AI$8,5,0)
*1-AR31</f>
        <v>#N/A</v>
      </c>
      <c r="AS63" s="169">
        <v>0</v>
      </c>
      <c r="AT63" s="169">
        <v>0</v>
      </c>
      <c r="AU63" s="169">
        <v>0</v>
      </c>
      <c r="AV63" s="168" t="e">
        <f>VLOOKUP(MID($B63,1,2),'[2]Free Spins Symbol'!$AD$7:$AI$8,2,0)
*VLOOKUP(MID($B63,4,2),'[2]Free Spins Symbol'!$AD$7:$AI$8,3,0)
*1
*1
*VLOOKUP(MID($B63,13,2),'[2]Free Spins Symbol'!$AD$7:$AI$8,6,0)-AV31</f>
        <v>#N/A</v>
      </c>
      <c r="AW63" s="168" t="e">
        <f>VLOOKUP(MID($B63,1,2),'[2]Free Spins Symbol'!$AD$7:$AI$8,2,0)
*VLOOKUP(MID($B63,4,2),'[2]Free Spins Symbol'!$AD$7:$AI$8,3,0)
*1
*VLOOKUP(MID($B63,10,2),'[2]Free Spins Symbol'!$AD$7:$AI$8,5,0)
*1-AW31</f>
        <v>#N/A</v>
      </c>
      <c r="AX63" s="168" t="e">
        <f>VLOOKUP(MID($B63,1,2),'[2]Free Spins Symbol'!$AD$7:$AI$8,2,0)
*VLOOKUP(MID($B63,4,2),'[2]Free Spins Symbol'!$AD$7:$AI$8,3,0)
*VLOOKUP(MID($B63,7,2),'[2]Free Spins Symbol'!$AD$7:$AI$8,4,0)
*1
*1-AX31</f>
        <v>#N/A</v>
      </c>
      <c r="AY63" s="169">
        <v>0</v>
      </c>
      <c r="AZ63" s="169">
        <v>0</v>
      </c>
      <c r="BA63" s="168" t="e">
        <f>1
*VLOOKUP(MID($B63,4,2),'[2]Free Spins Symbol'!$AD$7:$AI$8,3,0)
*1
*1
*VLOOKUP(MID($B63,13,2),'[2]Free Spins Symbol'!$AD$7:$AI$8,6,0)-BA31</f>
        <v>#N/A</v>
      </c>
      <c r="BB63" s="169">
        <v>0</v>
      </c>
      <c r="BC63" s="169">
        <v>0</v>
      </c>
      <c r="BD63" s="168" t="e">
        <f>1
*VLOOKUP(MID($B63,4,2),'[2]Free Spins Symbol'!$AD$7:$AI$8,3,0)
*1
*VLOOKUP(MID($B63,10,2),'[2]Free Spins Symbol'!$AD$7:$AI$8,5,0)
*1-BD31</f>
        <v>#N/A</v>
      </c>
      <c r="BE63" s="169">
        <v>0</v>
      </c>
      <c r="BF63" s="168" t="e">
        <f>1
*VLOOKUP(MID($B63,4,2),'[2]Free Spins Symbol'!$AD$7:$AI$8,3,0)
*VLOOKUP(MID($B63,7,2),'[2]Free Spins Symbol'!$AD$7:$AI$8,4,0)
*1
*1-BF31</f>
        <v>#N/A</v>
      </c>
      <c r="BG63" s="169">
        <v>0</v>
      </c>
      <c r="BH63" s="168" t="e">
        <f>VLOOKUP(MID($B63,1,2),'[2]Free Spins Symbol'!$AD$7:$AI$8,2,0)
*VLOOKUP(MID($B63,4,2),'[2]Free Spins Symbol'!$AD$7:$AI$8,3,0)
*1
*1
*1-BH31</f>
        <v>#N/A</v>
      </c>
      <c r="BI63" s="169">
        <v>0</v>
      </c>
      <c r="BJ63" s="169">
        <v>0</v>
      </c>
      <c r="BK63" s="169">
        <v>0</v>
      </c>
      <c r="BL63" s="168" t="e">
        <f>1
*VLOOKUP(MID($B63,4,2),'[2]Free Spins Symbol'!$AD$7:$AI$8,3,0)
*1
*1
*1-BL31</f>
        <v>#N/A</v>
      </c>
      <c r="BM63" s="169">
        <v>0</v>
      </c>
      <c r="BN63" s="170">
        <v>0</v>
      </c>
    </row>
    <row r="64" spans="1:66" x14ac:dyDescent="0.3">
      <c r="A64" s="39"/>
      <c r="B64" s="192">
        <f>'[2]Held Stacked Wild'!A1170</f>
        <v>0</v>
      </c>
      <c r="C64" s="189">
        <v>0</v>
      </c>
      <c r="D64" s="190">
        <v>0</v>
      </c>
      <c r="E64" s="190">
        <v>0</v>
      </c>
      <c r="F64" s="190">
        <v>0</v>
      </c>
      <c r="G64" s="190">
        <v>0</v>
      </c>
      <c r="H64" s="190">
        <v>0</v>
      </c>
      <c r="I64" s="190">
        <v>0</v>
      </c>
      <c r="J64" s="190">
        <v>0</v>
      </c>
      <c r="K64" s="190">
        <v>0</v>
      </c>
      <c r="L64" s="190">
        <v>0</v>
      </c>
      <c r="M64" s="190">
        <v>0</v>
      </c>
      <c r="N64" s="190">
        <v>0</v>
      </c>
      <c r="O64" s="190">
        <v>0</v>
      </c>
      <c r="P64" s="190">
        <v>0</v>
      </c>
      <c r="Q64" s="190">
        <v>0</v>
      </c>
      <c r="R64" s="190">
        <v>0</v>
      </c>
      <c r="S64" s="190">
        <v>0</v>
      </c>
      <c r="T64" s="190">
        <v>0</v>
      </c>
      <c r="U64" s="190">
        <v>0</v>
      </c>
      <c r="V64" s="190">
        <v>0</v>
      </c>
      <c r="W64" s="190">
        <v>0</v>
      </c>
      <c r="X64" s="190">
        <v>0</v>
      </c>
      <c r="Y64" s="190">
        <v>0</v>
      </c>
      <c r="Z64" s="190">
        <v>0</v>
      </c>
      <c r="AA64" s="190">
        <v>0</v>
      </c>
      <c r="AB64" s="190">
        <v>0</v>
      </c>
      <c r="AC64" s="190">
        <v>0</v>
      </c>
      <c r="AD64" s="190">
        <v>0</v>
      </c>
      <c r="AE64" s="190">
        <v>0</v>
      </c>
      <c r="AF64" s="190">
        <v>0</v>
      </c>
      <c r="AG64" s="190">
        <v>0</v>
      </c>
      <c r="AH64" s="191">
        <v>0</v>
      </c>
      <c r="AI64" s="171" t="e">
        <f>VLOOKUP(MID($B64,1,2),'[2]Free Spins Symbol'!$AD$7:$AI$8,2,0)
*VLOOKUP(MID($B64,4,2),'[2]Free Spins Symbol'!$AD$7:$AI$8,3,0)
*VLOOKUP(MID($B64,7,2),'[2]Free Spins Symbol'!$AD$7:$AI$8,4,0)
*VLOOKUP(MID($B64,10,2),'[2]Free Spins Symbol'!$AD$7:$AI$8,5,0)
*VLOOKUP(MID($B64,13,2),'[2]Free Spins Symbol'!$AD$7:$AI$8,6,0)-AI32</f>
        <v>#N/A</v>
      </c>
      <c r="AJ64" s="169">
        <v>0</v>
      </c>
      <c r="AK64" s="168" t="e">
        <f>VLOOKUP(MID($B64,1,2),'[2]Free Spins Symbol'!$AD$7:$AI$8,2,0)
*1
*VLOOKUP(MID($B64,7,2),'[2]Free Spins Symbol'!$AD$7:$AI$8,4,0)
*VLOOKUP(MID($B64,10,2),'[2]Free Spins Symbol'!$AD$7:$AI$8,5,0)
*VLOOKUP(MID($B64,13,2),'[2]Free Spins Symbol'!$AD$7:$AI$8,6,0)-AK32</f>
        <v>#N/A</v>
      </c>
      <c r="AL64" s="168" t="e">
        <f>VLOOKUP(MID($B64,1,2),'[2]Free Spins Symbol'!$AD$7:$AI$8,2,0)
*VLOOKUP(MID($B64,4,2),'[2]Free Spins Symbol'!$AD$7:$AI$8,3,0)
*1
*VLOOKUP(MID($B64,10,2),'[2]Free Spins Symbol'!$AD$7:$AI$8,5,0)
*VLOOKUP(MID($B64,13,2),'[2]Free Spins Symbol'!$AD$7:$AI$8,6,0)-AL32</f>
        <v>#N/A</v>
      </c>
      <c r="AM64" s="168" t="e">
        <f>VLOOKUP(MID($B64,1,2),'[2]Free Spins Symbol'!$AD$7:$AI$8,2,0)
*VLOOKUP(MID($B64,4,2),'[2]Free Spins Symbol'!$AD$7:$AI$8,3,0)
*VLOOKUP(MID($B64,7,2),'[2]Free Spins Symbol'!$AD$7:$AI$8,4,0)
*1
*VLOOKUP(MID($B64,13,2),'[2]Free Spins Symbol'!$AD$7:$AI$8,6,0)-AM32</f>
        <v>#N/A</v>
      </c>
      <c r="AN64" s="168" t="e">
        <f>VLOOKUP(MID($B64,1,2),'[2]Free Spins Symbol'!$AD$7:$AI$8,2,0)
*VLOOKUP(MID($B64,4,2),'[2]Free Spins Symbol'!$AD$7:$AI$8,3,0)
*VLOOKUP(MID($B64,7,2),'[2]Free Spins Symbol'!$AD$7:$AI$8,4,0)
*VLOOKUP(MID($B64,10,2),'[2]Free Spins Symbol'!$AD$7:$AI$8,5,0)
*1-AN32</f>
        <v>#N/A</v>
      </c>
      <c r="AO64" s="169">
        <v>0</v>
      </c>
      <c r="AP64" s="169">
        <v>0</v>
      </c>
      <c r="AQ64" s="169">
        <v>0</v>
      </c>
      <c r="AR64" s="169">
        <v>0</v>
      </c>
      <c r="AS64" s="168" t="e">
        <f>VLOOKUP(MID($B64,1,2),'[2]Free Spins Symbol'!$AD$7:$AI$8,2,0)
*1
*1
*VLOOKUP(MID($B64,10,2),'[2]Free Spins Symbol'!$AD$7:$AI$8,5,0)
*VLOOKUP(MID($B64,13,2),'[2]Free Spins Symbol'!$AD$7:$AI$8,6,0)-AS32</f>
        <v>#N/A</v>
      </c>
      <c r="AT64" s="168" t="e">
        <f>VLOOKUP(MID($B64,1,2),'[2]Free Spins Symbol'!$AD$7:$AI$8,2,0)
*1
*VLOOKUP(MID($B64,7,2),'[2]Free Spins Symbol'!$AD$7:$AI$8,4,0)
*1
*VLOOKUP(MID($B64,13,2),'[2]Free Spins Symbol'!$AD$7:$AI$8,6,0)-AT32</f>
        <v>#N/A</v>
      </c>
      <c r="AU64" s="168" t="e">
        <f>VLOOKUP(MID($B64,1,2),'[2]Free Spins Symbol'!$AD$7:$AI$8,2,0)
*1
*VLOOKUP(MID($B64,7,2),'[2]Free Spins Symbol'!$AD$7:$AI$8,4,0)
*VLOOKUP(MID($B64,10,2),'[2]Free Spins Symbol'!$AD$7:$AI$8,5,0)
*1-AU32</f>
        <v>#N/A</v>
      </c>
      <c r="AV64" s="168" t="e">
        <f>VLOOKUP(MID($B64,1,2),'[2]Free Spins Symbol'!$AD$7:$AI$8,2,0)
*VLOOKUP(MID($B64,4,2),'[2]Free Spins Symbol'!$AD$7:$AI$8,3,0)
*1
*1
*VLOOKUP(MID($B64,13,2),'[2]Free Spins Symbol'!$AD$7:$AI$8,6,0)-AV32</f>
        <v>#N/A</v>
      </c>
      <c r="AW64" s="168" t="e">
        <f>VLOOKUP(MID($B64,1,2),'[2]Free Spins Symbol'!$AD$7:$AI$8,2,0)
*VLOOKUP(MID($B64,4,2),'[2]Free Spins Symbol'!$AD$7:$AI$8,3,0)
*1
*VLOOKUP(MID($B64,10,2),'[2]Free Spins Symbol'!$AD$7:$AI$8,5,0)
*1-AW32</f>
        <v>#N/A</v>
      </c>
      <c r="AX64" s="168" t="e">
        <f>VLOOKUP(MID($B64,1,2),'[2]Free Spins Symbol'!$AD$7:$AI$8,2,0)
*VLOOKUP(MID($B64,4,2),'[2]Free Spins Symbol'!$AD$7:$AI$8,3,0)
*VLOOKUP(MID($B64,7,2),'[2]Free Spins Symbol'!$AD$7:$AI$8,4,0)
*1
*1-AX32</f>
        <v>#N/A</v>
      </c>
      <c r="AY64" s="169">
        <v>0</v>
      </c>
      <c r="AZ64" s="169">
        <v>0</v>
      </c>
      <c r="BA64" s="169">
        <v>0</v>
      </c>
      <c r="BB64" s="168" t="e">
        <f>VLOOKUP(MID($B64,1,2),'[2]Free Spins Symbol'!$AD$7:$AI$8,2,0)
*1
*1
*1
*VLOOKUP(MID($B64,13,2),'[2]Free Spins Symbol'!$AD$7:$AI$8,6,0)-BB32</f>
        <v>#N/A</v>
      </c>
      <c r="BC64" s="169">
        <v>0</v>
      </c>
      <c r="BD64" s="169">
        <v>0</v>
      </c>
      <c r="BE64" s="168" t="e">
        <f>VLOOKUP(MID($B64,1,2),'[2]Free Spins Symbol'!$AD$7:$AI$8,2,0)
*1
*1
*VLOOKUP(MID($B64,10,2),'[2]Free Spins Symbol'!$AD$7:$AI$8,5,0)
*1-BE32</f>
        <v>#N/A</v>
      </c>
      <c r="BF64" s="169">
        <v>0</v>
      </c>
      <c r="BG64" s="168" t="e">
        <f>VLOOKUP(MID($B64,1,2),'[2]Free Spins Symbol'!$AD$7:$AI$8,2,0)
*1
*VLOOKUP(MID($B64,7,2),'[2]Free Spins Symbol'!$AD$7:$AI$8,4,0)
*1
*1-BG32</f>
        <v>#N/A</v>
      </c>
      <c r="BH64" s="168" t="e">
        <f>VLOOKUP(MID($B64,1,2),'[2]Free Spins Symbol'!$AD$7:$AI$8,2,0)
*VLOOKUP(MID($B64,4,2),'[2]Free Spins Symbol'!$AD$7:$AI$8,3,0)
*1
*1
*1-BH32</f>
        <v>#N/A</v>
      </c>
      <c r="BI64" s="169">
        <v>0</v>
      </c>
      <c r="BJ64" s="169">
        <v>0</v>
      </c>
      <c r="BK64" s="169">
        <v>0</v>
      </c>
      <c r="BL64" s="169">
        <v>0</v>
      </c>
      <c r="BM64" s="168" t="e">
        <f>VLOOKUP(MID($B64,1,2),'[2]Free Spins Symbol'!$AD$7:$AI$8,2,0)
*1
*1
*1
*1-BM32</f>
        <v>#N/A</v>
      </c>
      <c r="BN64" s="170">
        <v>0</v>
      </c>
    </row>
    <row r="65" spans="1:66" ht="16.8" thickBot="1" x14ac:dyDescent="0.35">
      <c r="A65" s="39"/>
      <c r="B65" s="193">
        <f>'[2]Held Stacked Wild'!A1209</f>
        <v>0</v>
      </c>
      <c r="C65" s="194">
        <v>0</v>
      </c>
      <c r="D65" s="195">
        <v>0</v>
      </c>
      <c r="E65" s="195">
        <v>0</v>
      </c>
      <c r="F65" s="195">
        <v>0</v>
      </c>
      <c r="G65" s="195">
        <v>0</v>
      </c>
      <c r="H65" s="195">
        <v>0</v>
      </c>
      <c r="I65" s="195">
        <v>0</v>
      </c>
      <c r="J65" s="195">
        <v>0</v>
      </c>
      <c r="K65" s="195">
        <v>0</v>
      </c>
      <c r="L65" s="195">
        <v>0</v>
      </c>
      <c r="M65" s="195">
        <v>0</v>
      </c>
      <c r="N65" s="195">
        <v>0</v>
      </c>
      <c r="O65" s="195">
        <v>0</v>
      </c>
      <c r="P65" s="195">
        <v>0</v>
      </c>
      <c r="Q65" s="195">
        <v>0</v>
      </c>
      <c r="R65" s="195">
        <v>0</v>
      </c>
      <c r="S65" s="195">
        <v>0</v>
      </c>
      <c r="T65" s="195">
        <v>0</v>
      </c>
      <c r="U65" s="195">
        <v>0</v>
      </c>
      <c r="V65" s="195">
        <v>0</v>
      </c>
      <c r="W65" s="195">
        <v>0</v>
      </c>
      <c r="X65" s="195">
        <v>0</v>
      </c>
      <c r="Y65" s="195">
        <v>0</v>
      </c>
      <c r="Z65" s="195">
        <v>0</v>
      </c>
      <c r="AA65" s="195">
        <v>0</v>
      </c>
      <c r="AB65" s="195">
        <v>0</v>
      </c>
      <c r="AC65" s="195">
        <v>0</v>
      </c>
      <c r="AD65" s="195">
        <v>0</v>
      </c>
      <c r="AE65" s="195">
        <v>0</v>
      </c>
      <c r="AF65" s="195">
        <v>0</v>
      </c>
      <c r="AG65" s="195">
        <v>0</v>
      </c>
      <c r="AH65" s="196">
        <v>0</v>
      </c>
      <c r="AI65" s="197" t="e">
        <f>VLOOKUP(MID($B65,1,2),'[2]Free Spins Symbol'!$AD$7:$AI$8,2,0)
*VLOOKUP(MID($B65,4,2),'[2]Free Spins Symbol'!$AD$7:$AI$8,3,0)
*VLOOKUP(MID($B65,7,2),'[2]Free Spins Symbol'!$AD$7:$AI$8,4,0)
*VLOOKUP(MID($B65,10,2),'[2]Free Spins Symbol'!$AD$7:$AI$8,5,0)
*VLOOKUP(MID($B65,13,2),'[2]Free Spins Symbol'!$AD$7:$AI$8,6,0)-AI33</f>
        <v>#N/A</v>
      </c>
      <c r="AJ65" s="178" t="e">
        <f>1
*VLOOKUP(MID($B65,4,2),'[2]Free Spins Symbol'!$AD$7:$AI$8,3,0)
*VLOOKUP(MID($B65,7,2),'[2]Free Spins Symbol'!$AD$7:$AI$8,4,0)
*VLOOKUP(MID($B65,10,2),'[2]Free Spins Symbol'!$AD$7:$AI$8,5,0)
*VLOOKUP(MID($B65,13,2),'[2]Free Spins Symbol'!$AD$7:$AI$8,6,0)</f>
        <v>#N/A</v>
      </c>
      <c r="AK65" s="178" t="e">
        <f>VLOOKUP(MID($B65,1,2),'[2]Free Spins Symbol'!$AD$7:$AI$8,2,0)
*1
*VLOOKUP(MID($B65,7,2),'[2]Free Spins Symbol'!$AD$7:$AI$8,4,0)
*VLOOKUP(MID($B65,10,2),'[2]Free Spins Symbol'!$AD$7:$AI$8,5,0)
*VLOOKUP(MID($B65,13,2),'[2]Free Spins Symbol'!$AD$7:$AI$8,6,0)-AK33</f>
        <v>#N/A</v>
      </c>
      <c r="AL65" s="178" t="e">
        <f>VLOOKUP(MID($B65,1,2),'[2]Free Spins Symbol'!$AD$7:$AI$8,2,0)
*VLOOKUP(MID($B65,4,2),'[2]Free Spins Symbol'!$AD$7:$AI$8,3,0)
*1
*VLOOKUP(MID($B65,10,2),'[2]Free Spins Symbol'!$AD$7:$AI$8,5,0)
*VLOOKUP(MID($B65,13,2),'[2]Free Spins Symbol'!$AD$7:$AI$8,6,0)-AL33</f>
        <v>#N/A</v>
      </c>
      <c r="AM65" s="178" t="e">
        <f>VLOOKUP(MID($B65,1,2),'[2]Free Spins Symbol'!$AD$7:$AI$8,2,0)
*VLOOKUP(MID($B65,4,2),'[2]Free Spins Symbol'!$AD$7:$AI$8,3,0)
*VLOOKUP(MID($B65,7,2),'[2]Free Spins Symbol'!$AD$7:$AI$8,4,0)
*1
*VLOOKUP(MID($B65,13,2),'[2]Free Spins Symbol'!$AD$7:$AI$8,6,0)-AM33</f>
        <v>#N/A</v>
      </c>
      <c r="AN65" s="178" t="e">
        <f>VLOOKUP(MID($B65,1,2),'[2]Free Spins Symbol'!$AD$7:$AI$8,2,0)
*VLOOKUP(MID($B65,4,2),'[2]Free Spins Symbol'!$AD$7:$AI$8,3,0)
*VLOOKUP(MID($B65,7,2),'[2]Free Spins Symbol'!$AD$7:$AI$8,4,0)
*VLOOKUP(MID($B65,10,2),'[2]Free Spins Symbol'!$AD$7:$AI$8,5,0)
*1-AN33</f>
        <v>#N/A</v>
      </c>
      <c r="AO65" s="178" t="e">
        <f>1
*1
*VLOOKUP(MID($B65,7,2),'[2]Free Spins Symbol'!$AD$7:$AI$8,4,0)
*VLOOKUP(MID($B65,10,2),'[2]Free Spins Symbol'!$AD$7:$AI$8,5,0)
*VLOOKUP(MID($B65,13,2),'[2]Free Spins Symbol'!$AD$7:$AI$8,6,0)-AO33</f>
        <v>#N/A</v>
      </c>
      <c r="AP65" s="178" t="e">
        <f>1
*VLOOKUP(MID($B65,4,2),'[2]Free Spins Symbol'!$AD$7:$AI$8,3,0)
*1
*VLOOKUP(MID($B65,10,2),'[2]Free Spins Symbol'!$AD$7:$AI$8,5,0)
*VLOOKUP(MID($B65,13,2),'[2]Free Spins Symbol'!$AD$7:$AI$8,6,0)-AP33</f>
        <v>#N/A</v>
      </c>
      <c r="AQ65" s="178" t="e">
        <f>1
*VLOOKUP(MID($B65,4,2),'[2]Free Spins Symbol'!$AD$7:$AI$8,3,0)
*VLOOKUP(MID($B65,7,2),'[2]Free Spins Symbol'!$AD$7:$AI$8,4,0)
*1
*VLOOKUP(MID($B65,13,2),'[2]Free Spins Symbol'!$AD$7:$AI$8,6,0)-AQ33</f>
        <v>#N/A</v>
      </c>
      <c r="AR65" s="178" t="e">
        <f>1
*VLOOKUP(MID($B65,4,2),'[2]Free Spins Symbol'!$AD$7:$AI$8,3,0)
*VLOOKUP(MID($B65,7,2),'[2]Free Spins Symbol'!$AD$7:$AI$8,4,0)
*VLOOKUP(MID($B65,10,2),'[2]Free Spins Symbol'!$AD$7:$AI$8,5,0)
*1-AR33</f>
        <v>#N/A</v>
      </c>
      <c r="AS65" s="178" t="e">
        <f>VLOOKUP(MID($B65,1,2),'[2]Free Spins Symbol'!$AD$7:$AI$8,2,0)
*1
*1
*VLOOKUP(MID($B65,10,2),'[2]Free Spins Symbol'!$AD$7:$AI$8,5,0)
*VLOOKUP(MID($B65,13,2),'[2]Free Spins Symbol'!$AD$7:$AI$8,6,0)-AS33</f>
        <v>#N/A</v>
      </c>
      <c r="AT65" s="178" t="e">
        <f>VLOOKUP(MID($B65,1,2),'[2]Free Spins Symbol'!$AD$7:$AI$8,2,0)
*1
*VLOOKUP(MID($B65,7,2),'[2]Free Spins Symbol'!$AD$7:$AI$8,4,0)
*1
*VLOOKUP(MID($B65,13,2),'[2]Free Spins Symbol'!$AD$7:$AI$8,6,0)-AT33</f>
        <v>#N/A</v>
      </c>
      <c r="AU65" s="178" t="e">
        <f>VLOOKUP(MID($B65,1,2),'[2]Free Spins Symbol'!$AD$7:$AI$8,2,0)
*1
*VLOOKUP(MID($B65,7,2),'[2]Free Spins Symbol'!$AD$7:$AI$8,4,0)
*VLOOKUP(MID($B65,10,2),'[2]Free Spins Symbol'!$AD$7:$AI$8,5,0)
*1-AU33</f>
        <v>#N/A</v>
      </c>
      <c r="AV65" s="178" t="e">
        <f>VLOOKUP(MID($B65,1,2),'[2]Free Spins Symbol'!$AD$7:$AI$8,2,0)
*VLOOKUP(MID($B65,4,2),'[2]Free Spins Symbol'!$AD$7:$AI$8,3,0)
*1
*1
*VLOOKUP(MID($B65,13,2),'[2]Free Spins Symbol'!$AD$7:$AI$8,6,0)-AV33</f>
        <v>#N/A</v>
      </c>
      <c r="AW65" s="178" t="e">
        <f>VLOOKUP(MID($B65,1,2),'[2]Free Spins Symbol'!$AD$7:$AI$8,2,0)
*VLOOKUP(MID($B65,4,2),'[2]Free Spins Symbol'!$AD$7:$AI$8,3,0)
*1
*VLOOKUP(MID($B65,10,2),'[2]Free Spins Symbol'!$AD$7:$AI$8,5,0)
*1-AW33</f>
        <v>#N/A</v>
      </c>
      <c r="AX65" s="178" t="e">
        <f>VLOOKUP(MID($B65,1,2),'[2]Free Spins Symbol'!$AD$7:$AI$8,2,0)
*VLOOKUP(MID($B65,4,2),'[2]Free Spins Symbol'!$AD$7:$AI$8,3,0)
*VLOOKUP(MID($B65,7,2),'[2]Free Spins Symbol'!$AD$7:$AI$8,4,0)
*1
*1-AX33</f>
        <v>#N/A</v>
      </c>
      <c r="AY65" s="178" t="e">
        <f>1
*1
*1
*VLOOKUP(MID($B65,10,2),'[2]Free Spins Symbol'!$AD$7:$AI$8,5,0)
*VLOOKUP(MID($B65,13,2),'[2]Free Spins Symbol'!$AD$7:$AI$8,6,0)-AY33</f>
        <v>#N/A</v>
      </c>
      <c r="AZ65" s="178" t="e">
        <f>1
*1
*VLOOKUP(MID($B65,7,2),'[2]Free Spins Symbol'!$AD$7:$AI$8,4,0)
*1
*VLOOKUP(MID($B65,13,2),'[2]Free Spins Symbol'!$AD$7:$AI$8,6,0)-AZ33</f>
        <v>#N/A</v>
      </c>
      <c r="BA65" s="178" t="e">
        <f>1
*VLOOKUP(MID($B65,4,2),'[2]Free Spins Symbol'!$AD$7:$AI$8,3,0)
*1
*1
*VLOOKUP(MID($B65,13,2),'[2]Free Spins Symbol'!$AD$7:$AI$8,6,0)-BA33</f>
        <v>#N/A</v>
      </c>
      <c r="BB65" s="178" t="e">
        <f>VLOOKUP(MID($B65,1,2),'[2]Free Spins Symbol'!$AD$7:$AI$8,2,0)
*1
*1
*1
*VLOOKUP(MID($B65,13,2),'[2]Free Spins Symbol'!$AD$7:$AI$8,6,0)-BB33</f>
        <v>#N/A</v>
      </c>
      <c r="BC65" s="178" t="e">
        <f>1
*1
*VLOOKUP(MID($B65,7,2),'[2]Free Spins Symbol'!$AD$7:$AI$8,4,0)
*VLOOKUP(MID($B65,10,2),'[2]Free Spins Symbol'!$AD$7:$AI$8,5,0)
*1-BC33</f>
        <v>#N/A</v>
      </c>
      <c r="BD65" s="178" t="e">
        <f>1
*VLOOKUP(MID($B65,4,2),'[2]Free Spins Symbol'!$AD$7:$AI$8,3,0)
*1
*VLOOKUP(MID($B65,10,2),'[2]Free Spins Symbol'!$AD$7:$AI$8,5,0)
*1-BD33</f>
        <v>#N/A</v>
      </c>
      <c r="BE65" s="178" t="e">
        <f>VLOOKUP(MID($B65,1,2),'[2]Free Spins Symbol'!$AD$7:$AI$8,2,0)
*1
*1
*VLOOKUP(MID($B65,10,2),'[2]Free Spins Symbol'!$AD$7:$AI$8,5,0)
*1-BE33</f>
        <v>#N/A</v>
      </c>
      <c r="BF65" s="178" t="e">
        <f>1
*VLOOKUP(MID($B65,4,2),'[2]Free Spins Symbol'!$AD$7:$AI$8,3,0)
*VLOOKUP(MID($B65,7,2),'[2]Free Spins Symbol'!$AD$7:$AI$8,4,0)
*1
*1-BF33</f>
        <v>#N/A</v>
      </c>
      <c r="BG65" s="178" t="e">
        <f>VLOOKUP(MID($B65,1,2),'[2]Free Spins Symbol'!$AD$7:$AI$8,2,0)
*1
*VLOOKUP(MID($B65,7,2),'[2]Free Spins Symbol'!$AD$7:$AI$8,4,0)
*1
*1-BG33</f>
        <v>#N/A</v>
      </c>
      <c r="BH65" s="178" t="e">
        <f>VLOOKUP(MID($B65,1,2),'[2]Free Spins Symbol'!$AD$7:$AI$8,2,0)
*VLOOKUP(MID($B65,4,2),'[2]Free Spins Symbol'!$AD$7:$AI$8,3,0)
*1
*1
*1-BH33</f>
        <v>#N/A</v>
      </c>
      <c r="BI65" s="178" t="e">
        <f>1
*1
*1
*1
*VLOOKUP(MID($B65,13,2),'[2]Free Spins Symbol'!$AD$7:$AI$8,6,0)-BI33</f>
        <v>#N/A</v>
      </c>
      <c r="BJ65" s="178" t="e">
        <f>1
*1
*1
*VLOOKUP(MID($B65,10,2),'[2]Free Spins Symbol'!$AD$7:$AI$8,5,0)
*1-BJ33</f>
        <v>#N/A</v>
      </c>
      <c r="BK65" s="178" t="e">
        <f>1
*1
*VLOOKUP(MID($B65,7,2),'[2]Free Spins Symbol'!$AD$7:$AI$8,4,0)
*1
*1-BK33</f>
        <v>#N/A</v>
      </c>
      <c r="BL65" s="178" t="e">
        <f>1
*VLOOKUP(MID($B65,4,2),'[2]Free Spins Symbol'!$AD$7:$AI$8,3,0)
*1
*1
*1-BL33</f>
        <v>#N/A</v>
      </c>
      <c r="BM65" s="178" t="e">
        <f>VLOOKUP(MID($B65,1,2),'[2]Free Spins Symbol'!$AD$7:$AI$8,2,0)
*1
*1
*1
*1-BM33</f>
        <v>#N/A</v>
      </c>
      <c r="BN65" s="182">
        <f>1-BN33</f>
        <v>1</v>
      </c>
    </row>
  </sheetData>
  <phoneticPr fontId="2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election activeCell="A14" sqref="A14"/>
    </sheetView>
  </sheetViews>
  <sheetFormatPr defaultRowHeight="16.2" x14ac:dyDescent="0.3"/>
  <cols>
    <col min="1" max="1" width="75" style="52" customWidth="1"/>
    <col min="2" max="3" width="75" style="50" customWidth="1"/>
  </cols>
  <sheetData>
    <row r="1" spans="1:3" x14ac:dyDescent="0.3">
      <c r="A1" s="47" t="s">
        <v>98</v>
      </c>
      <c r="B1" s="48" t="s">
        <v>54</v>
      </c>
      <c r="C1" s="49" t="s">
        <v>55</v>
      </c>
    </row>
    <row r="2" spans="1:3" s="75" customFormat="1" ht="55.2" x14ac:dyDescent="0.3">
      <c r="A2" s="50" t="s">
        <v>99</v>
      </c>
      <c r="B2" s="73" t="s">
        <v>100</v>
      </c>
      <c r="C2" s="51" t="s">
        <v>101</v>
      </c>
    </row>
    <row r="3" spans="1:3" s="75" customFormat="1" x14ac:dyDescent="0.3">
      <c r="A3" s="52" t="s">
        <v>102</v>
      </c>
      <c r="B3" s="53" t="s">
        <v>103</v>
      </c>
      <c r="C3" s="54" t="s">
        <v>56</v>
      </c>
    </row>
    <row r="4" spans="1:3" s="52" customFormat="1" ht="13.8" x14ac:dyDescent="0.3">
      <c r="A4" s="52" t="s">
        <v>104</v>
      </c>
      <c r="B4" s="73" t="s">
        <v>105</v>
      </c>
      <c r="C4" s="62" t="s">
        <v>106</v>
      </c>
    </row>
    <row r="6" spans="1:3" ht="52.8" x14ac:dyDescent="0.3">
      <c r="A6" s="55" t="s">
        <v>107</v>
      </c>
      <c r="B6" s="56" t="s">
        <v>108</v>
      </c>
      <c r="C6" s="56" t="s">
        <v>109</v>
      </c>
    </row>
    <row r="7" spans="1:3" x14ac:dyDescent="0.3">
      <c r="A7" s="55"/>
      <c r="B7" s="56"/>
      <c r="C7" s="56"/>
    </row>
    <row r="9" spans="1:3" x14ac:dyDescent="0.3">
      <c r="A9" s="47" t="s">
        <v>110</v>
      </c>
      <c r="B9" s="48" t="s">
        <v>111</v>
      </c>
      <c r="C9" s="70" t="s">
        <v>112</v>
      </c>
    </row>
    <row r="10" spans="1:3" ht="145.19999999999999" x14ac:dyDescent="0.3">
      <c r="A10" s="50" t="s">
        <v>165</v>
      </c>
      <c r="B10" s="50" t="s">
        <v>166</v>
      </c>
      <c r="C10" s="51" t="s">
        <v>167</v>
      </c>
    </row>
    <row r="11" spans="1:3" ht="26.4" x14ac:dyDescent="0.3">
      <c r="A11" s="50" t="s">
        <v>113</v>
      </c>
      <c r="B11" s="73" t="s">
        <v>114</v>
      </c>
      <c r="C11" s="57" t="s">
        <v>115</v>
      </c>
    </row>
    <row r="12" spans="1:3" x14ac:dyDescent="0.3">
      <c r="A12" s="50"/>
      <c r="B12" s="73"/>
      <c r="C12" s="57"/>
    </row>
    <row r="13" spans="1:3" s="52" customFormat="1" ht="27.6" x14ac:dyDescent="0.3">
      <c r="A13" s="59" t="s">
        <v>116</v>
      </c>
      <c r="B13" s="71" t="s">
        <v>117</v>
      </c>
      <c r="C13" s="72" t="s">
        <v>118</v>
      </c>
    </row>
    <row r="14" spans="1:3" s="45" customFormat="1" ht="55.2" x14ac:dyDescent="0.3">
      <c r="A14" s="50" t="s">
        <v>119</v>
      </c>
      <c r="B14" s="73" t="s">
        <v>120</v>
      </c>
      <c r="C14" s="51" t="s">
        <v>121</v>
      </c>
    </row>
    <row r="15" spans="1:3" s="75" customFormat="1" ht="55.2" x14ac:dyDescent="0.3">
      <c r="A15" s="50" t="s">
        <v>122</v>
      </c>
      <c r="B15" s="73" t="s">
        <v>123</v>
      </c>
      <c r="C15" s="51" t="s">
        <v>124</v>
      </c>
    </row>
    <row r="16" spans="1:3" x14ac:dyDescent="0.3">
      <c r="A16" s="52" t="s">
        <v>125</v>
      </c>
      <c r="B16" s="53" t="s">
        <v>126</v>
      </c>
      <c r="C16" s="54" t="s">
        <v>56</v>
      </c>
    </row>
    <row r="17" spans="1:3" s="75" customFormat="1" x14ac:dyDescent="0.3">
      <c r="A17" s="52" t="s">
        <v>104</v>
      </c>
      <c r="B17" s="73" t="s">
        <v>105</v>
      </c>
      <c r="C17" s="62" t="s">
        <v>106</v>
      </c>
    </row>
    <row r="18" spans="1:3" s="80" customFormat="1" x14ac:dyDescent="0.3">
      <c r="A18" s="77" t="s">
        <v>161</v>
      </c>
      <c r="B18" s="78" t="s">
        <v>162</v>
      </c>
      <c r="C18" s="79" t="s">
        <v>163</v>
      </c>
    </row>
    <row r="19" spans="1:3" x14ac:dyDescent="0.3">
      <c r="B19" s="52"/>
      <c r="C19" s="54"/>
    </row>
    <row r="20" spans="1:3" x14ac:dyDescent="0.3">
      <c r="A20" s="47" t="s">
        <v>127</v>
      </c>
      <c r="C20" s="58"/>
    </row>
    <row r="21" spans="1:3" s="52" customFormat="1" ht="132" x14ac:dyDescent="0.3">
      <c r="A21" s="74" t="s">
        <v>95</v>
      </c>
      <c r="B21" s="76" t="s">
        <v>96</v>
      </c>
      <c r="C21" s="73" t="s">
        <v>97</v>
      </c>
    </row>
    <row r="23" spans="1:3" x14ac:dyDescent="0.3">
      <c r="A23" s="59"/>
      <c r="B23" s="60"/>
      <c r="C23" s="60"/>
    </row>
    <row r="24" spans="1:3" x14ac:dyDescent="0.3">
      <c r="A24" s="61"/>
      <c r="B24" s="61"/>
      <c r="C24" s="61"/>
    </row>
    <row r="26" spans="1:3" x14ac:dyDescent="0.3">
      <c r="A26" s="47" t="s">
        <v>128</v>
      </c>
      <c r="B26" s="52"/>
      <c r="C26" s="54"/>
    </row>
    <row r="27" spans="1:3" s="75" customFormat="1" ht="55.2" x14ac:dyDescent="0.3">
      <c r="A27" s="50" t="s">
        <v>129</v>
      </c>
      <c r="B27" s="73" t="s">
        <v>130</v>
      </c>
      <c r="C27" s="57" t="s">
        <v>131</v>
      </c>
    </row>
    <row r="28" spans="1:3" x14ac:dyDescent="0.3">
      <c r="A28" s="50"/>
      <c r="B28" s="73"/>
      <c r="C28" s="57"/>
    </row>
    <row r="29" spans="1:3" x14ac:dyDescent="0.3">
      <c r="B29" s="52"/>
      <c r="C29" s="54"/>
    </row>
    <row r="30" spans="1:3" x14ac:dyDescent="0.3">
      <c r="A30" s="47" t="s">
        <v>132</v>
      </c>
      <c r="C30" s="58"/>
    </row>
    <row r="31" spans="1:3" ht="55.2" x14ac:dyDescent="0.3">
      <c r="A31" s="50" t="s">
        <v>119</v>
      </c>
      <c r="B31" s="73" t="s">
        <v>120</v>
      </c>
      <c r="C31" s="51" t="s">
        <v>121</v>
      </c>
    </row>
    <row r="32" spans="1:3" s="75" customFormat="1" ht="55.2" x14ac:dyDescent="0.3">
      <c r="A32" s="50" t="s">
        <v>133</v>
      </c>
      <c r="B32" s="73" t="s">
        <v>134</v>
      </c>
      <c r="C32" s="57" t="s">
        <v>135</v>
      </c>
    </row>
    <row r="33" spans="1:3" x14ac:dyDescent="0.3">
      <c r="A33" s="50"/>
      <c r="B33" s="73"/>
      <c r="C33" s="57"/>
    </row>
    <row r="34" spans="1:3" x14ac:dyDescent="0.3">
      <c r="B34" s="52"/>
      <c r="C34" s="54"/>
    </row>
    <row r="35" spans="1:3" x14ac:dyDescent="0.3">
      <c r="A35" s="47" t="s">
        <v>136</v>
      </c>
      <c r="C35" s="58"/>
    </row>
    <row r="36" spans="1:3" x14ac:dyDescent="0.3">
      <c r="A36" s="50" t="s">
        <v>57</v>
      </c>
      <c r="B36" s="50" t="s">
        <v>137</v>
      </c>
      <c r="C36" s="51" t="s">
        <v>138</v>
      </c>
    </row>
    <row r="37" spans="1:3" x14ac:dyDescent="0.3">
      <c r="B37" s="73"/>
      <c r="C37" s="51"/>
    </row>
    <row r="38" spans="1:3" x14ac:dyDescent="0.3">
      <c r="A38" s="47" t="s">
        <v>139</v>
      </c>
      <c r="C38" s="58"/>
    </row>
    <row r="39" spans="1:3" x14ac:dyDescent="0.3">
      <c r="A39" s="50" t="s">
        <v>140</v>
      </c>
      <c r="B39" s="50" t="s">
        <v>141</v>
      </c>
      <c r="C39" s="51" t="s">
        <v>142</v>
      </c>
    </row>
    <row r="40" spans="1:3" x14ac:dyDescent="0.3">
      <c r="B40" s="52"/>
      <c r="C40" s="54"/>
    </row>
    <row r="41" spans="1:3" x14ac:dyDescent="0.3">
      <c r="A41" s="47" t="s">
        <v>143</v>
      </c>
      <c r="B41" s="52"/>
      <c r="C41" s="54"/>
    </row>
    <row r="42" spans="1:3" s="75" customFormat="1" x14ac:dyDescent="0.3">
      <c r="A42" s="52" t="s">
        <v>144</v>
      </c>
      <c r="B42" s="73" t="s">
        <v>145</v>
      </c>
      <c r="C42" s="57" t="s">
        <v>146</v>
      </c>
    </row>
    <row r="44" spans="1:3" x14ac:dyDescent="0.3">
      <c r="A44" s="47" t="s">
        <v>58</v>
      </c>
      <c r="B44" s="52"/>
      <c r="C44" s="54"/>
    </row>
    <row r="45" spans="1:3" x14ac:dyDescent="0.3">
      <c r="A45" s="52" t="s">
        <v>147</v>
      </c>
      <c r="B45" s="52"/>
      <c r="C45" s="54"/>
    </row>
    <row r="46" spans="1:3" s="52" customFormat="1" ht="13.8" x14ac:dyDescent="0.3">
      <c r="A46" s="50" t="s">
        <v>148</v>
      </c>
      <c r="B46" s="52" t="s">
        <v>149</v>
      </c>
      <c r="C46" s="52" t="s">
        <v>150</v>
      </c>
    </row>
    <row r="47" spans="1:3" s="52" customFormat="1" ht="13.8" x14ac:dyDescent="0.3">
      <c r="A47" s="68" t="s">
        <v>151</v>
      </c>
      <c r="B47" s="68" t="s">
        <v>152</v>
      </c>
      <c r="C47" s="69" t="s">
        <v>153</v>
      </c>
    </row>
    <row r="49" spans="1:3" x14ac:dyDescent="0.3">
      <c r="A49" s="52" t="s">
        <v>154</v>
      </c>
      <c r="B49" s="52"/>
      <c r="C49" s="52"/>
    </row>
    <row r="50" spans="1:3" s="52" customFormat="1" ht="13.8" x14ac:dyDescent="0.3">
      <c r="A50" s="50" t="s">
        <v>155</v>
      </c>
      <c r="B50" s="52" t="s">
        <v>156</v>
      </c>
      <c r="C50" s="52" t="s">
        <v>157</v>
      </c>
    </row>
    <row r="51" spans="1:3" s="52" customFormat="1" ht="13.8" x14ac:dyDescent="0.3">
      <c r="A51" s="68" t="s">
        <v>158</v>
      </c>
      <c r="B51" s="68" t="s">
        <v>159</v>
      </c>
      <c r="C51" s="69" t="s">
        <v>160</v>
      </c>
    </row>
  </sheetData>
  <phoneticPr fontId="2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Overview</vt:lpstr>
      <vt:lpstr>Free Spins Symbol</vt:lpstr>
      <vt:lpstr>Free Spins Pay Combo</vt:lpstr>
      <vt:lpstr>Transition Prob.</vt:lpstr>
      <vt:lpstr>HELP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2023-08-02T11:05:23Z</dcterms:modified>
</cp:coreProperties>
</file>