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D2A27792-112A-FB4A-829B-B40BB5EEDBF8}" xr6:coauthVersionLast="47" xr6:coauthVersionMax="47" xr10:uidLastSave="{00000000-0000-0000-0000-000000000000}"/>
  <bookViews>
    <workbookView xWindow="40" yWindow="760" windowWidth="23880" windowHeight="17780" activeTab="2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CA_JUR" sheetId="30" state="hidden" r:id="rId8"/>
    <sheet name="ETPT_CA_JUR_DDG" sheetId="25" r:id="rId9"/>
    <sheet name="ETPT_CA_JUR Corresp" sheetId="38" state="hidden" r:id="rId10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0" l="1"/>
  <c r="I6" i="10"/>
  <c r="J6" i="10"/>
  <c r="K6" i="10"/>
  <c r="N6" i="10"/>
  <c r="P6" i="10"/>
  <c r="U6" i="10"/>
  <c r="R6" i="10"/>
  <c r="Q6" i="10"/>
  <c r="R9" i="30"/>
  <c r="Q8" i="30"/>
  <c r="P6" i="30"/>
  <c r="R5" i="30"/>
  <c r="S6" i="10"/>
  <c r="L6" i="10"/>
  <c r="D14" i="25"/>
  <c r="D14" i="30"/>
  <c r="D13" i="30"/>
  <c r="AA6" i="25" l="1"/>
  <c r="AB6" i="25"/>
  <c r="AC6" i="25"/>
  <c r="AD6" i="25"/>
  <c r="AE6" i="25" s="1"/>
  <c r="AA7" i="25"/>
  <c r="AE7" i="25" s="1"/>
  <c r="AB7" i="25"/>
  <c r="AC7" i="25"/>
  <c r="AC17" i="25" s="1"/>
  <c r="AD7" i="25"/>
  <c r="AA8" i="25"/>
  <c r="AB8" i="25"/>
  <c r="AE8" i="25" s="1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B17" i="25" s="1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5" i="25"/>
  <c r="AB5" i="25"/>
  <c r="AC5" i="25"/>
  <c r="AD5" i="25"/>
  <c r="AE5" i="25" s="1"/>
  <c r="Z6" i="25"/>
  <c r="Z7" i="25"/>
  <c r="Z8" i="25"/>
  <c r="Z9" i="25"/>
  <c r="Z17" i="25" s="1"/>
  <c r="Z10" i="25"/>
  <c r="Z11" i="25"/>
  <c r="Z12" i="25"/>
  <c r="AE12" i="25" s="1"/>
  <c r="Z13" i="25"/>
  <c r="Z14" i="25"/>
  <c r="Z15" i="25"/>
  <c r="Z16" i="25"/>
  <c r="Z5" i="25"/>
  <c r="T6" i="25"/>
  <c r="U6" i="25"/>
  <c r="V6" i="25"/>
  <c r="W6" i="25"/>
  <c r="X6" i="25"/>
  <c r="T7" i="25"/>
  <c r="U7" i="25"/>
  <c r="V7" i="25"/>
  <c r="W7" i="25"/>
  <c r="X7" i="25"/>
  <c r="Y7" i="25" s="1"/>
  <c r="T8" i="25"/>
  <c r="U8" i="25"/>
  <c r="V8" i="25"/>
  <c r="W8" i="25"/>
  <c r="X8" i="25"/>
  <c r="Y8" i="25" s="1"/>
  <c r="T9" i="25"/>
  <c r="U9" i="25"/>
  <c r="V9" i="25"/>
  <c r="W9" i="25"/>
  <c r="X9" i="25"/>
  <c r="Y9" i="25" s="1"/>
  <c r="T10" i="25"/>
  <c r="U10" i="25"/>
  <c r="V10" i="25"/>
  <c r="W10" i="25"/>
  <c r="X10" i="25"/>
  <c r="Y10" i="25" s="1"/>
  <c r="T11" i="25"/>
  <c r="U11" i="25"/>
  <c r="V11" i="25"/>
  <c r="W11" i="25"/>
  <c r="X11" i="25"/>
  <c r="T12" i="25"/>
  <c r="U12" i="25"/>
  <c r="V12" i="25"/>
  <c r="W12" i="25"/>
  <c r="X12" i="25"/>
  <c r="T13" i="25"/>
  <c r="U13" i="25"/>
  <c r="V13" i="25"/>
  <c r="W13" i="25"/>
  <c r="X13" i="25"/>
  <c r="Y13" i="25" s="1"/>
  <c r="T14" i="25"/>
  <c r="U14" i="25"/>
  <c r="V14" i="25"/>
  <c r="W14" i="25"/>
  <c r="X14" i="25"/>
  <c r="T15" i="25"/>
  <c r="U15" i="25"/>
  <c r="V15" i="25"/>
  <c r="W15" i="25"/>
  <c r="X15" i="25"/>
  <c r="T16" i="25"/>
  <c r="U16" i="25"/>
  <c r="V16" i="25"/>
  <c r="W16" i="25"/>
  <c r="X16" i="25"/>
  <c r="U5" i="25"/>
  <c r="V5" i="25"/>
  <c r="W5" i="25"/>
  <c r="X5" i="25"/>
  <c r="T5" i="25"/>
  <c r="R5" i="25"/>
  <c r="Q6" i="25"/>
  <c r="R6" i="25"/>
  <c r="Q7" i="25"/>
  <c r="R7" i="25"/>
  <c r="Q8" i="25"/>
  <c r="R8" i="25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5" i="25"/>
  <c r="P6" i="25"/>
  <c r="P7" i="25"/>
  <c r="P8" i="25"/>
  <c r="P9" i="25"/>
  <c r="P10" i="25"/>
  <c r="P11" i="25"/>
  <c r="P12" i="25"/>
  <c r="P13" i="25"/>
  <c r="P14" i="25"/>
  <c r="P15" i="25"/>
  <c r="P16" i="25"/>
  <c r="P5" i="25"/>
  <c r="N5" i="25"/>
  <c r="J6" i="25"/>
  <c r="K6" i="25"/>
  <c r="L6" i="25"/>
  <c r="M6" i="25"/>
  <c r="N6" i="25"/>
  <c r="J7" i="25"/>
  <c r="K7" i="25"/>
  <c r="L7" i="25"/>
  <c r="M7" i="25"/>
  <c r="N7" i="25"/>
  <c r="J8" i="25"/>
  <c r="K8" i="25"/>
  <c r="L8" i="25"/>
  <c r="M8" i="25"/>
  <c r="N8" i="25"/>
  <c r="J9" i="25"/>
  <c r="K9" i="25"/>
  <c r="L9" i="25"/>
  <c r="M9" i="25"/>
  <c r="N9" i="25"/>
  <c r="O9" i="25" s="1"/>
  <c r="J10" i="25"/>
  <c r="K10" i="25"/>
  <c r="L10" i="25"/>
  <c r="M10" i="25"/>
  <c r="N10" i="25"/>
  <c r="J11" i="25"/>
  <c r="K11" i="25"/>
  <c r="L11" i="25"/>
  <c r="M11" i="25"/>
  <c r="N11" i="25"/>
  <c r="J12" i="25"/>
  <c r="K12" i="25"/>
  <c r="L12" i="25"/>
  <c r="M12" i="25"/>
  <c r="N12" i="25"/>
  <c r="J13" i="25"/>
  <c r="K13" i="25"/>
  <c r="L13" i="25"/>
  <c r="M13" i="25"/>
  <c r="N13" i="25"/>
  <c r="J14" i="25"/>
  <c r="K14" i="25"/>
  <c r="L14" i="25"/>
  <c r="M14" i="25"/>
  <c r="N14" i="25"/>
  <c r="J15" i="25"/>
  <c r="K15" i="25"/>
  <c r="L15" i="25"/>
  <c r="M15" i="25"/>
  <c r="N15" i="25"/>
  <c r="J16" i="25"/>
  <c r="K16" i="25"/>
  <c r="L16" i="25"/>
  <c r="M16" i="25"/>
  <c r="N16" i="25"/>
  <c r="K5" i="25"/>
  <c r="L5" i="25"/>
  <c r="M5" i="25"/>
  <c r="J5" i="25"/>
  <c r="I6" i="25"/>
  <c r="I5" i="25"/>
  <c r="I7" i="25"/>
  <c r="I8" i="25"/>
  <c r="I9" i="25"/>
  <c r="I10" i="25"/>
  <c r="I11" i="25"/>
  <c r="I12" i="25"/>
  <c r="I13" i="25"/>
  <c r="I14" i="25"/>
  <c r="I15" i="25"/>
  <c r="O15" i="25" s="1"/>
  <c r="I16" i="25"/>
  <c r="G5" i="25"/>
  <c r="G6" i="25"/>
  <c r="H6" i="25" s="1"/>
  <c r="G7" i="25"/>
  <c r="G8" i="25"/>
  <c r="H8" i="25" s="1"/>
  <c r="G9" i="25"/>
  <c r="G10" i="25"/>
  <c r="H10" i="25" s="1"/>
  <c r="G11" i="25"/>
  <c r="H11" i="25" s="1"/>
  <c r="G12" i="25"/>
  <c r="H12" i="25" s="1"/>
  <c r="G13" i="25"/>
  <c r="H13" i="25" s="1"/>
  <c r="G14" i="25"/>
  <c r="H14" i="25" s="1"/>
  <c r="G15" i="25"/>
  <c r="G16" i="25"/>
  <c r="H16" i="25" s="1"/>
  <c r="N19" i="25"/>
  <c r="G19" i="25"/>
  <c r="AA17" i="25"/>
  <c r="AE15" i="25"/>
  <c r="H15" i="25"/>
  <c r="D15" i="25"/>
  <c r="D13" i="25"/>
  <c r="D12" i="25"/>
  <c r="D11" i="25"/>
  <c r="D10" i="25"/>
  <c r="AE9" i="25"/>
  <c r="D9" i="25"/>
  <c r="D8" i="25"/>
  <c r="S7" i="25"/>
  <c r="O7" i="25"/>
  <c r="H7" i="25"/>
  <c r="D7" i="25"/>
  <c r="D6" i="25"/>
  <c r="AE16" i="30"/>
  <c r="AE6" i="30"/>
  <c r="AE7" i="30"/>
  <c r="AE8" i="30"/>
  <c r="AE9" i="30"/>
  <c r="AE10" i="30"/>
  <c r="AE11" i="30"/>
  <c r="AE12" i="30"/>
  <c r="AE13" i="30"/>
  <c r="AE14" i="30"/>
  <c r="AE15" i="30"/>
  <c r="AE5" i="30"/>
  <c r="S7" i="30"/>
  <c r="O7" i="30"/>
  <c r="O15" i="30"/>
  <c r="Z17" i="30"/>
  <c r="AA17" i="30"/>
  <c r="AB17" i="30"/>
  <c r="AC17" i="30"/>
  <c r="AD17" i="30"/>
  <c r="H7" i="30"/>
  <c r="H15" i="30"/>
  <c r="X16" i="30"/>
  <c r="X15" i="30"/>
  <c r="Y15" i="30" s="1"/>
  <c r="X14" i="30"/>
  <c r="N19" i="30"/>
  <c r="X13" i="30"/>
  <c r="Y13" i="30" s="1"/>
  <c r="X12" i="30"/>
  <c r="Y12" i="30" s="1"/>
  <c r="X11" i="30"/>
  <c r="Y11" i="30" s="1"/>
  <c r="X10" i="30"/>
  <c r="Y10" i="30" s="1"/>
  <c r="X9" i="30"/>
  <c r="Y9" i="30" s="1"/>
  <c r="X8" i="30"/>
  <c r="Y8" i="30" s="1"/>
  <c r="X7" i="30"/>
  <c r="Y7" i="30" s="1"/>
  <c r="X5" i="30"/>
  <c r="X17" i="30" s="1"/>
  <c r="X6" i="30"/>
  <c r="W5" i="30"/>
  <c r="W17" i="30" s="1"/>
  <c r="N5" i="30"/>
  <c r="N17" i="30" s="1"/>
  <c r="W16" i="30"/>
  <c r="W14" i="30"/>
  <c r="V6" i="30"/>
  <c r="V17" i="30" s="1"/>
  <c r="M5" i="30"/>
  <c r="M17" i="30" s="1"/>
  <c r="V16" i="30"/>
  <c r="V14" i="30"/>
  <c r="U6" i="30"/>
  <c r="U17" i="30" s="1"/>
  <c r="L6" i="30"/>
  <c r="L17" i="30" s="1"/>
  <c r="U16" i="30"/>
  <c r="U14" i="30"/>
  <c r="T6" i="30"/>
  <c r="Y6" i="30" s="1"/>
  <c r="K6" i="30"/>
  <c r="K17" i="30" s="1"/>
  <c r="T16" i="30"/>
  <c r="Y16" i="30" s="1"/>
  <c r="T14" i="30"/>
  <c r="Y14" i="30" s="1"/>
  <c r="J6" i="30"/>
  <c r="O6" i="30" s="1"/>
  <c r="R16" i="30"/>
  <c r="R15" i="30"/>
  <c r="R14" i="30"/>
  <c r="R13" i="30"/>
  <c r="R12" i="30"/>
  <c r="R11" i="30"/>
  <c r="R10" i="30"/>
  <c r="R8" i="30"/>
  <c r="R6" i="30"/>
  <c r="R17" i="30"/>
  <c r="Q16" i="30"/>
  <c r="Q15" i="30"/>
  <c r="Q14" i="30"/>
  <c r="Q13" i="30"/>
  <c r="Q12" i="30"/>
  <c r="Q11" i="30"/>
  <c r="Q10" i="30"/>
  <c r="Q9" i="30"/>
  <c r="Q6" i="30"/>
  <c r="Q5" i="30"/>
  <c r="Q17" i="30" s="1"/>
  <c r="P16" i="30"/>
  <c r="P15" i="30"/>
  <c r="S15" i="30" s="1"/>
  <c r="P14" i="30"/>
  <c r="P13" i="30"/>
  <c r="S13" i="30" s="1"/>
  <c r="P12" i="30"/>
  <c r="S12" i="30" s="1"/>
  <c r="P11" i="30"/>
  <c r="S11" i="30" s="1"/>
  <c r="P10" i="30"/>
  <c r="S10" i="30" s="1"/>
  <c r="P9" i="30"/>
  <c r="P8" i="30"/>
  <c r="S8" i="30" s="1"/>
  <c r="S6" i="30"/>
  <c r="P5" i="30"/>
  <c r="P17" i="30" s="1"/>
  <c r="N14" i="30"/>
  <c r="N12" i="30"/>
  <c r="O12" i="30" s="1"/>
  <c r="N11" i="30"/>
  <c r="O11" i="30" s="1"/>
  <c r="N10" i="30"/>
  <c r="O10" i="30" s="1"/>
  <c r="N9" i="30"/>
  <c r="O9" i="30" s="1"/>
  <c r="N8" i="30"/>
  <c r="O8" i="30" s="1"/>
  <c r="G6" i="30"/>
  <c r="H6" i="30" s="1"/>
  <c r="N6" i="30"/>
  <c r="I5" i="30"/>
  <c r="O5" i="30" s="1"/>
  <c r="O17" i="30" s="1"/>
  <c r="N16" i="30"/>
  <c r="G19" i="30"/>
  <c r="N13" i="30"/>
  <c r="O13" i="30" s="1"/>
  <c r="G13" i="30"/>
  <c r="H13" i="30" s="1"/>
  <c r="G12" i="30"/>
  <c r="H12" i="30" s="1"/>
  <c r="G9" i="30"/>
  <c r="H9" i="30" s="1"/>
  <c r="M16" i="30"/>
  <c r="M14" i="30"/>
  <c r="L16" i="30"/>
  <c r="L14" i="30"/>
  <c r="G5" i="30"/>
  <c r="G17" i="30" s="1"/>
  <c r="K16" i="30"/>
  <c r="K14" i="30"/>
  <c r="J16" i="30"/>
  <c r="J14" i="30"/>
  <c r="I16" i="30"/>
  <c r="O16" i="30" s="1"/>
  <c r="I14" i="30"/>
  <c r="O14" i="30" s="1"/>
  <c r="G16" i="30"/>
  <c r="H16" i="30" s="1"/>
  <c r="G14" i="30"/>
  <c r="H14" i="30" s="1"/>
  <c r="G11" i="30"/>
  <c r="H11" i="30" s="1"/>
  <c r="G10" i="30"/>
  <c r="H10" i="30" s="1"/>
  <c r="G8" i="30"/>
  <c r="H8" i="30" s="1"/>
  <c r="D15" i="30"/>
  <c r="S13" i="25" l="1"/>
  <c r="S6" i="25"/>
  <c r="O13" i="25"/>
  <c r="Y6" i="25"/>
  <c r="V17" i="25"/>
  <c r="K17" i="25"/>
  <c r="O8" i="25"/>
  <c r="S11" i="25"/>
  <c r="S15" i="25"/>
  <c r="L17" i="25"/>
  <c r="S14" i="30"/>
  <c r="M17" i="25"/>
  <c r="N17" i="25"/>
  <c r="S9" i="30"/>
  <c r="Y5" i="30"/>
  <c r="Y17" i="30" s="1"/>
  <c r="S12" i="25"/>
  <c r="Y12" i="25"/>
  <c r="U17" i="25"/>
  <c r="S14" i="25"/>
  <c r="S8" i="25"/>
  <c r="Y14" i="25"/>
  <c r="S16" i="30"/>
  <c r="P17" i="25"/>
  <c r="Y16" i="25"/>
  <c r="AE16" i="25"/>
  <c r="AE14" i="25"/>
  <c r="AE13" i="25"/>
  <c r="AE11" i="25"/>
  <c r="AE10" i="25"/>
  <c r="AD17" i="25"/>
  <c r="AE17" i="25"/>
  <c r="X17" i="25"/>
  <c r="Y5" i="25"/>
  <c r="Y15" i="25"/>
  <c r="Y11" i="25"/>
  <c r="R17" i="25"/>
  <c r="Q17" i="25"/>
  <c r="S10" i="25"/>
  <c r="J17" i="25"/>
  <c r="O16" i="25"/>
  <c r="I17" i="25"/>
  <c r="O10" i="25"/>
  <c r="S9" i="25"/>
  <c r="O14" i="25"/>
  <c r="S16" i="25"/>
  <c r="G17" i="25"/>
  <c r="O6" i="25"/>
  <c r="O12" i="25"/>
  <c r="O11" i="25"/>
  <c r="H9" i="25"/>
  <c r="S5" i="25"/>
  <c r="W17" i="25"/>
  <c r="H5" i="25"/>
  <c r="O5" i="25"/>
  <c r="T17" i="25"/>
  <c r="S5" i="30"/>
  <c r="S17" i="30" s="1"/>
  <c r="H5" i="30"/>
  <c r="H17" i="30" s="1"/>
  <c r="J17" i="30"/>
  <c r="I17" i="30"/>
  <c r="T17" i="30"/>
  <c r="AE17" i="30"/>
  <c r="Y17" i="25" l="1"/>
  <c r="S17" i="25"/>
  <c r="O17" i="25"/>
  <c r="H17" i="25"/>
  <c r="X17" i="38" l="1"/>
  <c r="W17" i="38"/>
  <c r="V17" i="38"/>
  <c r="U17" i="38"/>
  <c r="T17" i="38"/>
  <c r="R17" i="38"/>
  <c r="Q17" i="38"/>
  <c r="P17" i="38"/>
  <c r="N17" i="38"/>
  <c r="M17" i="38"/>
  <c r="L17" i="38"/>
  <c r="O17" i="38" s="1"/>
  <c r="K17" i="38"/>
  <c r="J17" i="38"/>
  <c r="I17" i="38"/>
  <c r="G17" i="38"/>
  <c r="Y16" i="38"/>
  <c r="S16" i="38"/>
  <c r="O16" i="38"/>
  <c r="H16" i="38"/>
  <c r="Y15" i="38"/>
  <c r="S15" i="38"/>
  <c r="O15" i="38"/>
  <c r="H15" i="38"/>
  <c r="Y14" i="38"/>
  <c r="S14" i="38"/>
  <c r="O14" i="38"/>
  <c r="H14" i="38"/>
  <c r="Y13" i="38"/>
  <c r="S13" i="38"/>
  <c r="O13" i="38"/>
  <c r="H13" i="38"/>
  <c r="Y12" i="38"/>
  <c r="S12" i="38"/>
  <c r="O12" i="38"/>
  <c r="H12" i="38"/>
  <c r="Y11" i="38"/>
  <c r="S11" i="38"/>
  <c r="O11" i="38"/>
  <c r="H11" i="38"/>
  <c r="Y10" i="38"/>
  <c r="S10" i="38"/>
  <c r="O10" i="38"/>
  <c r="H10" i="38"/>
  <c r="Y9" i="38"/>
  <c r="S9" i="38"/>
  <c r="O9" i="38"/>
  <c r="H9" i="38"/>
  <c r="Y8" i="38"/>
  <c r="S8" i="38"/>
  <c r="O8" i="38"/>
  <c r="H8" i="38"/>
  <c r="Y7" i="38"/>
  <c r="S7" i="38"/>
  <c r="S17" i="38" s="1"/>
  <c r="O7" i="38"/>
  <c r="H7" i="38"/>
  <c r="Y6" i="38"/>
  <c r="S6" i="38"/>
  <c r="O6" i="38"/>
  <c r="H6" i="38"/>
  <c r="Y5" i="38"/>
  <c r="Y17" i="38" s="1"/>
  <c r="S5" i="38"/>
  <c r="O5" i="38"/>
  <c r="H5" i="38"/>
  <c r="H17" i="38" s="1"/>
  <c r="H6" i="10" l="1"/>
  <c r="T6" i="10" l="1"/>
  <c r="O6" i="10"/>
  <c r="V6" i="10"/>
  <c r="M6" i="10"/>
  <c r="D6" i="30" l="1"/>
  <c r="D7" i="30"/>
  <c r="D8" i="30"/>
  <c r="D9" i="30"/>
  <c r="D10" i="30"/>
  <c r="D11" i="30"/>
  <c r="D12" i="30"/>
  <c r="B3" i="10" l="1"/>
</calcChain>
</file>

<file path=xl/sharedStrings.xml><?xml version="1.0" encoding="utf-8"?>
<sst xmlns="http://schemas.openxmlformats.org/spreadsheetml/2006/main" count="542" uniqueCount="267">
  <si>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</si>
  <si>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</si>
  <si>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</si>
  <si>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</si>
  <si>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</si>
  <si>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</si>
  <si>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</si>
  <si>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</si>
  <si>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</si>
  <si>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</si>
  <si>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</si>
  <si>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</si>
  <si>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</si>
  <si>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</si>
  <si>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</si>
  <si>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</si>
  <si>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</si>
  <si>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</si>
  <si>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</si>
  <si>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</si>
  <si>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</si>
  <si>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</si>
  <si>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</si>
  <si>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</si>
  <si>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</si>
  <si>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</si>
  <si>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</si>
  <si>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</si>
  <si>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</si>
  <si>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</si>
  <si>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</si>
  <si>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</si>
  <si>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</si>
  <si>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</si>
  <si>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</si>
  <si>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TJ</t>
  </si>
  <si>
    <t>CPH</t>
  </si>
  <si>
    <t>TPROX</t>
  </si>
  <si>
    <t>JURISTE AS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</si>
  <si>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</si>
  <si>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</si>
  <si>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</si>
  <si>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</si>
  <si>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</si>
  <si>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</si>
  <si>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</si>
  <si>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</si>
  <si>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</si>
  <si>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</si>
  <si>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</si>
  <si>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</si>
  <si>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</si>
  <si>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</si>
  <si>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</si>
  <si>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</si>
  <si>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</si>
  <si>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</si>
  <si>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</si>
  <si>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</si>
  <si>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</si>
  <si>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</si>
  <si>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</si>
  <si>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</si>
  <si>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</si>
  <si>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</si>
  <si>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</si>
  <si>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</si>
  <si>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Cour criminelle</t>
  </si>
  <si>
    <t>Magistrats du Parquet assises</t>
  </si>
  <si>
    <t>Magistrats du Parquet - activité civile et commerciale</t>
  </si>
  <si>
    <t>Autres Magistrats du Siège non spécialisés</t>
  </si>
  <si>
    <t>Magistrats du siège Cour criminelle</t>
  </si>
  <si>
    <t>Magistrats du Siège assises</t>
  </si>
  <si>
    <t>Juristes assistants siège Autres</t>
  </si>
  <si>
    <t>Juristes assistants au parquet</t>
  </si>
  <si>
    <t xml:space="preserve">Fonctionnaires hors fonctions spécifiques </t>
  </si>
  <si>
    <t>Fonctionnaires Cour criminelle</t>
  </si>
  <si>
    <t>Fonctionnaires Assises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</si>
  <si>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</si>
  <si>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</si>
  <si>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</si>
  <si>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</si>
  <si>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</si>
  <si>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</si>
  <si>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</si>
  <si>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PQT_COUR_CRIM</t>
  </si>
  <si>
    <t>PARQUET_ASSISES</t>
  </si>
  <si>
    <t>PARQUET_ACTIVITE_CIV_COM</t>
  </si>
  <si>
    <t>AUTRES_JNS</t>
  </si>
  <si>
    <t>JNS_COUR_CRIM</t>
  </si>
  <si>
    <t>MAG_SIEGE_ASSISES</t>
  </si>
  <si>
    <t>JUR_ASS_SIEGE</t>
  </si>
  <si>
    <t>JUR_ASS_PARQUET</t>
  </si>
  <si>
    <t>FONCTIONNAIRES_HORS_FONCT_SPEC</t>
  </si>
  <si>
    <t>FONC_COUR_CRIM</t>
  </si>
  <si>
    <t>FONCTIONNAIRES_ASSISES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</si>
  <si>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</si>
  <si>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</si>
  <si>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</si>
  <si>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</si>
  <si>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</si>
  <si>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</si>
  <si>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juristes assistants</t>
  </si>
  <si>
    <t>Total fonctionnaires administratifs</t>
  </si>
  <si>
    <t>A-B-CBUR</t>
  </si>
  <si>
    <t>Total fonctionnaires techniques</t>
  </si>
  <si>
    <t>CTECH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</si>
  <si>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</si>
  <si>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</si>
  <si>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</si>
  <si>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>RECAPITULATIF</t>
  </si>
  <si>
    <t>CPH détachés</t>
  </si>
  <si>
    <t xml:space="preserve">  </t>
  </si>
  <si>
    <t>Bienvenue dans l'extraction de vos données d'effectifs !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</si>
  <si>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</si>
  <si>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</si>
  <si>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</si>
  <si>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</si>
  <si>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</si>
  <si>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</si>
  <si>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</si>
  <si>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</si>
  <si>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</si>
  <si>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</si>
  <si>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</si>
  <si>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</si>
  <si>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</si>
  <si>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</si>
  <si>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</si>
  <si>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</si>
  <si>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</si>
  <si>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</si>
  <si>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</si>
  <si>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</si>
  <si>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</si>
  <si>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</si>
  <si>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t>%age de l'ETPT</t>
  </si>
  <si>
    <t>## y.global1</t>
  </si>
  <si>
    <t>## y.sub1</t>
  </si>
  <si>
    <t>Ce fichier Excel a été extrait automatiquement de votre application A-JUST CA. Retrouvez ci-dessous quelques indications pour y naviguer en toute fluidité.</t>
  </si>
  <si>
    <t>DÉCLARATION ETPT CA JUR</t>
  </si>
  <si>
    <t>FONCTIONNAIRES_JIRS</t>
  </si>
  <si>
    <t>FONCTIONNAIRES_CH_SOC</t>
  </si>
  <si>
    <t>JUR_ASS_CH_SOC</t>
  </si>
  <si>
    <t>MAG_SIEGE_JIRS</t>
  </si>
  <si>
    <t>MAG_SIEGE_CH_SOC</t>
  </si>
  <si>
    <t>Fonctionnaires JIRS</t>
  </si>
  <si>
    <t>Fonctionnaires chambres sociales</t>
  </si>
  <si>
    <t>Juristes assistants chambres sociales</t>
  </si>
  <si>
    <t>Autres Magistrats du Siège JIRS</t>
  </si>
  <si>
    <t>Magistrats du Siège chambres sociales</t>
  </si>
  <si>
    <t>ETPT_CA_JUR</t>
  </si>
  <si>
    <r>
      <t xml:space="preserve">Temps ventilés sur la période (contentieux sociaux civils et commerciaux) 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</si>
  <si>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</si>
  <si>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</si>
  <si>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</si>
  <si>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</si>
  <si>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</si>
  <si>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</si>
  <si>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</si>
  <si>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</si>
  <si>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</si>
  <si>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</si>
  <si>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</si>
  <si>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</si>
  <si>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</si>
  <si>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</si>
  <si>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</si>
  <si>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</si>
  <si>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</si>
  <si>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</si>
  <si>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</si>
  <si>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</si>
  <si>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13.4 CSM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</si>
  <si>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</si>
  <si>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</si>
  <si>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</si>
  <si>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</si>
  <si>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</si>
  <si>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</si>
  <si>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CTECH)</t>
    </r>
    <r>
      <rPr>
        <sz val="10"/>
        <rFont val="Arial"/>
        <family val="2"/>
      </rPr>
      <t xml:space="preserve"> 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</si>
  <si>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</si>
  <si>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</si>
  <si>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</si>
  <si>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</si>
  <si>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</si>
  <si>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</si>
  <si>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</si>
  <si>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</si>
  <si>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</si>
  <si>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</si>
  <si>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</si>
  <si>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</si>
  <si>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</si>
  <si>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</si>
  <si>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</si>
  <si>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</si>
  <si>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</si>
  <si>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</si>
  <si>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</si>
  <si>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</si>
  <si>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</si>
  <si>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</si>
  <si>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</si>
  <si>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</si>
  <si>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</si>
  <si>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</si>
  <si>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</si>
  <si>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</si>
  <si>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</si>
  <si>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ADD)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</si>
  <si>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</si>
  <si>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</si>
  <si>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</si>
  <si>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</si>
  <si>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</si>
  <si>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</si>
  <si>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</si>
  <si>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</si>
  <si>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</si>
  <si>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</si>
  <si>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</si>
  <si>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</si>
  <si>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</si>
  <si>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</si>
  <si>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t>166-PN-NC</t>
  </si>
  <si>
    <t>Etpt placés absents non affectés</t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</si>
  <si>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chambres sociales placé ADD ; JURISTE AS chambres sociales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</si>
  <si>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siège Autres placé ADD ; JURISTE AS siège Autres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</si>
  <si>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parquet général placé ADD ; JURISTE AS parquet général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</si>
  <si>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Magistrat placé ADD ; Magistrat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</si>
  <si>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SUB)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</si>
  <si>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</si>
  <si>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</si>
  <si>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</si>
  <si>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</si>
  <si>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</si>
  <si>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</si>
  <si>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</si>
  <si>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</si>
  <si>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</si>
  <si>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</si>
  <si>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</si>
  <si>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</si>
  <si>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</si>
  <si>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</si>
  <si>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t>Correspondance</t>
  </si>
  <si>
    <t>Temps ventilés sur la période (contentieux sociaux civils et commerciaux)</t>
  </si>
  <si>
    <t>Temps ventilés sur la période (service pénal)</t>
  </si>
  <si>
    <t>Temps ventilés sur la période (hors indisponibilité)</t>
  </si>
  <si>
    <t>Temps ventilés sur la période (y.c. indisponibilité)</t>
  </si>
  <si>
    <t>Soutien (Hors accueil du justiciable)</t>
  </si>
  <si>
    <t>PARQUET_JIRS</t>
  </si>
  <si>
    <t>Magistrats du Parquet JIRS</t>
  </si>
  <si>
    <t xml:space="preserve">                 Déclaration des ETPT CA</t>
  </si>
  <si>
    <t>Indisponibilité des placés à reporter sur le SAR, ligne "Etpt placés absents non affectés", colonne C-TECH</t>
  </si>
  <si>
    <t>Indisponibilité des placés à reporter sur le SAR, ligne "Etpt placés absents non affectés", colonne ABC-BUR</t>
  </si>
  <si>
    <t xml:space="preserve">                Déclaration des ETPT CA</t>
  </si>
  <si>
    <t>=ETPT_CA_JUR_DDG!D5</t>
  </si>
  <si>
    <t>## f.category_label</t>
  </si>
  <si>
    <t>## f.label</t>
  </si>
  <si>
    <t>## f.code</t>
  </si>
  <si>
    <t>## f.position</t>
  </si>
  <si>
    <t>## f.category_detail</t>
  </si>
  <si>
    <t>## f.recodedFunction</t>
  </si>
  <si>
    <t>#! END_LOOP f</t>
  </si>
  <si>
    <t>#! FOR_EACH f fonctions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</si>
</sst>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4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333333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sz val="10"/>
      <color rgb="FF0070C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5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66" fontId="3" fillId="0" borderId="3" xfId="3" applyNumberFormat="1" applyFont="1" applyBorder="1" applyAlignment="1">
      <alignment horizontal="center" vertical="center" wrapText="1"/>
    </xf>
    <xf numFmtId="166" fontId="3" fillId="0" borderId="4" xfId="3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166" fontId="3" fillId="0" borderId="0" xfId="3" applyNumberFormat="1" applyFont="1" applyBorder="1" applyAlignment="1">
      <alignment horizontal="center" vertical="center"/>
    </xf>
    <xf numFmtId="166" fontId="3" fillId="0" borderId="1" xfId="3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6" fillId="0" borderId="0" xfId="0" applyFont="1"/>
    <xf numFmtId="166" fontId="3" fillId="0" borderId="4" xfId="0" applyNumberFormat="1" applyFont="1" applyBorder="1" applyAlignment="1">
      <alignment horizontal="center" vertical="center" wrapText="1"/>
    </xf>
    <xf numFmtId="0" fontId="11" fillId="0" borderId="0" xfId="4" applyFont="1" applyProtection="1">
      <protection hidden="1"/>
    </xf>
    <xf numFmtId="0" fontId="12" fillId="0" borderId="0" xfId="4" applyFont="1" applyProtection="1">
      <protection locked="0"/>
    </xf>
    <xf numFmtId="49" fontId="12" fillId="0" borderId="0" xfId="4" applyNumberFormat="1" applyFont="1" applyAlignment="1" applyProtection="1">
      <alignment horizontal="left" vertical="center"/>
      <protection locked="0"/>
    </xf>
    <xf numFmtId="0" fontId="12" fillId="0" borderId="0" xfId="4" applyFont="1" applyAlignment="1" applyProtection="1">
      <alignment horizontal="left" vertical="center"/>
      <protection locked="0"/>
    </xf>
    <xf numFmtId="0" fontId="11" fillId="0" borderId="0" xfId="4" applyFont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7" fillId="0" borderId="0" xfId="4" applyFont="1" applyAlignment="1">
      <alignment vertical="center" wrapText="1"/>
    </xf>
    <xf numFmtId="0" fontId="14" fillId="0" borderId="0" xfId="4" applyFont="1" applyAlignment="1">
      <alignment vertical="center" wrapText="1"/>
    </xf>
    <xf numFmtId="0" fontId="1" fillId="0" borderId="0" xfId="4" applyProtection="1">
      <protection hidden="1"/>
    </xf>
    <xf numFmtId="0" fontId="19" fillId="9" borderId="11" xfId="4" applyFont="1" applyFill="1" applyBorder="1" applyAlignment="1" applyProtection="1">
      <alignment horizontal="left" vertical="center"/>
      <protection hidden="1"/>
    </xf>
    <xf numFmtId="0" fontId="21" fillId="9" borderId="11" xfId="4" applyFont="1" applyFill="1" applyBorder="1" applyAlignment="1" applyProtection="1">
      <alignment horizontal="left" vertical="center"/>
      <protection hidden="1"/>
    </xf>
    <xf numFmtId="0" fontId="21" fillId="9" borderId="0" xfId="4" applyFont="1" applyFill="1" applyAlignment="1" applyProtection="1">
      <alignment horizontal="center" vertical="center"/>
      <protection hidden="1"/>
    </xf>
    <xf numFmtId="49" fontId="19" fillId="9" borderId="11" xfId="4" applyNumberFormat="1" applyFont="1" applyFill="1" applyBorder="1" applyAlignment="1" applyProtection="1">
      <alignment horizontal="left" vertical="center"/>
      <protection hidden="1"/>
    </xf>
    <xf numFmtId="49" fontId="19" fillId="9" borderId="0" xfId="4" applyNumberFormat="1" applyFont="1" applyFill="1" applyAlignment="1" applyProtection="1">
      <alignment horizontal="center" vertical="center"/>
      <protection hidden="1"/>
    </xf>
    <xf numFmtId="49" fontId="20" fillId="9" borderId="11" xfId="4" applyNumberFormat="1" applyFont="1" applyFill="1" applyBorder="1" applyAlignment="1" applyProtection="1">
      <alignment horizontal="center" vertical="center" wrapText="1"/>
      <protection hidden="1"/>
    </xf>
    <xf numFmtId="49" fontId="22" fillId="9" borderId="0" xfId="4" applyNumberFormat="1" applyFont="1" applyFill="1" applyAlignment="1" applyProtection="1">
      <alignment horizontal="center" vertical="center"/>
      <protection hidden="1"/>
    </xf>
    <xf numFmtId="0" fontId="23" fillId="9" borderId="0" xfId="4" applyFont="1" applyFill="1" applyAlignment="1" applyProtection="1">
      <alignment horizontal="center" vertical="center" wrapText="1"/>
      <protection hidden="1"/>
    </xf>
    <xf numFmtId="0" fontId="22" fillId="9" borderId="0" xfId="4" applyFont="1" applyFill="1" applyAlignment="1" applyProtection="1">
      <alignment horizontal="center" vertical="center"/>
      <protection hidden="1"/>
    </xf>
    <xf numFmtId="49" fontId="24" fillId="13" borderId="11" xfId="4" applyNumberFormat="1" applyFont="1" applyFill="1" applyBorder="1" applyAlignment="1" applyProtection="1">
      <alignment horizontal="left" vertical="center"/>
      <protection hidden="1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/>
    <xf numFmtId="0" fontId="27" fillId="15" borderId="0" xfId="0" applyFont="1" applyFill="1" applyAlignment="1">
      <alignment vertical="center" wrapText="1"/>
    </xf>
    <xf numFmtId="0" fontId="27" fillId="15" borderId="0" xfId="0" applyFont="1" applyFill="1" applyAlignment="1">
      <alignment vertical="center"/>
    </xf>
    <xf numFmtId="0" fontId="27" fillId="15" borderId="0" xfId="0" applyFont="1" applyFill="1" applyAlignment="1">
      <alignment horizontal="left" vertical="center"/>
    </xf>
    <xf numFmtId="0" fontId="28" fillId="15" borderId="0" xfId="0" applyFont="1" applyFill="1" applyAlignment="1">
      <alignment horizontal="right" wrapText="1"/>
    </xf>
    <xf numFmtId="0" fontId="28" fillId="15" borderId="0" xfId="0" applyFont="1" applyFill="1"/>
    <xf numFmtId="0" fontId="28" fillId="15" borderId="0" xfId="0" applyFont="1" applyFill="1" applyAlignment="1">
      <alignment horizontal="left" vertical="center" wrapText="1"/>
    </xf>
    <xf numFmtId="0" fontId="28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26" fillId="0" borderId="0" xfId="0" applyFont="1" applyAlignment="1">
      <alignment horizontal="right" vertical="center" wrapText="1"/>
    </xf>
    <xf numFmtId="0" fontId="9" fillId="15" borderId="13" xfId="0" quotePrefix="1" applyFont="1" applyFill="1" applyBorder="1" applyAlignment="1">
      <alignment horizontal="left" vertical="center" wrapText="1" indent="1"/>
    </xf>
    <xf numFmtId="0" fontId="9" fillId="15" borderId="14" xfId="0" applyFont="1" applyFill="1" applyBorder="1" applyAlignment="1">
      <alignment horizontal="left" vertical="center" wrapText="1" indent="1"/>
    </xf>
    <xf numFmtId="0" fontId="26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27" fillId="3" borderId="0" xfId="0" applyFont="1" applyFill="1" applyAlignment="1">
      <alignment horizontal="left" vertical="center"/>
    </xf>
    <xf numFmtId="0" fontId="0" fillId="0" borderId="18" xfId="0" applyBorder="1" applyAlignment="1">
      <alignment horizontal="left" vertical="center" wrapText="1" indent="1"/>
    </xf>
    <xf numFmtId="0" fontId="0" fillId="0" borderId="20" xfId="0" applyBorder="1" applyAlignment="1">
      <alignment horizontal="left" vertical="center" wrapText="1" indent="1"/>
    </xf>
    <xf numFmtId="0" fontId="0" fillId="0" borderId="31" xfId="0" applyBorder="1" applyAlignment="1">
      <alignment vertical="center" wrapText="1"/>
    </xf>
    <xf numFmtId="0" fontId="26" fillId="0" borderId="21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quotePrefix="1" applyBorder="1" applyAlignment="1">
      <alignment vertical="top" wrapText="1"/>
    </xf>
    <xf numFmtId="0" fontId="32" fillId="16" borderId="17" xfId="0" applyFont="1" applyFill="1" applyBorder="1" applyAlignment="1">
      <alignment horizontal="left" vertical="center" wrapText="1" indent="1"/>
    </xf>
    <xf numFmtId="0" fontId="32" fillId="17" borderId="19" xfId="0" applyFont="1" applyFill="1" applyBorder="1" applyAlignment="1">
      <alignment horizontal="left" vertical="center" wrapText="1" indent="1"/>
    </xf>
    <xf numFmtId="0" fontId="32" fillId="18" borderId="19" xfId="0" applyFont="1" applyFill="1" applyBorder="1" applyAlignment="1">
      <alignment horizontal="left" vertical="center" wrapText="1" indent="1"/>
    </xf>
    <xf numFmtId="0" fontId="32" fillId="19" borderId="21" xfId="0" applyFont="1" applyFill="1" applyBorder="1" applyAlignment="1">
      <alignment horizontal="left" vertical="center" wrapText="1" indent="1"/>
    </xf>
    <xf numFmtId="0" fontId="33" fillId="20" borderId="21" xfId="0" applyFont="1" applyFill="1" applyBorder="1" applyAlignment="1">
      <alignment horizontal="left" vertical="center" wrapText="1" indent="1"/>
    </xf>
    <xf numFmtId="0" fontId="33" fillId="21" borderId="28" xfId="0" applyFont="1" applyFill="1" applyBorder="1" applyAlignment="1">
      <alignment horizontal="left" vertical="center" wrapText="1" indent="1"/>
    </xf>
    <xf numFmtId="0" fontId="16" fillId="9" borderId="0" xfId="0" applyFont="1" applyFill="1" applyAlignment="1">
      <alignment horizontal="left"/>
    </xf>
    <xf numFmtId="169" fontId="17" fillId="10" borderId="11" xfId="0" applyNumberFormat="1" applyFont="1" applyFill="1" applyBorder="1"/>
    <xf numFmtId="0" fontId="34" fillId="9" borderId="11" xfId="0" applyFont="1" applyFill="1" applyBorder="1" applyAlignment="1">
      <alignment horizontal="center" vertical="center" wrapText="1"/>
    </xf>
    <xf numFmtId="169" fontId="37" fillId="12" borderId="11" xfId="0" applyNumberFormat="1" applyFont="1" applyFill="1" applyBorder="1" applyAlignment="1">
      <alignment horizontal="center" vertical="center" wrapText="1"/>
    </xf>
    <xf numFmtId="169" fontId="37" fillId="11" borderId="11" xfId="0" applyNumberFormat="1" applyFont="1" applyFill="1" applyBorder="1" applyAlignment="1">
      <alignment horizontal="center" wrapText="1"/>
    </xf>
    <xf numFmtId="169" fontId="38" fillId="11" borderId="11" xfId="0" applyNumberFormat="1" applyFont="1" applyFill="1" applyBorder="1" applyAlignment="1">
      <alignment horizontal="center" wrapText="1"/>
    </xf>
    <xf numFmtId="169" fontId="38" fillId="0" borderId="11" xfId="0" applyNumberFormat="1" applyFont="1" applyBorder="1" applyAlignment="1">
      <alignment horizontal="center" vertical="center" wrapText="1"/>
    </xf>
    <xf numFmtId="169" fontId="36" fillId="9" borderId="11" xfId="0" applyNumberFormat="1" applyFont="1" applyFill="1" applyBorder="1" applyAlignment="1">
      <alignment horizontal="center" vertical="center" wrapText="1"/>
    </xf>
    <xf numFmtId="169" fontId="37" fillId="0" borderId="11" xfId="0" applyNumberFormat="1" applyFont="1" applyBorder="1" applyAlignment="1">
      <alignment horizontal="center" vertical="center" wrapText="1"/>
    </xf>
    <xf numFmtId="4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 wrapText="1"/>
    </xf>
    <xf numFmtId="166" fontId="39" fillId="0" borderId="2" xfId="0" applyNumberFormat="1" applyFont="1" applyBorder="1" applyAlignment="1">
      <alignment horizontal="center" vertical="center" wrapText="1"/>
    </xf>
    <xf numFmtId="170" fontId="39" fillId="0" borderId="0" xfId="3" applyNumberFormat="1" applyFont="1" applyBorder="1" applyAlignment="1">
      <alignment horizontal="center" vertical="center"/>
    </xf>
    <xf numFmtId="170" fontId="39" fillId="0" borderId="5" xfId="3" applyNumberFormat="1" applyFont="1" applyBorder="1" applyAlignment="1">
      <alignment horizontal="center" vertical="center"/>
    </xf>
    <xf numFmtId="166" fontId="39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41" fillId="9" borderId="0" xfId="0" applyFont="1" applyFill="1" applyAlignment="1">
      <alignment horizontal="left" wrapText="1"/>
    </xf>
    <xf numFmtId="0" fontId="40" fillId="9" borderId="0" xfId="0" applyFont="1" applyFill="1" applyAlignment="1">
      <alignment horizontal="center" vertical="center" wrapText="1"/>
    </xf>
    <xf numFmtId="49" fontId="40" fillId="9" borderId="0" xfId="0" applyNumberFormat="1" applyFont="1" applyFill="1" applyAlignment="1">
      <alignment horizontal="center" vertical="center" wrapText="1"/>
    </xf>
    <xf numFmtId="49" fontId="40" fillId="9" borderId="11" xfId="0" applyNumberFormat="1" applyFont="1" applyFill="1" applyBorder="1" applyAlignment="1">
      <alignment horizontal="center" vertical="center" wrapText="1"/>
    </xf>
    <xf numFmtId="49" fontId="42" fillId="9" borderId="12" xfId="0" applyNumberFormat="1" applyFont="1" applyFill="1" applyBorder="1" applyAlignment="1">
      <alignment horizontal="left" vertical="center"/>
    </xf>
    <xf numFmtId="49" fontId="42" fillId="9" borderId="11" xfId="0" applyNumberFormat="1" applyFont="1" applyFill="1" applyBorder="1" applyAlignment="1">
      <alignment horizontal="left" vertical="center"/>
    </xf>
    <xf numFmtId="49" fontId="42" fillId="9" borderId="11" xfId="0" applyNumberFormat="1" applyFont="1" applyFill="1" applyBorder="1" applyAlignment="1">
      <alignment horizontal="left" vertical="center" wrapText="1"/>
    </xf>
    <xf numFmtId="169" fontId="19" fillId="9" borderId="11" xfId="0" applyNumberFormat="1" applyFont="1" applyFill="1" applyBorder="1"/>
    <xf numFmtId="169" fontId="37" fillId="8" borderId="11" xfId="0" applyNumberFormat="1" applyFont="1" applyFill="1" applyBorder="1" applyAlignment="1">
      <alignment horizontal="center" vertical="center" wrapText="1"/>
    </xf>
    <xf numFmtId="49" fontId="44" fillId="0" borderId="11" xfId="0" applyNumberFormat="1" applyFont="1" applyBorder="1" applyAlignment="1">
      <alignment horizontal="left" vertical="center" wrapText="1"/>
    </xf>
    <xf numFmtId="169" fontId="34" fillId="0" borderId="11" xfId="0" applyNumberFormat="1" applyFont="1" applyBorder="1" applyAlignment="1">
      <alignment horizontal="center" vertical="center" wrapText="1"/>
    </xf>
    <xf numFmtId="169" fontId="34" fillId="0" borderId="11" xfId="0" applyNumberFormat="1" applyFont="1" applyBorder="1" applyAlignment="1">
      <alignment horizontal="center" vertical="center"/>
    </xf>
    <xf numFmtId="169" fontId="19" fillId="0" borderId="11" xfId="0" applyNumberFormat="1" applyFont="1" applyBorder="1"/>
    <xf numFmtId="0" fontId="42" fillId="9" borderId="12" xfId="0" applyFont="1" applyFill="1" applyBorder="1" applyAlignment="1">
      <alignment horizontal="left" vertical="center"/>
    </xf>
    <xf numFmtId="0" fontId="45" fillId="9" borderId="11" xfId="0" applyFont="1" applyFill="1" applyBorder="1" applyAlignment="1">
      <alignment horizontal="left" vertical="center"/>
    </xf>
    <xf numFmtId="49" fontId="45" fillId="9" borderId="11" xfId="0" applyNumberFormat="1" applyFont="1" applyFill="1" applyBorder="1" applyAlignment="1">
      <alignment horizontal="left" vertical="center"/>
    </xf>
    <xf numFmtId="49" fontId="46" fillId="10" borderId="11" xfId="0" applyNumberFormat="1" applyFont="1" applyFill="1" applyBorder="1" applyAlignment="1">
      <alignment horizontal="left" vertical="center" wrapText="1"/>
    </xf>
    <xf numFmtId="0" fontId="3" fillId="0" borderId="7" xfId="4" applyFont="1" applyBorder="1" applyAlignment="1">
      <alignment horizontal="center" vertical="center" wrapText="1"/>
    </xf>
    <xf numFmtId="0" fontId="3" fillId="0" borderId="8" xfId="4" applyFont="1" applyBorder="1" applyAlignment="1">
      <alignment horizontal="center" vertical="center" wrapText="1"/>
    </xf>
    <xf numFmtId="0" fontId="3" fillId="22" borderId="2" xfId="4" applyFont="1" applyFill="1" applyBorder="1" applyAlignment="1">
      <alignment horizontal="center" vertical="center"/>
    </xf>
    <xf numFmtId="49" fontId="20" fillId="9" borderId="11" xfId="0" applyNumberFormat="1" applyFont="1" applyFill="1" applyBorder="1" applyAlignment="1">
      <alignment horizontal="center" vertical="center" wrapText="1"/>
    </xf>
    <xf numFmtId="49" fontId="19" fillId="9" borderId="11" xfId="0" applyNumberFormat="1" applyFont="1" applyFill="1" applyBorder="1" applyAlignment="1">
      <alignment horizontal="left" vertical="center"/>
    </xf>
    <xf numFmtId="0" fontId="17" fillId="9" borderId="11" xfId="0" applyFont="1" applyFill="1" applyBorder="1" applyAlignment="1">
      <alignment horizontal="left" vertical="center"/>
    </xf>
    <xf numFmtId="49" fontId="18" fillId="10" borderId="11" xfId="0" applyNumberFormat="1" applyFont="1" applyFill="1" applyBorder="1" applyAlignment="1">
      <alignment horizontal="left" vertical="center"/>
    </xf>
    <xf numFmtId="0" fontId="17" fillId="9" borderId="1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5" borderId="0" xfId="0" applyFill="1" applyAlignment="1">
      <alignment horizontal="left" vertical="center" wrapText="1"/>
    </xf>
    <xf numFmtId="0" fontId="27" fillId="15" borderId="0" xfId="0" applyFont="1" applyFill="1" applyAlignment="1">
      <alignment horizontal="center"/>
    </xf>
    <xf numFmtId="0" fontId="29" fillId="15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9" fillId="15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9" fillId="15" borderId="15" xfId="0" applyFont="1" applyFill="1" applyBorder="1" applyAlignment="1">
      <alignment horizontal="left" vertical="center" wrapText="1" indent="1"/>
    </xf>
    <xf numFmtId="0" fontId="9" fillId="15" borderId="16" xfId="0" applyFont="1" applyFill="1" applyBorder="1" applyAlignment="1">
      <alignment horizontal="left" vertical="center" wrapText="1" indent="1"/>
    </xf>
    <xf numFmtId="0" fontId="30" fillId="0" borderId="10" xfId="0" applyFont="1" applyBorder="1" applyAlignment="1">
      <alignment horizontal="left" vertical="center" wrapText="1"/>
    </xf>
    <xf numFmtId="0" fontId="30" fillId="0" borderId="24" xfId="0" applyFont="1" applyBorder="1" applyAlignment="1">
      <alignment horizontal="left" vertical="center" wrapText="1"/>
    </xf>
    <xf numFmtId="0" fontId="30" fillId="0" borderId="8" xfId="0" applyFont="1" applyBorder="1" applyAlignment="1">
      <alignment horizontal="left" vertical="center" wrapText="1"/>
    </xf>
    <xf numFmtId="0" fontId="30" fillId="0" borderId="25" xfId="0" applyFont="1" applyBorder="1" applyAlignment="1">
      <alignment horizontal="left" vertical="center" wrapText="1"/>
    </xf>
    <xf numFmtId="0" fontId="30" fillId="0" borderId="4" xfId="0" applyFont="1" applyBorder="1" applyAlignment="1">
      <alignment horizontal="left" vertical="center" wrapText="1"/>
    </xf>
    <xf numFmtId="0" fontId="30" fillId="0" borderId="26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1" fillId="0" borderId="27" xfId="0" applyFont="1" applyBorder="1" applyAlignment="1">
      <alignment horizontal="left" vertical="center" wrapText="1"/>
    </xf>
    <xf numFmtId="0" fontId="31" fillId="0" borderId="22" xfId="0" applyFont="1" applyBorder="1" applyAlignment="1">
      <alignment horizontal="left" vertical="center" wrapText="1"/>
    </xf>
    <xf numFmtId="0" fontId="31" fillId="0" borderId="23" xfId="0" applyFont="1" applyBorder="1" applyAlignment="1">
      <alignment horizontal="left" vertical="center" wrapText="1"/>
    </xf>
    <xf numFmtId="0" fontId="25" fillId="7" borderId="0" xfId="0" applyFont="1" applyFill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40" fillId="9" borderId="0" xfId="0" applyNumberFormat="1" applyFont="1" applyFill="1" applyAlignment="1">
      <alignment horizontal="left"/>
    </xf>
    <xf numFmtId="0" fontId="35" fillId="10" borderId="11" xfId="0" applyFont="1" applyFill="1" applyBorder="1" applyAlignment="1">
      <alignment horizontal="center" vertical="center" wrapText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3</xdr:col>
      <xdr:colOff>1086556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F69D7775-E2A7-A042-94CA-1FE6F5EFF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0</xdr:row>
      <xdr:rowOff>101600</xdr:rowOff>
    </xdr:from>
    <xdr:to>
      <xdr:col>3</xdr:col>
      <xdr:colOff>973381</xdr:colOff>
      <xdr:row>0</xdr:row>
      <xdr:rowOff>979055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6D70BA2-E4A9-6445-9319-3BF8B9BE0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01600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58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50"/>
      <c r="B1" s="51" t="s">
        <v>112</v>
      </c>
      <c r="C1" s="126" t="s">
        <v>113</v>
      </c>
      <c r="D1" s="126"/>
      <c r="E1" s="126"/>
      <c r="F1" s="52"/>
      <c r="H1" s="26" t="s">
        <v>0</v>
      </c>
    </row>
    <row r="2" spans="1:8" s="56" customFormat="1" ht="20" customHeight="1" x14ac:dyDescent="0.2">
      <c r="A2" s="53"/>
      <c r="B2" s="54"/>
      <c r="C2" s="127" t="s">
        <v>139</v>
      </c>
      <c r="D2" s="127"/>
      <c r="E2" s="127"/>
      <c r="F2" s="55"/>
      <c r="H2" s="26" t="s">
        <v>0</v>
      </c>
    </row>
    <row r="3" spans="1:8" s="26" customFormat="1" ht="6.5" customHeight="1" thickBot="1" x14ac:dyDescent="0.25">
      <c r="A3" s="57"/>
      <c r="F3" s="58"/>
      <c r="H3" s="26" t="s">
        <v>0</v>
      </c>
    </row>
    <row r="4" spans="1:8" s="62" customFormat="1" ht="32.25" customHeight="1" thickBot="1" x14ac:dyDescent="0.25">
      <c r="A4" s="59"/>
      <c r="B4" s="60" t="s">
        <v>114</v>
      </c>
      <c r="C4" s="61" t="s">
        <v>115</v>
      </c>
      <c r="D4" s="61" t="s">
        <v>116</v>
      </c>
      <c r="E4" s="133" t="s">
        <v>117</v>
      </c>
      <c r="F4" s="134"/>
      <c r="G4" s="68"/>
      <c r="H4" s="26" t="s">
        <v>0</v>
      </c>
    </row>
    <row r="5" spans="1:8" s="26" customFormat="1" ht="48" customHeight="1" x14ac:dyDescent="0.2">
      <c r="A5" s="57"/>
      <c r="B5" s="72" t="s">
        <v>118</v>
      </c>
      <c r="C5" s="65" t="s">
        <v>119</v>
      </c>
      <c r="D5" s="65" t="s">
        <v>120</v>
      </c>
      <c r="E5" s="135" t="s">
        <v>133</v>
      </c>
      <c r="F5" s="136"/>
      <c r="G5" s="67"/>
      <c r="H5" s="26" t="s">
        <v>0</v>
      </c>
    </row>
    <row r="6" spans="1:8" s="26" customFormat="1" ht="48" customHeight="1" x14ac:dyDescent="0.2">
      <c r="A6" s="57"/>
      <c r="B6" s="73" t="s">
        <v>121</v>
      </c>
      <c r="C6" s="66" t="s">
        <v>122</v>
      </c>
      <c r="D6" s="66" t="s">
        <v>123</v>
      </c>
      <c r="E6" s="137" t="s">
        <v>134</v>
      </c>
      <c r="F6" s="138"/>
      <c r="G6" s="67"/>
      <c r="H6" s="26" t="s">
        <v>0</v>
      </c>
    </row>
    <row r="7" spans="1:8" s="26" customFormat="1" ht="48" customHeight="1" x14ac:dyDescent="0.2">
      <c r="A7" s="57"/>
      <c r="B7" s="74" t="s">
        <v>124</v>
      </c>
      <c r="C7" s="66" t="s">
        <v>125</v>
      </c>
      <c r="D7" s="66" t="s">
        <v>126</v>
      </c>
      <c r="E7" s="137" t="s">
        <v>133</v>
      </c>
      <c r="F7" s="138"/>
      <c r="G7" s="67"/>
      <c r="H7" s="26" t="s">
        <v>0</v>
      </c>
    </row>
    <row r="8" spans="1:8" s="26" customFormat="1" ht="23" customHeight="1" x14ac:dyDescent="0.2">
      <c r="A8" s="57"/>
      <c r="B8" s="75" t="s">
        <v>127</v>
      </c>
      <c r="C8" s="128" t="s">
        <v>128</v>
      </c>
      <c r="D8" s="128" t="s">
        <v>129</v>
      </c>
      <c r="E8" s="139" t="s">
        <v>135</v>
      </c>
      <c r="F8" s="140"/>
      <c r="G8" s="67"/>
      <c r="H8" s="26" t="s">
        <v>0</v>
      </c>
    </row>
    <row r="9" spans="1:8" s="26" customFormat="1" ht="23" customHeight="1" x14ac:dyDescent="0.2">
      <c r="A9" s="57"/>
      <c r="B9" s="76" t="s">
        <v>130</v>
      </c>
      <c r="C9" s="128"/>
      <c r="D9" s="128"/>
      <c r="E9" s="141"/>
      <c r="F9" s="142"/>
      <c r="G9" s="67"/>
      <c r="H9" s="26" t="s">
        <v>0</v>
      </c>
    </row>
    <row r="10" spans="1:8" s="26" customFormat="1" ht="23" customHeight="1" thickBot="1" x14ac:dyDescent="0.25">
      <c r="A10" s="57"/>
      <c r="B10" s="77" t="s">
        <v>131</v>
      </c>
      <c r="C10" s="129"/>
      <c r="D10" s="129"/>
      <c r="E10" s="143"/>
      <c r="F10" s="144"/>
      <c r="G10" s="67"/>
      <c r="H10" s="26" t="s">
        <v>0</v>
      </c>
    </row>
    <row r="11" spans="1:8" s="26" customFormat="1" ht="5" customHeight="1" thickBot="1" x14ac:dyDescent="0.25">
      <c r="A11" s="57"/>
      <c r="B11" s="71"/>
      <c r="C11" s="71"/>
      <c r="D11" s="71"/>
      <c r="E11" s="71"/>
      <c r="F11" s="71"/>
      <c r="H11" s="26" t="s">
        <v>0</v>
      </c>
    </row>
    <row r="12" spans="1:8" s="26" customFormat="1" ht="72" customHeight="1" thickBot="1" x14ac:dyDescent="0.25">
      <c r="A12" s="57"/>
      <c r="B12" s="69"/>
      <c r="C12" s="132" t="s">
        <v>132</v>
      </c>
      <c r="D12" s="132"/>
      <c r="E12" s="132"/>
      <c r="F12" s="70"/>
      <c r="H12" s="26" t="s">
        <v>0</v>
      </c>
    </row>
    <row r="13" spans="1:8" s="26" customFormat="1" ht="6" customHeight="1" x14ac:dyDescent="0.2">
      <c r="A13" s="63"/>
      <c r="F13" s="58"/>
      <c r="H13" s="26" t="s">
        <v>0</v>
      </c>
    </row>
    <row r="14" spans="1:8" s="26" customFormat="1" ht="27" customHeight="1" x14ac:dyDescent="0.2">
      <c r="A14" s="130" t="s">
        <v>25</v>
      </c>
      <c r="B14" s="130"/>
      <c r="C14" s="130"/>
      <c r="D14" s="130"/>
      <c r="E14" s="130"/>
      <c r="F14" s="131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DAE4-6E6E-634B-B61F-BD7DA00BF20E}">
  <dimension ref="A1:Y17"/>
  <sheetViews>
    <sheetView topLeftCell="A4" zoomScale="50" workbookViewId="0">
      <selection activeCell="D5" sqref="D5"/>
    </sheetView>
  </sheetViews>
  <sheetFormatPr baseColWidth="10" defaultRowHeight="15" x14ac:dyDescent="0.2"/>
  <cols>
    <col min="1" max="1" width="14" bestFit="1" customWidth="1"/>
  </cols>
  <sheetData>
    <row r="1" spans="1:25" x14ac:dyDescent="0.2">
      <c r="A1" s="152" t="s">
        <v>140</v>
      </c>
      <c r="B1" s="152"/>
      <c r="C1" s="152"/>
      <c r="D1" s="152"/>
      <c r="E1" s="152"/>
      <c r="F1" s="96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</row>
    <row r="2" spans="1:25" ht="28" x14ac:dyDescent="0.2">
      <c r="A2" s="97"/>
      <c r="B2" s="97"/>
      <c r="C2" s="97"/>
      <c r="D2" s="97"/>
      <c r="E2" s="97"/>
      <c r="F2" s="97"/>
      <c r="G2" s="80" t="s">
        <v>106</v>
      </c>
      <c r="H2" s="153" t="s">
        <v>105</v>
      </c>
      <c r="I2" s="80" t="s">
        <v>104</v>
      </c>
      <c r="J2" s="80" t="s">
        <v>104</v>
      </c>
      <c r="K2" s="80" t="s">
        <v>104</v>
      </c>
      <c r="L2" s="80" t="s">
        <v>104</v>
      </c>
      <c r="M2" s="80" t="s">
        <v>104</v>
      </c>
      <c r="N2" s="80" t="s">
        <v>104</v>
      </c>
      <c r="O2" s="153" t="s">
        <v>103</v>
      </c>
      <c r="P2" s="80" t="s">
        <v>38</v>
      </c>
      <c r="Q2" s="80" t="s">
        <v>38</v>
      </c>
      <c r="R2" s="80" t="s">
        <v>38</v>
      </c>
      <c r="S2" s="153" t="s">
        <v>102</v>
      </c>
      <c r="T2" s="80" t="s">
        <v>101</v>
      </c>
      <c r="U2" s="80" t="s">
        <v>101</v>
      </c>
      <c r="V2" s="80" t="s">
        <v>101</v>
      </c>
      <c r="W2" s="80" t="s">
        <v>101</v>
      </c>
      <c r="X2" s="80" t="s">
        <v>101</v>
      </c>
      <c r="Y2" s="153" t="s">
        <v>100</v>
      </c>
    </row>
    <row r="3" spans="1:25" ht="56" x14ac:dyDescent="0.2">
      <c r="A3" s="97"/>
      <c r="B3" s="97"/>
      <c r="C3" s="97"/>
      <c r="D3" s="97"/>
      <c r="E3" s="97"/>
      <c r="F3" s="97"/>
      <c r="G3" s="80" t="s">
        <v>97</v>
      </c>
      <c r="H3" s="153"/>
      <c r="I3" s="80" t="s">
        <v>96</v>
      </c>
      <c r="J3" s="80" t="s">
        <v>95</v>
      </c>
      <c r="K3" s="80" t="s">
        <v>94</v>
      </c>
      <c r="L3" s="80" t="s">
        <v>141</v>
      </c>
      <c r="M3" s="80" t="s">
        <v>142</v>
      </c>
      <c r="N3" s="80" t="s">
        <v>93</v>
      </c>
      <c r="O3" s="153"/>
      <c r="P3" s="80" t="s">
        <v>143</v>
      </c>
      <c r="Q3" s="80" t="s">
        <v>91</v>
      </c>
      <c r="R3" s="80" t="s">
        <v>92</v>
      </c>
      <c r="S3" s="153"/>
      <c r="T3" s="80" t="s">
        <v>90</v>
      </c>
      <c r="U3" s="80" t="s">
        <v>89</v>
      </c>
      <c r="V3" s="80" t="s">
        <v>144</v>
      </c>
      <c r="W3" s="80" t="s">
        <v>145</v>
      </c>
      <c r="X3" s="80" t="s">
        <v>88</v>
      </c>
      <c r="Y3" s="153"/>
    </row>
    <row r="4" spans="1:25" ht="84" x14ac:dyDescent="0.2">
      <c r="A4" s="98"/>
      <c r="B4" s="99" t="s">
        <v>83</v>
      </c>
      <c r="C4" s="99" t="s">
        <v>82</v>
      </c>
      <c r="D4" s="99" t="s">
        <v>32</v>
      </c>
      <c r="E4" s="99" t="s">
        <v>81</v>
      </c>
      <c r="F4" s="99" t="s">
        <v>80</v>
      </c>
      <c r="G4" s="80" t="s">
        <v>79</v>
      </c>
      <c r="H4" s="153"/>
      <c r="I4" s="80" t="s">
        <v>78</v>
      </c>
      <c r="J4" s="80" t="s">
        <v>77</v>
      </c>
      <c r="K4" s="80" t="s">
        <v>76</v>
      </c>
      <c r="L4" s="80" t="s">
        <v>146</v>
      </c>
      <c r="M4" s="80" t="s">
        <v>147</v>
      </c>
      <c r="N4" s="80" t="s">
        <v>75</v>
      </c>
      <c r="O4" s="153"/>
      <c r="P4" s="80" t="s">
        <v>148</v>
      </c>
      <c r="Q4" s="80" t="s">
        <v>73</v>
      </c>
      <c r="R4" s="80" t="s">
        <v>74</v>
      </c>
      <c r="S4" s="153"/>
      <c r="T4" s="80" t="s">
        <v>72</v>
      </c>
      <c r="U4" s="80" t="s">
        <v>71</v>
      </c>
      <c r="V4" s="80" t="s">
        <v>149</v>
      </c>
      <c r="W4" s="80" t="s">
        <v>150</v>
      </c>
      <c r="X4" s="80" t="s">
        <v>70</v>
      </c>
      <c r="Y4" s="153"/>
    </row>
    <row r="5" spans="1:25" ht="332" x14ac:dyDescent="0.2">
      <c r="A5" s="100" t="s">
        <v>151</v>
      </c>
      <c r="B5" s="101"/>
      <c r="C5" s="101"/>
      <c r="D5" s="101"/>
      <c r="E5" s="101" t="s">
        <v>65</v>
      </c>
      <c r="F5" s="102" t="s">
        <v>64</v>
      </c>
      <c r="G5" s="81" t="s">
        <v>152</v>
      </c>
      <c r="H5" s="79">
        <f>SUMIF($G$2:G$2,G$2,$G5:G5)</f>
        <v>0</v>
      </c>
      <c r="I5" s="81" t="s">
        <v>153</v>
      </c>
      <c r="J5" s="83"/>
      <c r="K5" s="83"/>
      <c r="L5" s="83"/>
      <c r="M5" s="81" t="s">
        <v>154</v>
      </c>
      <c r="N5" s="81" t="s">
        <v>155</v>
      </c>
      <c r="O5" s="79">
        <f>SUMIF($G$2:N$2,N$2,$G5:N5)</f>
        <v>0</v>
      </c>
      <c r="P5" s="81" t="s">
        <v>156</v>
      </c>
      <c r="Q5" s="81" t="s">
        <v>157</v>
      </c>
      <c r="R5" s="81" t="s">
        <v>158</v>
      </c>
      <c r="S5" s="79">
        <f>SUMIF($G$2:R$2,R$2,$G5:R5)</f>
        <v>0</v>
      </c>
      <c r="T5" s="83"/>
      <c r="U5" s="83"/>
      <c r="V5" s="83"/>
      <c r="W5" s="81" t="s">
        <v>159</v>
      </c>
      <c r="X5" s="81" t="s">
        <v>160</v>
      </c>
      <c r="Y5" s="79">
        <f>SUMIF($G$2:X$2,X$2,$G5:X5)</f>
        <v>0</v>
      </c>
    </row>
    <row r="6" spans="1:25" ht="409.6" x14ac:dyDescent="0.2">
      <c r="A6" s="100" t="s">
        <v>151</v>
      </c>
      <c r="B6" s="101"/>
      <c r="C6" s="101"/>
      <c r="D6" s="101"/>
      <c r="E6" s="101" t="s">
        <v>63</v>
      </c>
      <c r="F6" s="102" t="s">
        <v>62</v>
      </c>
      <c r="G6" s="81" t="s">
        <v>161</v>
      </c>
      <c r="H6" s="79">
        <f>SUMIF($G$2:G$2,G$2,$G6:G6)</f>
        <v>0</v>
      </c>
      <c r="I6" s="82"/>
      <c r="J6" s="81" t="s">
        <v>162</v>
      </c>
      <c r="K6" s="81" t="s">
        <v>163</v>
      </c>
      <c r="L6" s="81" t="s">
        <v>164</v>
      </c>
      <c r="M6" s="83"/>
      <c r="N6" s="81" t="s">
        <v>165</v>
      </c>
      <c r="O6" s="79">
        <f>SUMIF($G$2:N$2,N$2,$G6:N6)</f>
        <v>0</v>
      </c>
      <c r="P6" s="81" t="s">
        <v>166</v>
      </c>
      <c r="Q6" s="81" t="s">
        <v>167</v>
      </c>
      <c r="R6" s="81" t="s">
        <v>168</v>
      </c>
      <c r="S6" s="79">
        <f>SUMIF($G$2:R$2,R$2,$G6:R6)</f>
        <v>0</v>
      </c>
      <c r="T6" s="81" t="s">
        <v>169</v>
      </c>
      <c r="U6" s="81" t="s">
        <v>170</v>
      </c>
      <c r="V6" s="81" t="s">
        <v>171</v>
      </c>
      <c r="W6" s="83"/>
      <c r="X6" s="81" t="s">
        <v>172</v>
      </c>
      <c r="Y6" s="79">
        <f>SUMIF($G$2:X$2,X$2,$G6:X6)</f>
        <v>0</v>
      </c>
    </row>
    <row r="7" spans="1:25" ht="90" x14ac:dyDescent="0.2">
      <c r="A7" s="100" t="s">
        <v>151</v>
      </c>
      <c r="B7" s="101"/>
      <c r="C7" s="101"/>
      <c r="D7" s="101"/>
      <c r="E7" s="101" t="s">
        <v>61</v>
      </c>
      <c r="F7" s="102" t="s">
        <v>60</v>
      </c>
      <c r="G7" s="86"/>
      <c r="H7" s="79">
        <f>SUMIF($G$2:G$2,G$2,$G7:G7)</f>
        <v>0</v>
      </c>
      <c r="I7" s="85"/>
      <c r="J7" s="85"/>
      <c r="K7" s="85"/>
      <c r="L7" s="85"/>
      <c r="M7" s="85"/>
      <c r="N7" s="84"/>
      <c r="O7" s="79">
        <f>SUMIF($G$2:N$2,N$2,$G7:N7)</f>
        <v>0</v>
      </c>
      <c r="P7" s="103"/>
      <c r="Q7" s="103"/>
      <c r="R7" s="103"/>
      <c r="S7" s="79">
        <f>SUMIF($G$2:R$2,R$2,$G7:R7)</f>
        <v>0</v>
      </c>
      <c r="T7" s="103"/>
      <c r="U7" s="103"/>
      <c r="V7" s="103"/>
      <c r="W7" s="103"/>
      <c r="X7" s="104" t="s">
        <v>173</v>
      </c>
      <c r="Y7" s="79">
        <f>SUMIF($G$2:X$2,X$2,$G7:X7)</f>
        <v>0</v>
      </c>
    </row>
    <row r="8" spans="1:25" ht="140" x14ac:dyDescent="0.2">
      <c r="A8" s="100" t="s">
        <v>151</v>
      </c>
      <c r="B8" s="101"/>
      <c r="C8" s="101"/>
      <c r="D8" s="101"/>
      <c r="E8" s="101" t="s">
        <v>59</v>
      </c>
      <c r="F8" s="102" t="s">
        <v>58</v>
      </c>
      <c r="G8" s="81" t="s">
        <v>174</v>
      </c>
      <c r="H8" s="79">
        <f>SUMIF($G$2:G$2,G$2,$G8:G8)</f>
        <v>0</v>
      </c>
      <c r="I8" s="85"/>
      <c r="J8" s="85"/>
      <c r="K8" s="85"/>
      <c r="L8" s="85"/>
      <c r="M8" s="85"/>
      <c r="N8" s="81" t="s">
        <v>175</v>
      </c>
      <c r="O8" s="79">
        <f>SUMIF($G$2:N$2,N$2,$G8:N8)</f>
        <v>0</v>
      </c>
      <c r="P8" s="81" t="s">
        <v>176</v>
      </c>
      <c r="Q8" s="81" t="s">
        <v>177</v>
      </c>
      <c r="R8" s="81" t="s">
        <v>178</v>
      </c>
      <c r="S8" s="79">
        <f>SUMIF($G$2:R$2,R$2,$G8:R8)</f>
        <v>0</v>
      </c>
      <c r="T8" s="103"/>
      <c r="U8" s="103"/>
      <c r="V8" s="103"/>
      <c r="W8" s="103"/>
      <c r="X8" s="81" t="s">
        <v>179</v>
      </c>
      <c r="Y8" s="79">
        <f>SUMIF($G$2:X$2,X$2,$G8:X8)</f>
        <v>0</v>
      </c>
    </row>
    <row r="9" spans="1:25" ht="154" x14ac:dyDescent="0.2">
      <c r="A9" s="100" t="s">
        <v>151</v>
      </c>
      <c r="B9" s="101"/>
      <c r="C9" s="101"/>
      <c r="D9" s="101"/>
      <c r="E9" s="101" t="s">
        <v>57</v>
      </c>
      <c r="F9" s="102" t="s">
        <v>56</v>
      </c>
      <c r="G9" s="81" t="s">
        <v>180</v>
      </c>
      <c r="H9" s="79">
        <f>SUMIF($G$2:G$2,G$2,$G9:G9)</f>
        <v>0</v>
      </c>
      <c r="I9" s="85"/>
      <c r="J9" s="85"/>
      <c r="K9" s="85"/>
      <c r="L9" s="85"/>
      <c r="M9" s="85"/>
      <c r="N9" s="81" t="s">
        <v>181</v>
      </c>
      <c r="O9" s="79">
        <f>SUMIF($G$2:N$2,N$2,$G9:N9)</f>
        <v>0</v>
      </c>
      <c r="P9" s="81" t="s">
        <v>182</v>
      </c>
      <c r="Q9" s="81" t="s">
        <v>183</v>
      </c>
      <c r="R9" s="81" t="s">
        <v>184</v>
      </c>
      <c r="S9" s="79">
        <f>SUMIF($G$2:R$2,R$2,$G9:R9)</f>
        <v>0</v>
      </c>
      <c r="T9" s="103"/>
      <c r="U9" s="103"/>
      <c r="V9" s="103"/>
      <c r="W9" s="103"/>
      <c r="X9" s="81" t="s">
        <v>185</v>
      </c>
      <c r="Y9" s="79">
        <f>SUMIF($G$2:X$2,X$2,$G9:X9)</f>
        <v>0</v>
      </c>
    </row>
    <row r="10" spans="1:25" ht="140" x14ac:dyDescent="0.2">
      <c r="A10" s="100" t="s">
        <v>151</v>
      </c>
      <c r="B10" s="101"/>
      <c r="C10" s="101"/>
      <c r="D10" s="101"/>
      <c r="E10" s="101" t="s">
        <v>55</v>
      </c>
      <c r="F10" s="102" t="s">
        <v>54</v>
      </c>
      <c r="G10" s="81" t="s">
        <v>186</v>
      </c>
      <c r="H10" s="79">
        <f>SUMIF($G$2:G$2,G$2,$G10:G10)</f>
        <v>0</v>
      </c>
      <c r="I10" s="85"/>
      <c r="J10" s="85"/>
      <c r="K10" s="85"/>
      <c r="L10" s="85"/>
      <c r="M10" s="85"/>
      <c r="N10" s="81" t="s">
        <v>187</v>
      </c>
      <c r="O10" s="79">
        <f>SUMIF($G$2:N$2,N$2,$G10:N10)</f>
        <v>0</v>
      </c>
      <c r="P10" s="81" t="s">
        <v>188</v>
      </c>
      <c r="Q10" s="81" t="s">
        <v>189</v>
      </c>
      <c r="R10" s="81" t="s">
        <v>190</v>
      </c>
      <c r="S10" s="79">
        <f>SUMIF($G$2:R$2,R$2,$G10:R10)</f>
        <v>0</v>
      </c>
      <c r="T10" s="103"/>
      <c r="U10" s="103"/>
      <c r="V10" s="103"/>
      <c r="W10" s="103"/>
      <c r="X10" s="81" t="s">
        <v>191</v>
      </c>
      <c r="Y10" s="79">
        <f>SUMIF($G$2:X$2,X$2,$G10:X10)</f>
        <v>0</v>
      </c>
    </row>
    <row r="11" spans="1:25" ht="140" x14ac:dyDescent="0.2">
      <c r="A11" s="100" t="s">
        <v>151</v>
      </c>
      <c r="B11" s="101"/>
      <c r="C11" s="101"/>
      <c r="D11" s="101"/>
      <c r="E11" s="101" t="s">
        <v>53</v>
      </c>
      <c r="F11" s="102" t="s">
        <v>52</v>
      </c>
      <c r="G11" s="81" t="s">
        <v>192</v>
      </c>
      <c r="H11" s="79">
        <f>SUMIF($G$2:G$2,G$2,$G11:G11)</f>
        <v>0</v>
      </c>
      <c r="I11" s="85"/>
      <c r="J11" s="85"/>
      <c r="K11" s="85"/>
      <c r="L11" s="85"/>
      <c r="M11" s="85"/>
      <c r="N11" s="81" t="s">
        <v>193</v>
      </c>
      <c r="O11" s="79">
        <f>SUMIF($G$2:N$2,N$2,$G11:N11)</f>
        <v>0</v>
      </c>
      <c r="P11" s="81" t="s">
        <v>194</v>
      </c>
      <c r="Q11" s="81" t="s">
        <v>195</v>
      </c>
      <c r="R11" s="81" t="s">
        <v>196</v>
      </c>
      <c r="S11" s="79">
        <f>SUMIF($G$2:R$2,R$2,$G11:R11)</f>
        <v>0</v>
      </c>
      <c r="T11" s="103"/>
      <c r="U11" s="103"/>
      <c r="V11" s="103"/>
      <c r="W11" s="103"/>
      <c r="X11" s="81" t="s">
        <v>197</v>
      </c>
      <c r="Y11" s="79">
        <f>SUMIF($G$2:X$2,X$2,$G11:X11)</f>
        <v>0</v>
      </c>
    </row>
    <row r="12" spans="1:25" ht="168" x14ac:dyDescent="0.2">
      <c r="A12" s="100" t="s">
        <v>151</v>
      </c>
      <c r="B12" s="101"/>
      <c r="C12" s="101"/>
      <c r="D12" s="101"/>
      <c r="E12" s="101" t="s">
        <v>51</v>
      </c>
      <c r="F12" s="102" t="s">
        <v>50</v>
      </c>
      <c r="G12" s="81" t="s">
        <v>198</v>
      </c>
      <c r="H12" s="79">
        <f>SUMIF($G$2:G$2,G$2,$G12:G12)</f>
        <v>0</v>
      </c>
      <c r="I12" s="85"/>
      <c r="J12" s="85"/>
      <c r="K12" s="85"/>
      <c r="L12" s="85"/>
      <c r="M12" s="85"/>
      <c r="N12" s="81" t="s">
        <v>199</v>
      </c>
      <c r="O12" s="79">
        <f>SUMIF($G$2:N$2,N$2,$G12:N12)</f>
        <v>0</v>
      </c>
      <c r="P12" s="81" t="s">
        <v>200</v>
      </c>
      <c r="Q12" s="81" t="s">
        <v>201</v>
      </c>
      <c r="R12" s="81" t="s">
        <v>202</v>
      </c>
      <c r="S12" s="79">
        <f>SUMIF($G$2:R$2,R$2,$G12:R12)</f>
        <v>0</v>
      </c>
      <c r="T12" s="103"/>
      <c r="U12" s="103"/>
      <c r="V12" s="103"/>
      <c r="W12" s="103"/>
      <c r="X12" s="81" t="s">
        <v>203</v>
      </c>
      <c r="Y12" s="79">
        <f>SUMIF($G$2:X$2,X$2,$G12:X12)</f>
        <v>0</v>
      </c>
    </row>
    <row r="13" spans="1:25" ht="126" x14ac:dyDescent="0.2">
      <c r="A13" s="100" t="s">
        <v>151</v>
      </c>
      <c r="B13" s="101"/>
      <c r="C13" s="101"/>
      <c r="D13" s="101"/>
      <c r="E13" s="101" t="s">
        <v>49</v>
      </c>
      <c r="F13" s="102" t="s">
        <v>48</v>
      </c>
      <c r="G13" s="81" t="s">
        <v>204</v>
      </c>
      <c r="H13" s="79">
        <f>SUMIF($G$2:G$2,G$2,$G13:G13)</f>
        <v>0</v>
      </c>
      <c r="I13" s="85"/>
      <c r="J13" s="85"/>
      <c r="K13" s="85"/>
      <c r="L13" s="85"/>
      <c r="M13" s="85"/>
      <c r="N13" s="81" t="s">
        <v>205</v>
      </c>
      <c r="O13" s="79">
        <f>SUMIF($G$2:N$2,N$2,$G13:N13)</f>
        <v>0</v>
      </c>
      <c r="P13" s="81" t="s">
        <v>206</v>
      </c>
      <c r="Q13" s="81" t="s">
        <v>207</v>
      </c>
      <c r="R13" s="81" t="s">
        <v>208</v>
      </c>
      <c r="S13" s="79">
        <f>SUMIF($G$2:R$2,R$2,$G13:R13)</f>
        <v>0</v>
      </c>
      <c r="T13" s="103"/>
      <c r="U13" s="103"/>
      <c r="V13" s="103"/>
      <c r="W13" s="103"/>
      <c r="X13" s="81" t="s">
        <v>209</v>
      </c>
      <c r="Y13" s="79">
        <f>SUMIF($G$2:X$2,X$2,$G13:X13)</f>
        <v>0</v>
      </c>
    </row>
    <row r="14" spans="1:25" ht="409.6" x14ac:dyDescent="0.2">
      <c r="A14" s="100" t="s">
        <v>151</v>
      </c>
      <c r="B14" s="101"/>
      <c r="C14" s="101"/>
      <c r="D14" s="101"/>
      <c r="E14" s="101" t="s">
        <v>47</v>
      </c>
      <c r="F14" s="102" t="s">
        <v>46</v>
      </c>
      <c r="G14" s="81" t="s">
        <v>210</v>
      </c>
      <c r="H14" s="79">
        <f>SUMIF($G$2:G$2,G$2,$G14:G14)</f>
        <v>0</v>
      </c>
      <c r="I14" s="81" t="s">
        <v>211</v>
      </c>
      <c r="J14" s="81" t="s">
        <v>212</v>
      </c>
      <c r="K14" s="81" t="s">
        <v>213</v>
      </c>
      <c r="L14" s="81" t="s">
        <v>214</v>
      </c>
      <c r="M14" s="81" t="s">
        <v>215</v>
      </c>
      <c r="N14" s="81" t="s">
        <v>216</v>
      </c>
      <c r="O14" s="79">
        <f>SUMIF($G$2:N$2,N$2,$G14:N14)</f>
        <v>0</v>
      </c>
      <c r="P14" s="81" t="s">
        <v>217</v>
      </c>
      <c r="Q14" s="81" t="s">
        <v>218</v>
      </c>
      <c r="R14" s="81" t="s">
        <v>219</v>
      </c>
      <c r="S14" s="79">
        <f>SUMIF($G$2:R$2,R$2,$G14:R14)</f>
        <v>0</v>
      </c>
      <c r="T14" s="81" t="s">
        <v>220</v>
      </c>
      <c r="U14" s="81" t="s">
        <v>221</v>
      </c>
      <c r="V14" s="81" t="s">
        <v>222</v>
      </c>
      <c r="W14" s="81" t="s">
        <v>223</v>
      </c>
      <c r="X14" s="81" t="s">
        <v>224</v>
      </c>
      <c r="Y14" s="79">
        <f>SUMIF($G$2:X$2,X$2,$G14:X14)</f>
        <v>0</v>
      </c>
    </row>
    <row r="15" spans="1:25" ht="224" x14ac:dyDescent="0.2">
      <c r="A15" s="100" t="s">
        <v>151</v>
      </c>
      <c r="B15" s="101"/>
      <c r="C15" s="101"/>
      <c r="D15" s="101"/>
      <c r="E15" s="101" t="s">
        <v>225</v>
      </c>
      <c r="F15" s="105" t="s">
        <v>226</v>
      </c>
      <c r="G15" s="106"/>
      <c r="H15" s="79">
        <f>SUMIF($G$2:G$2,G$2,$G15:G15)</f>
        <v>0</v>
      </c>
      <c r="I15" s="107"/>
      <c r="J15" s="108"/>
      <c r="K15" s="108"/>
      <c r="L15" s="108"/>
      <c r="M15" s="108"/>
      <c r="N15" s="106"/>
      <c r="O15" s="79">
        <f>SUMIF($G$2:N$2,N$2,$G15:N15)</f>
        <v>0</v>
      </c>
      <c r="P15" s="81" t="s">
        <v>227</v>
      </c>
      <c r="Q15" s="81" t="s">
        <v>228</v>
      </c>
      <c r="R15" s="81" t="s">
        <v>229</v>
      </c>
      <c r="S15" s="79">
        <f>SUMIF($G$2:R$2,R$2,$G15:R15)</f>
        <v>0</v>
      </c>
      <c r="T15" s="108"/>
      <c r="U15" s="108"/>
      <c r="V15" s="108"/>
      <c r="W15" s="108"/>
      <c r="X15" s="81" t="s">
        <v>230</v>
      </c>
      <c r="Y15" s="79">
        <f>SUMIF($G$2:X$2,X$2,$G15:X15)</f>
        <v>0</v>
      </c>
    </row>
    <row r="16" spans="1:25" ht="409.6" x14ac:dyDescent="0.2">
      <c r="A16" s="100" t="s">
        <v>151</v>
      </c>
      <c r="B16" s="101"/>
      <c r="C16" s="101"/>
      <c r="D16" s="101"/>
      <c r="E16" s="101" t="s">
        <v>45</v>
      </c>
      <c r="F16" s="102" t="s">
        <v>44</v>
      </c>
      <c r="G16" s="81" t="s">
        <v>231</v>
      </c>
      <c r="H16" s="79">
        <f>SUMIF($G$2:G$2,G$2,$G16:G16)</f>
        <v>0</v>
      </c>
      <c r="I16" s="81" t="s">
        <v>232</v>
      </c>
      <c r="J16" s="81" t="s">
        <v>233</v>
      </c>
      <c r="K16" s="81" t="s">
        <v>234</v>
      </c>
      <c r="L16" s="81" t="s">
        <v>235</v>
      </c>
      <c r="M16" s="81" t="s">
        <v>236</v>
      </c>
      <c r="N16" s="81" t="s">
        <v>237</v>
      </c>
      <c r="O16" s="79">
        <f>SUMIF($G$2:N$2,N$2,$G16:N16)</f>
        <v>0</v>
      </c>
      <c r="P16" s="81" t="s">
        <v>238</v>
      </c>
      <c r="Q16" s="81" t="s">
        <v>239</v>
      </c>
      <c r="R16" s="81" t="s">
        <v>240</v>
      </c>
      <c r="S16" s="79">
        <f>SUMIF($G$2:R$2,R$2,$G16:R16)</f>
        <v>0</v>
      </c>
      <c r="T16" s="81" t="s">
        <v>241</v>
      </c>
      <c r="U16" s="81" t="s">
        <v>242</v>
      </c>
      <c r="V16" s="81" t="s">
        <v>243</v>
      </c>
      <c r="W16" s="81" t="s">
        <v>244</v>
      </c>
      <c r="X16" s="81" t="s">
        <v>245</v>
      </c>
      <c r="Y16" s="79">
        <f>SUMIF($G$2:X$2,X$2,$G16:X16)</f>
        <v>0</v>
      </c>
    </row>
    <row r="17" spans="1:25" ht="30" x14ac:dyDescent="0.2">
      <c r="A17" s="109"/>
      <c r="B17" s="110"/>
      <c r="C17" s="111"/>
      <c r="D17" s="110"/>
      <c r="E17" s="110"/>
      <c r="F17" s="112" t="s">
        <v>43</v>
      </c>
      <c r="G17" s="79">
        <f>SUMIF($C$5:$C16,$C16,G$5:G16)</f>
        <v>0</v>
      </c>
      <c r="H17" s="79">
        <f>SUMIF($C$5:$C16,$C16,H$5:H16)</f>
        <v>0</v>
      </c>
      <c r="I17" s="79">
        <f>SUMIF($C$5:$C16,$C16,I$5:I16)</f>
        <v>0</v>
      </c>
      <c r="J17" s="79">
        <f>SUMIF($C$5:$C16,$C16,J$5:J16)</f>
        <v>0</v>
      </c>
      <c r="K17" s="79">
        <f>SUMIF($C$5:$C16,$C16,K$5:K16)</f>
        <v>0</v>
      </c>
      <c r="L17" s="79">
        <f>SUMIF($C$5:$C16,$C16,L$5:L16)</f>
        <v>0</v>
      </c>
      <c r="M17" s="79">
        <f>SUMIF($C$5:$C16,$C16,M$5:M16)</f>
        <v>0</v>
      </c>
      <c r="N17" s="79">
        <f>SUMIF($C$5:$C16,$C16,N$5:N16)</f>
        <v>0</v>
      </c>
      <c r="O17" s="79">
        <f>SUMIF($G$2:N$2,N$2,$G17:N17)</f>
        <v>0</v>
      </c>
      <c r="P17" s="79">
        <f>SUMIF($C$5:$C16,$C16,P$5:P16)</f>
        <v>0</v>
      </c>
      <c r="Q17" s="79">
        <f>SUMIF($C$5:$C16,$C16,Q$5:Q16)</f>
        <v>0</v>
      </c>
      <c r="R17" s="79">
        <f>SUMIF($C$5:$C16,$C16,R$5:R16)</f>
        <v>0</v>
      </c>
      <c r="S17" s="79">
        <f>SUMIF($C$5:$C16,$C16,S$5:S16)</f>
        <v>0</v>
      </c>
      <c r="T17" s="79">
        <f>SUMIF($C$5:$C16,$C16,T$5:T16)</f>
        <v>0</v>
      </c>
      <c r="U17" s="79">
        <f>SUMIF($C$5:$C16,$C16,U$5:U16)</f>
        <v>0</v>
      </c>
      <c r="V17" s="79">
        <f>SUMIF($C$5:$C16,$C16,V$5:V16)</f>
        <v>0</v>
      </c>
      <c r="W17" s="79">
        <f>SUMIF($C$5:$C16,$C16,W$5:W16)</f>
        <v>0</v>
      </c>
      <c r="X17" s="79">
        <f>SUMIF($C$5:$C16,$C16,X$5:X16)</f>
        <v>0</v>
      </c>
      <c r="Y17" s="79">
        <f>SUMIF($C$5:$C16,$C16,Y$5:Y16)</f>
        <v>0</v>
      </c>
    </row>
  </sheetData>
  <mergeCells count="5">
    <mergeCell ref="A1:E1"/>
    <mergeCell ref="H2:H4"/>
    <mergeCell ref="O2:O4"/>
    <mergeCell ref="S2:S4"/>
    <mergeCell ref="Y2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109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G4"/>
  <sheetViews>
    <sheetView showFormulas="1" tabSelected="1" zoomScale="75" zoomScaleNormal="110" workbookViewId="0">
      <selection activeCell="A2" sqref="A2"/>
    </sheetView>
  </sheetViews>
  <sheetFormatPr baseColWidth="10" defaultRowHeight="15" x14ac:dyDescent="0.2"/>
  <cols>
    <col min="1" max="1" width="18.6640625" customWidth="1"/>
    <col min="2" max="2" width="11.83203125" customWidth="1"/>
    <col min="16" max="16" width="10.83203125" customWidth="1"/>
    <col min="126" max="126" width="13.5" customWidth="1"/>
    <col min="127" max="127" width="15.83203125" customWidth="1"/>
    <col min="128" max="128" width="36.1640625" customWidth="1"/>
    <col min="129" max="155" width="16.83203125" customWidth="1"/>
    <col min="156" max="156" width="20" customWidth="1"/>
    <col min="157" max="157" width="17" customWidth="1"/>
    <col min="161" max="161" width="17.33203125" customWidth="1"/>
    <col min="162" max="162" width="17.1640625" bestFit="1" customWidth="1"/>
    <col min="169" max="169" width="45.1640625" bestFit="1" customWidth="1"/>
    <col min="170" max="170" width="15.1640625" bestFit="1" customWidth="1"/>
  </cols>
  <sheetData>
    <row r="1" spans="1:163" s="4" customFormat="1" ht="80" customHeight="1" x14ac:dyDescent="0.25">
      <c r="A1" s="3" t="s">
        <v>108</v>
      </c>
      <c r="B1" s="5"/>
      <c r="C1" s="5"/>
      <c r="D1" s="7"/>
      <c r="E1" s="7"/>
      <c r="F1" s="6"/>
      <c r="G1" s="6" t="s">
        <v>6</v>
      </c>
      <c r="FA1" s="145" t="s">
        <v>110</v>
      </c>
      <c r="FB1" s="145"/>
      <c r="FC1" s="145"/>
      <c r="FD1" s="145"/>
      <c r="FE1" s="145"/>
      <c r="FF1" s="145"/>
      <c r="FG1" s="8" t="s">
        <v>0</v>
      </c>
    </row>
    <row r="2" spans="1:163" ht="66" customHeight="1" x14ac:dyDescent="0.2">
      <c r="A2" s="22" t="s">
        <v>8</v>
      </c>
      <c r="B2" t="s">
        <v>9</v>
      </c>
      <c r="FA2" s="48" t="s">
        <v>34</v>
      </c>
      <c r="FB2" s="48" t="s">
        <v>247</v>
      </c>
      <c r="FC2" s="48" t="s">
        <v>248</v>
      </c>
      <c r="FD2" s="48" t="s">
        <v>249</v>
      </c>
      <c r="FE2" s="48" t="s">
        <v>250</v>
      </c>
      <c r="FF2" s="48" t="s">
        <v>251</v>
      </c>
    </row>
    <row r="3" spans="1:163" x14ac:dyDescent="0.2">
      <c r="A3" s="25" t="s">
        <v>11</v>
      </c>
      <c r="B3" t="s">
        <v>10</v>
      </c>
    </row>
    <row r="4" spans="1:163" x14ac:dyDescent="0.2">
      <c r="B4" s="27" t="s">
        <v>7</v>
      </c>
      <c r="FA4" s="21"/>
    </row>
  </sheetData>
  <autoFilter ref="A2:DT2" xr:uid="{3B89445B-6ECC-4440-B85C-E593AE209933}"/>
  <mergeCells count="1">
    <mergeCell ref="FA1:FF1"/>
  </mergeCells>
  <conditionalFormatting sqref="A1:FF1048576">
    <cfRule type="expression" dxfId="14" priority="1" stopIfTrue="1">
      <formula>AND(OR($N1&lt;&gt;"-",$O1&lt;&gt;0,$P1&lt;&gt;0),ROW()&gt;2,$A1&lt;&gt;"")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topLeftCell="D1" zoomScaleNormal="90" workbookViewId="0">
      <selection activeCell="D5" sqref="D5"/>
    </sheetView>
  </sheetViews>
  <sheetFormatPr baseColWidth="10" defaultRowHeight="15" x14ac:dyDescent="0.2"/>
  <cols>
    <col min="1" max="1" width="32.5" hidden="1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64" t="s">
        <v>124</v>
      </c>
      <c r="D1" s="64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88"/>
      <c r="C4" s="87"/>
      <c r="D4" s="87"/>
      <c r="E4" s="87"/>
      <c r="F4" s="87"/>
      <c r="G4" s="146" t="s">
        <v>26</v>
      </c>
      <c r="H4" s="147"/>
      <c r="I4" s="147"/>
      <c r="J4" s="147"/>
      <c r="K4" s="147"/>
      <c r="L4" s="148"/>
      <c r="M4" s="149"/>
      <c r="N4" s="150" t="s">
        <v>27</v>
      </c>
      <c r="O4" s="148"/>
      <c r="P4" s="148"/>
      <c r="Q4" s="148"/>
      <c r="R4" s="148"/>
      <c r="S4" s="148"/>
      <c r="T4" s="151"/>
      <c r="U4" s="146" t="s">
        <v>28</v>
      </c>
      <c r="V4" s="149"/>
      <c r="W4" s="94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93" t="s">
        <v>136</v>
      </c>
      <c r="I5" s="12" t="s">
        <v>14</v>
      </c>
      <c r="J5" s="12" t="s">
        <v>15</v>
      </c>
      <c r="K5" s="28" t="s">
        <v>29</v>
      </c>
      <c r="L5" s="89" t="s">
        <v>30</v>
      </c>
      <c r="M5" s="90" t="s">
        <v>136</v>
      </c>
      <c r="N5" s="12" t="s">
        <v>16</v>
      </c>
      <c r="O5" s="93" t="s">
        <v>136</v>
      </c>
      <c r="P5" s="12" t="s">
        <v>17</v>
      </c>
      <c r="Q5" s="12" t="s">
        <v>18</v>
      </c>
      <c r="R5" s="28" t="s">
        <v>29</v>
      </c>
      <c r="S5" s="89" t="s">
        <v>31</v>
      </c>
      <c r="T5" s="93" t="s">
        <v>136</v>
      </c>
      <c r="U5" s="89" t="s">
        <v>29</v>
      </c>
      <c r="V5" s="90" t="s">
        <v>136</v>
      </c>
      <c r="W5" t="s">
        <v>20</v>
      </c>
    </row>
    <row r="6" spans="1:24" ht="16" x14ac:dyDescent="0.2">
      <c r="A6" s="13"/>
      <c r="C6" s="17" t="s">
        <v>23</v>
      </c>
      <c r="D6" s="17" t="s">
        <v>137</v>
      </c>
      <c r="E6" s="16" t="s">
        <v>22</v>
      </c>
      <c r="F6" s="125" t="s">
        <v>138</v>
      </c>
      <c r="G6" s="19" t="e">
        <f>SUMIFS(INDEX('ETPT Format DDG'!$A:$FF,,IFERROR(MATCH(E6,'ETPT Format DDG'!$2:$2,0),MATCH(C6,'ETPT Format DDG'!$2:$2,0))),'ETPT Format DDG'!$FG:$FG,"M-TIT",'ETPT Format DDG'!$C:$C,$A$3)</f>
        <v>#N/A</v>
      </c>
      <c r="H6" s="91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DDG'!$A:$FF,,IFERROR(MATCH(E6,'ETPT Format DDG'!$2:$2,0),MATCH(C6,'ETPT Format DDG'!$2:$2,0))),'ETPT Format DDG'!$FG:$FG,"M-PLAC-ADD",'ETPT Format DDG'!$C:$C,$A$3)</f>
        <v>#N/A</v>
      </c>
      <c r="J6" s="18" t="e">
        <f>SUMIFS(INDEX('ETPT Format DDG'!$A:$FF,,IFERROR(MATCH(E6,'ETPT Format DDG'!$2:$2,0),MATCH(C6,'ETPT Format DDG'!$2:$2,0))),'ETPT Format DDG'!$FG:$FG,"M-PLAC-SUB",'ETPT Format DDG'!$C:$C,$A$3)</f>
        <v>#N/A</v>
      </c>
      <c r="K6" s="18" t="e">
        <f>SUMIFS(
INDEX('ETPT Format DDG'!$A:$FF,
,
IFERROR(MATCH(E6,'ETPT Format DDG'!$2:$2,0),MATCH(C6,'ETPT Format DDG'!$2:$2,0))
),'ETPT Format DDG'!$FG:$FG,"C",
'ETPT Format DDG'!$C:$C,$A$3,
'ETPT Format DDG'!$G:$G,"Magistrat")</f>
        <v>#N/A</v>
      </c>
      <c r="L6" s="19" t="e">
        <f>SUMIFS(
INDEX('ETPT Format DDG'!$A:$FF,
,
IFERROR(MATCH(E6,'ETPT Format DDG'!$2:$2,0),MATCH(C6,'ETPT Format DDG'!$2:$2,0))
),
'ETPT Format DDG'!$C:$C,$A$3,
'ETPT Format DDG'!$G:$G,"Magistrat")</f>
        <v>#N/A</v>
      </c>
      <c r="M6" s="92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DDG'!$A:$FF,,IFERROR(MATCH(E6,'ETPT Format DDG'!$2:$2,0),MATCH(C6,'ETPT Format DDG'!$2:$2,0))),'ETPT Format DDG'!$FG:$FG,"F-TIT",'ETPT Format DDG'!$C:$C,$A$3)</f>
        <v>#N/A</v>
      </c>
      <c r="O6" s="91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DDG'!$A:$FF,,IFERROR(MATCH(E6,'ETPT Format DDG'!$2:$2,0),MATCH(C6,'ETPT Format DDG'!$2:$2,0))),'ETPT Format DDG'!$FG:$FG,"F-PLAC-ADD",'ETPT Format DDG'!$C:$C,$A$3)</f>
        <v>#N/A</v>
      </c>
      <c r="Q6" s="18" t="e">
        <f>SUMIFS(INDEX('ETPT Format DDG'!$A:$FF,,IFERROR(MATCH(E6,'ETPT Format DDG'!$2:$2,0),MATCH(C6,'ETPT Format DDG'!$2:$2,0))),'ETPT Format DDG'!$FG:$FG,"F-PLAC-SUB",'ETPT Format DDG'!$C:$C,$A$3)</f>
        <v>#N/A</v>
      </c>
      <c r="R6" s="18" t="e">
        <f>SUMIFS(INDEX('ETPT Format DDG'!$A:$FF,,IFERROR(MATCH(E6,'ETPT Format DDG'!$2:$2,0),MATCH(C6,'ETPT Format DDG'!$2:$2,0))),'ETPT Format DDG'!$FG:$FG,"C",'ETPT Format DDG'!$C:$C,$A$3,'ETPT Format DDG'!$G:$G,"Greffe")</f>
        <v>#N/A</v>
      </c>
      <c r="S6" s="19" t="e">
        <f>SUMIFS(
INDEX('ETPT Format DDG'!$A:$FF,
,
IFERROR(MATCH(E6,'ETPT Format DDG'!$2:$2,0),MATCH(C6,'ETPT Format DDG'!$2:$2,0))
),
'ETPT Format DDG'!$C:$C,$A$3,
'ETPT Format DDG'!$G:$G,"Greffe")</f>
        <v>#N/A</v>
      </c>
      <c r="T6" s="91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DDG'!$A:$FF,
,
IFERROR(MATCH(E6,'ETPT Format DDG'!$2:$2,0),MATCH(C6,'ETPT Format DDG'!$2:$2,0))
),'ETPT Format DDG'!$FG:$FG,"C",
'ETPT Format DDG'!$C:$C,$A$3,
'ETPT Format DDG'!$G:$G,"Autour du magistrat")</f>
        <v>#N/A</v>
      </c>
      <c r="V6" s="92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3" priority="13">
      <formula>IF(LEFT($A$3,2)&lt;&gt;"TJ",TRUE,FALSE)</formula>
    </cfRule>
  </conditionalFormatting>
  <conditionalFormatting sqref="C6:V151">
    <cfRule type="expression" dxfId="12" priority="15">
      <formula>AND(ISBLANK($C6)=FALSE,ISBLANK($E6)=TRUE)</formula>
    </cfRule>
  </conditionalFormatting>
  <conditionalFormatting sqref="D1:F1048576">
    <cfRule type="expression" dxfId="11" priority="11" stopIfTrue="1">
      <formula>AND($D1="8. TOTAL JUGES D'INSTRUCTION",_xlfn.NUMBERVALUE($L1)-(_xlfn.NUMBERVALUE($L2)+_xlfn.NUMBERVALUE($L3)+_xlfn.NUMBERVALUE($L4)-_xlfn.NUMBERVALUE($L5)+_xlfn.NUMBERVALUE($L6))&lt;&gt;0)</formula>
    </cfRule>
    <cfRule type="expression" dxfId="10" priority="12">
      <formula>AND($D1="7. TOTAL CONTENTIEUX DES MINEURS",OR(_xlfn.NUMBERVALUE($L1)-(_xlfn.NUMBERVALUE($L2)+_xlfn.NUMBERVALUE($L3))&lt;&gt;0,_xlfn.NUMBERVALUE($S1)-(_xlfn.NUMBERVALUE($S2)+_xlfn.NUMBERVALUE($S3))&lt;&gt;0,_xlfn.NUMBERVALUE($U1)-(_xlfn.NUMBERVALUE($U2)+_xlfn.NUMBERVALUE($U3))&lt;&gt;0))</formula>
    </cfRule>
  </conditionalFormatting>
  <conditionalFormatting sqref="D7:F7">
    <cfRule type="expression" dxfId="9" priority="10" stopIfTrue="1">
      <formula>OR(_xlfn.NUMBERVALUE($L6)&lt;&gt;_xlfn.NUMBERVALUE($L7),_xlfn.NUMBERVALUE($S6)&lt;&gt;_xlfn.NUMBERVALUE($S7),_xlfn.NUMBERVALUE($U6)&lt;&gt;_xlfn.NUMBERVALUE($U7))</formula>
    </cfRule>
  </conditionalFormatting>
  <conditionalFormatting sqref="G1:M1048576">
    <cfRule type="expression" dxfId="8" priority="8" stopIfTrue="1">
      <formula>AND($D1="8. TOTAL JUGES D'INSTRUCTION",_xlfn.NUMBERVALUE($L1)-(_xlfn.NUMBERVALUE($L2)+_xlfn.NUMBERVALUE($L3)+_xlfn.NUMBERVALUE($L4)+_xlfn.NUMBERVALUE($L5)+_xlfn.NUMBERVALUE($L6))&lt;&gt;0)</formula>
    </cfRule>
    <cfRule type="expression" dxfId="7" priority="9">
      <formula>AND($D1="7. TOTAL CONTENTIEUX DES MINEURS",_xlfn.NUMBERVALUE($L1)-(_xlfn.NUMBERVALUE($L2)+_xlfn.NUMBERVALUE($L3))&lt;&gt;0)</formula>
    </cfRule>
  </conditionalFormatting>
  <conditionalFormatting sqref="G7:M7">
    <cfRule type="expression" dxfId="6" priority="7" stopIfTrue="1">
      <formula>_xlfn.NUMBERVALUE($L7)&lt;&gt;_xlfn.NUMBERVALUE($L6)</formula>
    </cfRule>
  </conditionalFormatting>
  <conditionalFormatting sqref="N1:T1048576">
    <cfRule type="expression" dxfId="5" priority="5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4" priority="6" stopIfTrue="1">
      <formula>AND($D1="7. TOTAL CONTENTIEUX DES MINEURS",_xlfn.NUMBERVALUE($S1)-(_xlfn.NUMBERVALUE($S2)+_xlfn.NUMBERVALUE($S3))&lt;&gt;0)</formula>
    </cfRule>
  </conditionalFormatting>
  <conditionalFormatting sqref="N7:T7">
    <cfRule type="expression" dxfId="3" priority="4" stopIfTrue="1">
      <formula>_xlfn.NUMBERVALUE($S7)&lt;&gt;_xlfn.NUMBERVALUE($S6)</formula>
    </cfRule>
  </conditionalFormatting>
  <conditionalFormatting sqref="U1:V1048576">
    <cfRule type="expression" dxfId="2" priority="2" stopIfTrue="1">
      <formula>AND($D1="8. TOTAL JUGES D'INSTRUCTION",_xlfn.NUMBERVALUE($U1)-(_xlfn.NUMBERVALUE($U2)+_xlfn.NUMBERVALUE($U3)+_xlfn.NUMBERVALUE($U4)+_xlfn.NUMBERVALUE($U5)+_xlfn.NUMBERVALUE($U6))&lt;&gt;0)</formula>
    </cfRule>
    <cfRule type="expression" dxfId="1" priority="3">
      <formula>AND($D1="7. TOTAL CONTENTIEUX DES MINEURS",_xlfn.NUMBERVALUE($U1)-(_xlfn.NUMBERVALUE($U2)+_xlfn.NUMBERVALUE($U3))&lt;&gt;0)</formula>
    </cfRule>
  </conditionalFormatting>
  <conditionalFormatting sqref="U7:V7">
    <cfRule type="expression" dxfId="0" priority="1">
      <formula>_xlfn.NUMBERVALUE($U7)&lt;&gt;_xlfn.NUMBERVALUE($U6)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L1:L19"/>
  <sheetViews>
    <sheetView workbookViewId="0">
      <selection activeCell="N17" sqref="N17"/>
    </sheetView>
  </sheetViews>
  <sheetFormatPr baseColWidth="10" defaultRowHeight="15" x14ac:dyDescent="0.2"/>
  <sheetData>
    <row r="1" spans="12:12" ht="16" x14ac:dyDescent="0.2">
      <c r="L1" s="26" t="s">
        <v>0</v>
      </c>
    </row>
    <row r="2" spans="12:12" ht="16" x14ac:dyDescent="0.2">
      <c r="L2" s="26" t="s">
        <v>0</v>
      </c>
    </row>
    <row r="3" spans="12:12" ht="16" x14ac:dyDescent="0.2">
      <c r="L3" s="26" t="s">
        <v>0</v>
      </c>
    </row>
    <row r="4" spans="12:12" ht="16" x14ac:dyDescent="0.2">
      <c r="L4" s="26" t="s">
        <v>0</v>
      </c>
    </row>
    <row r="5" spans="12:12" ht="16" x14ac:dyDescent="0.2">
      <c r="L5" s="26" t="s">
        <v>0</v>
      </c>
    </row>
    <row r="6" spans="12:12" ht="16" x14ac:dyDescent="0.2">
      <c r="L6" s="26" t="s">
        <v>0</v>
      </c>
    </row>
    <row r="7" spans="12:12" ht="16" x14ac:dyDescent="0.2">
      <c r="L7" s="26" t="s">
        <v>0</v>
      </c>
    </row>
    <row r="8" spans="12:12" ht="16" x14ac:dyDescent="0.2">
      <c r="L8" s="26" t="s">
        <v>0</v>
      </c>
    </row>
    <row r="9" spans="12:12" ht="16" x14ac:dyDescent="0.2">
      <c r="L9" s="26" t="s">
        <v>0</v>
      </c>
    </row>
    <row r="10" spans="12:12" ht="16" x14ac:dyDescent="0.2">
      <c r="L10" s="26" t="s">
        <v>0</v>
      </c>
    </row>
    <row r="11" spans="12:12" ht="16" x14ac:dyDescent="0.2">
      <c r="L11" s="26" t="s">
        <v>0</v>
      </c>
    </row>
    <row r="12" spans="12:12" ht="16" x14ac:dyDescent="0.2">
      <c r="L12" s="26" t="s">
        <v>0</v>
      </c>
    </row>
    <row r="13" spans="12:12" ht="16" x14ac:dyDescent="0.2">
      <c r="L13" s="26" t="s">
        <v>0</v>
      </c>
    </row>
    <row r="14" spans="12:12" ht="16" x14ac:dyDescent="0.2">
      <c r="L14" s="26" t="s">
        <v>0</v>
      </c>
    </row>
    <row r="15" spans="12:12" ht="16" x14ac:dyDescent="0.2">
      <c r="L15" s="26" t="s">
        <v>0</v>
      </c>
    </row>
    <row r="16" spans="12:12" ht="16" x14ac:dyDescent="0.2">
      <c r="L16" s="26" t="s">
        <v>0</v>
      </c>
    </row>
    <row r="17" spans="12:12" ht="16" x14ac:dyDescent="0.2">
      <c r="L17" s="26" t="s">
        <v>0</v>
      </c>
    </row>
    <row r="18" spans="12:12" ht="16" x14ac:dyDescent="0.2">
      <c r="L18" s="26" t="s">
        <v>0</v>
      </c>
    </row>
    <row r="19" spans="12:12" ht="16" x14ac:dyDescent="0.2">
      <c r="L19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M21"/>
  <sheetViews>
    <sheetView workbookViewId="0">
      <selection activeCell="M1" sqref="M1:M21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3" s="33" customFormat="1" ht="16" x14ac:dyDescent="0.2">
      <c r="A1" s="34" t="s">
        <v>35</v>
      </c>
      <c r="B1"/>
      <c r="D1" s="34" t="s">
        <v>37</v>
      </c>
      <c r="E1"/>
      <c r="G1" s="34" t="s">
        <v>36</v>
      </c>
      <c r="H1"/>
      <c r="I1" s="49" t="s">
        <v>111</v>
      </c>
      <c r="M1" s="26" t="s">
        <v>0</v>
      </c>
    </row>
    <row r="2" spans="1:13" ht="16" x14ac:dyDescent="0.2">
      <c r="B2"/>
      <c r="E2"/>
      <c r="H2"/>
      <c r="I2"/>
      <c r="M2" s="26" t="s">
        <v>0</v>
      </c>
    </row>
    <row r="3" spans="1:13" ht="16" x14ac:dyDescent="0.2">
      <c r="B3" s="32"/>
      <c r="E3" s="32"/>
      <c r="H3" s="31"/>
      <c r="I3"/>
      <c r="M3" s="26" t="s">
        <v>0</v>
      </c>
    </row>
    <row r="4" spans="1:13" ht="16" x14ac:dyDescent="0.15">
      <c r="B4" s="32"/>
      <c r="E4" s="32"/>
      <c r="H4" s="31"/>
      <c r="M4" s="26" t="s">
        <v>0</v>
      </c>
    </row>
    <row r="5" spans="1:13" ht="16" x14ac:dyDescent="0.15">
      <c r="B5" s="32"/>
      <c r="E5" s="32"/>
      <c r="H5" s="31"/>
      <c r="M5" s="26" t="s">
        <v>0</v>
      </c>
    </row>
    <row r="6" spans="1:13" ht="16" x14ac:dyDescent="0.15">
      <c r="H6" s="31"/>
      <c r="M6" s="26" t="s">
        <v>0</v>
      </c>
    </row>
    <row r="7" spans="1:13" ht="16" x14ac:dyDescent="0.15">
      <c r="H7" s="31"/>
      <c r="M7" s="26" t="s">
        <v>0</v>
      </c>
    </row>
    <row r="8" spans="1:13" ht="16" x14ac:dyDescent="0.15">
      <c r="H8" s="31"/>
      <c r="M8" s="26" t="s">
        <v>0</v>
      </c>
    </row>
    <row r="9" spans="1:13" ht="16" x14ac:dyDescent="0.15">
      <c r="M9" s="26" t="s">
        <v>0</v>
      </c>
    </row>
    <row r="10" spans="1:13" ht="16" x14ac:dyDescent="0.15">
      <c r="M10" s="26" t="s">
        <v>0</v>
      </c>
    </row>
    <row r="11" spans="1:13" ht="16" x14ac:dyDescent="0.15">
      <c r="M11" s="26" t="s">
        <v>0</v>
      </c>
    </row>
    <row r="12" spans="1:13" ht="16" x14ac:dyDescent="0.15">
      <c r="M12" s="26" t="s">
        <v>0</v>
      </c>
    </row>
    <row r="13" spans="1:13" ht="16" x14ac:dyDescent="0.15">
      <c r="M13" s="26" t="s">
        <v>0</v>
      </c>
    </row>
    <row r="14" spans="1:13" ht="16" x14ac:dyDescent="0.15">
      <c r="M14" s="26" t="s">
        <v>0</v>
      </c>
    </row>
    <row r="15" spans="1:13" ht="16" x14ac:dyDescent="0.15">
      <c r="M15" s="26" t="s">
        <v>0</v>
      </c>
    </row>
    <row r="16" spans="1:13" ht="16" x14ac:dyDescent="0.15">
      <c r="M16" s="26" t="s">
        <v>0</v>
      </c>
    </row>
    <row r="17" spans="13:13" ht="16" x14ac:dyDescent="0.15">
      <c r="M17" s="26" t="s">
        <v>0</v>
      </c>
    </row>
    <row r="18" spans="13:13" ht="16" x14ac:dyDescent="0.15">
      <c r="M18" s="26" t="s">
        <v>0</v>
      </c>
    </row>
    <row r="19" spans="13:13" ht="16" x14ac:dyDescent="0.2">
      <c r="M19" s="21" t="s">
        <v>7</v>
      </c>
    </row>
    <row r="20" spans="13:13" ht="15" x14ac:dyDescent="0.2">
      <c r="M20"/>
    </row>
    <row r="21" spans="13:13" ht="15" x14ac:dyDescent="0.2">
      <c r="M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83"/>
  <sheetViews>
    <sheetView zoomScale="118" zoomScaleNormal="80" workbookViewId="0">
      <selection activeCell="G1" sqref="G1:G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81.1640625" style="35" customWidth="1"/>
    <col min="8" max="16384" width="11" style="35"/>
  </cols>
  <sheetData>
    <row r="1" spans="1:7" ht="76" customHeight="1" x14ac:dyDescent="0.2">
      <c r="A1" s="113" t="s">
        <v>42</v>
      </c>
      <c r="B1" s="114" t="s">
        <v>33</v>
      </c>
      <c r="C1" s="114" t="s">
        <v>41</v>
      </c>
      <c r="D1" s="114" t="s">
        <v>40</v>
      </c>
      <c r="E1" s="114" t="s">
        <v>39</v>
      </c>
      <c r="F1" s="115" t="s">
        <v>246</v>
      </c>
      <c r="G1" t="s">
        <v>266</v>
      </c>
    </row>
    <row r="2" spans="1:7" ht="32" x14ac:dyDescent="0.2">
      <c r="A2" s="35" t="s">
        <v>259</v>
      </c>
      <c r="B2" s="35" t="s">
        <v>260</v>
      </c>
      <c r="C2" s="35" t="s">
        <v>261</v>
      </c>
      <c r="D2" s="124" t="s">
        <v>262</v>
      </c>
      <c r="E2" s="124" t="s">
        <v>263</v>
      </c>
      <c r="F2" s="124" t="s">
        <v>264</v>
      </c>
      <c r="G2" t="s">
        <v>265</v>
      </c>
    </row>
    <row r="3" spans="1:7" x14ac:dyDescent="0.2">
      <c r="G3" t="s">
        <v>7</v>
      </c>
    </row>
    <row r="50" ht="18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72" spans="1:7" ht="15.75" customHeight="1" x14ac:dyDescent="0.2"/>
    <row r="73" spans="1:7" ht="15.75" customHeight="1" x14ac:dyDescent="0.2"/>
    <row r="74" spans="1:7" s="36" customFormat="1" ht="15.75" customHeight="1" x14ac:dyDescent="0.2">
      <c r="A74" s="35"/>
      <c r="B74" s="35"/>
      <c r="C74" s="35"/>
      <c r="D74" s="35"/>
      <c r="E74" s="35"/>
      <c r="F74" s="35"/>
      <c r="G74" s="35"/>
    </row>
    <row r="75" spans="1:7" ht="15.75" customHeight="1" x14ac:dyDescent="0.2"/>
    <row r="76" spans="1:7" ht="15.75" customHeight="1" x14ac:dyDescent="0.2"/>
    <row r="77" spans="1:7" ht="15.75" customHeight="1" x14ac:dyDescent="0.2"/>
    <row r="78" spans="1:7" ht="15.75" customHeight="1" x14ac:dyDescent="0.2"/>
    <row r="79" spans="1:7" ht="15.75" customHeight="1" x14ac:dyDescent="0.2"/>
    <row r="80" spans="1:7" ht="15.75" customHeight="1" x14ac:dyDescent="0.2"/>
    <row r="81" ht="15.75" customHeight="1" x14ac:dyDescent="0.2"/>
    <row r="82" ht="15.75" customHeight="1" x14ac:dyDescent="0.2"/>
    <row r="83" ht="15.75" customHeight="1" x14ac:dyDescent="0.2"/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9"/>
  <sheetViews>
    <sheetView zoomScaleNormal="100" workbookViewId="0">
      <pane xSplit="6" topLeftCell="N1" activePane="topRight" state="frozen"/>
      <selection activeCell="D1" sqref="D1"/>
      <selection pane="topRight" activeCell="R9" sqref="R9"/>
    </sheetView>
  </sheetViews>
  <sheetFormatPr baseColWidth="10" defaultColWidth="11" defaultRowHeight="16" x14ac:dyDescent="0.2"/>
  <cols>
    <col min="1" max="3" width="11" style="37" hidden="1" customWidth="1"/>
    <col min="4" max="4" width="13.5" style="37" bestFit="1" customWidth="1"/>
    <col min="5" max="5" width="11" style="37"/>
    <col min="6" max="6" width="46.33203125" style="37" bestFit="1" customWidth="1"/>
    <col min="7" max="16384" width="11" style="37"/>
  </cols>
  <sheetData>
    <row r="1" spans="1:62" s="4" customFormat="1" ht="80" customHeight="1" x14ac:dyDescent="0.25">
      <c r="A1" s="3" t="s">
        <v>107</v>
      </c>
      <c r="B1" s="5"/>
      <c r="C1" s="5"/>
      <c r="D1" s="3" t="s">
        <v>254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ht="44" customHeight="1" x14ac:dyDescent="0.2">
      <c r="A2" s="46"/>
      <c r="B2" s="45"/>
      <c r="C2" s="45"/>
      <c r="D2" s="45"/>
      <c r="E2" s="45"/>
      <c r="F2" s="45"/>
      <c r="G2" s="120" t="s">
        <v>106</v>
      </c>
      <c r="H2" s="123" t="s">
        <v>105</v>
      </c>
      <c r="I2" s="120" t="s">
        <v>104</v>
      </c>
      <c r="J2" s="120" t="s">
        <v>104</v>
      </c>
      <c r="K2" s="120" t="s">
        <v>104</v>
      </c>
      <c r="L2" s="120" t="s">
        <v>104</v>
      </c>
      <c r="M2" s="120" t="s">
        <v>104</v>
      </c>
      <c r="N2" s="120" t="s">
        <v>104</v>
      </c>
      <c r="O2" s="123" t="s">
        <v>103</v>
      </c>
      <c r="P2" s="120" t="s">
        <v>38</v>
      </c>
      <c r="Q2" s="120" t="s">
        <v>38</v>
      </c>
      <c r="R2" s="120" t="s">
        <v>38</v>
      </c>
      <c r="S2" s="123" t="s">
        <v>102</v>
      </c>
      <c r="T2" s="120" t="s">
        <v>101</v>
      </c>
      <c r="U2" s="120" t="s">
        <v>101</v>
      </c>
      <c r="V2" s="120" t="s">
        <v>101</v>
      </c>
      <c r="W2" s="120" t="s">
        <v>101</v>
      </c>
      <c r="X2" s="120" t="s">
        <v>101</v>
      </c>
      <c r="Y2" s="123" t="s">
        <v>100</v>
      </c>
      <c r="Z2" s="120" t="s">
        <v>99</v>
      </c>
      <c r="AA2" s="120" t="s">
        <v>99</v>
      </c>
      <c r="AB2" s="120" t="s">
        <v>99</v>
      </c>
      <c r="AC2" s="120" t="s">
        <v>99</v>
      </c>
      <c r="AD2" s="120" t="s">
        <v>99</v>
      </c>
      <c r="AE2" s="123" t="s">
        <v>98</v>
      </c>
    </row>
    <row r="3" spans="1:62" ht="36" x14ac:dyDescent="0.2">
      <c r="A3" s="46"/>
      <c r="B3" s="45"/>
      <c r="C3" s="45"/>
      <c r="D3" s="45"/>
      <c r="E3" s="45"/>
      <c r="F3" s="45"/>
      <c r="G3" s="120" t="s">
        <v>97</v>
      </c>
      <c r="H3" s="123"/>
      <c r="I3" s="120" t="s">
        <v>96</v>
      </c>
      <c r="J3" s="120" t="s">
        <v>95</v>
      </c>
      <c r="K3" s="120" t="s">
        <v>94</v>
      </c>
      <c r="L3" s="120" t="s">
        <v>141</v>
      </c>
      <c r="M3" s="120" t="s">
        <v>142</v>
      </c>
      <c r="N3" s="120" t="s">
        <v>93</v>
      </c>
      <c r="O3" s="123"/>
      <c r="P3" s="120" t="s">
        <v>143</v>
      </c>
      <c r="Q3" s="120" t="s">
        <v>91</v>
      </c>
      <c r="R3" s="120" t="s">
        <v>92</v>
      </c>
      <c r="S3" s="123"/>
      <c r="T3" s="120" t="s">
        <v>90</v>
      </c>
      <c r="U3" s="120" t="s">
        <v>89</v>
      </c>
      <c r="V3" s="120" t="s">
        <v>144</v>
      </c>
      <c r="W3" s="120" t="s">
        <v>145</v>
      </c>
      <c r="X3" s="120" t="s">
        <v>88</v>
      </c>
      <c r="Y3" s="123"/>
      <c r="Z3" s="120" t="s">
        <v>87</v>
      </c>
      <c r="AA3" s="120" t="s">
        <v>252</v>
      </c>
      <c r="AB3" s="120" t="s">
        <v>86</v>
      </c>
      <c r="AC3" s="120" t="s">
        <v>85</v>
      </c>
      <c r="AD3" s="120" t="s">
        <v>84</v>
      </c>
      <c r="AE3" s="123"/>
    </row>
    <row r="4" spans="1:62" ht="48" x14ac:dyDescent="0.2">
      <c r="A4" s="44"/>
      <c r="B4" s="43" t="s">
        <v>83</v>
      </c>
      <c r="C4" s="43" t="s">
        <v>82</v>
      </c>
      <c r="D4" s="43" t="s">
        <v>32</v>
      </c>
      <c r="E4" s="116" t="s">
        <v>81</v>
      </c>
      <c r="F4" s="116" t="s">
        <v>80</v>
      </c>
      <c r="G4" s="120" t="s">
        <v>79</v>
      </c>
      <c r="H4" s="123"/>
      <c r="I4" s="120" t="s">
        <v>78</v>
      </c>
      <c r="J4" s="120" t="s">
        <v>77</v>
      </c>
      <c r="K4" s="120" t="s">
        <v>76</v>
      </c>
      <c r="L4" s="120" t="s">
        <v>146</v>
      </c>
      <c r="M4" s="120" t="s">
        <v>147</v>
      </c>
      <c r="N4" s="120" t="s">
        <v>75</v>
      </c>
      <c r="O4" s="123"/>
      <c r="P4" s="120" t="s">
        <v>148</v>
      </c>
      <c r="Q4" s="120" t="s">
        <v>73</v>
      </c>
      <c r="R4" s="120" t="s">
        <v>74</v>
      </c>
      <c r="S4" s="123"/>
      <c r="T4" s="120" t="s">
        <v>72</v>
      </c>
      <c r="U4" s="120" t="s">
        <v>71</v>
      </c>
      <c r="V4" s="120" t="s">
        <v>149</v>
      </c>
      <c r="W4" s="120" t="s">
        <v>150</v>
      </c>
      <c r="X4" s="120" t="s">
        <v>70</v>
      </c>
      <c r="Y4" s="123"/>
      <c r="Z4" s="120" t="s">
        <v>69</v>
      </c>
      <c r="AA4" s="120" t="s">
        <v>253</v>
      </c>
      <c r="AB4" s="120" t="s">
        <v>68</v>
      </c>
      <c r="AC4" s="120" t="s">
        <v>67</v>
      </c>
      <c r="AD4" s="120" t="s">
        <v>66</v>
      </c>
      <c r="AE4" s="123"/>
    </row>
    <row r="5" spans="1:62" x14ac:dyDescent="0.2">
      <c r="A5" s="42"/>
      <c r="B5" s="41"/>
      <c r="C5" s="41"/>
      <c r="D5" s="47" t="s">
        <v>258</v>
      </c>
      <c r="E5" s="117" t="s">
        <v>65</v>
      </c>
      <c r="F5" s="117" t="s">
        <v>64</v>
      </c>
      <c r="G5" s="103" t="e">
        <f>SUMIFS( INDEX( 'ETPT Format DDG'!$A:$FF,,MATCH("Temps ventilés sur la période (contentieux sociaux civils et commerciaux)",'ETPT Format DDG'!2:2,0)),'ETPT Format DDG'!$C:$C,$D$5,'ETPT Format DDG'!$FA:$FA,"Fonctionnaire CTECH") +
SUMIFS( INDEX( 'ETPT Format DDG'!$A:$FF,,MATCH("13.9. FONCTIONNAIRES / JA AFFECTÉS AUX ACTIVITÉS CIVILES ET COMMERCIALES DU PARQUET GÉNÉRAL",'ETPT Format DDG'!2:2,0)),'ETPT Format DDG'!$C:$C,$D$5,'ETPT Format DDG'!$FA:$FA,"Fonctionnaire CTECH")</f>
        <v>#N/A</v>
      </c>
      <c r="H5" s="79" t="e">
        <f>SUM(G5)</f>
        <v>#N/A</v>
      </c>
      <c r="I5" s="103" t="e">
        <f>SUMIFS( INDEX( 'ETPT Format DDG'!$A:$FF,,MATCH("13.9. FONCTIONNAIRES / JA AFFECTÉS AUX ACTIVITÉS CIVILES ET COMMERCIALES DU PARQUET GÉNÉRAL",'ETPT Format DDG'!2:2,0)),'ETPT Format DDG'!$C:$C,$D$5,'ETPT Format DDG'!$FA:$FA,"Fonctionnaire A-B-CBUR")</f>
        <v>#N/A</v>
      </c>
      <c r="J5" s="103"/>
      <c r="K5" s="103"/>
      <c r="L5" s="103"/>
      <c r="M5" s="103" t="e">
        <f>SUMIFS( INDEX( 'ETPT Format DDG'!$A:$FF,,MATCH("1. TOTAL CONTENTIEUX SOCIAL",'ETPT Format DDG'!2:2,0)),'ETPT Format DDG'!$C:$C,$D$5,'ETPT Format DDG'!$FA:$FA,"Fonctionnaire A-B-CBUR")</f>
        <v>#N/A</v>
      </c>
      <c r="N5" s="103" t="e">
        <f>SUMIFS( INDEX( 'ETPT Format DDG'!$A:$FF,,MATCH("Temps ventilés sur la période (contentieux sociaux civils et commerciaux)",'ETPT Format DDG'!2:2,0)),'ETPT Format DDG'!$C:$C,$D$5,'ETPT Format DDG'!$FA:$FA,"Fonctionnaire A-B-CBUR") -
SUMIFS( INDEX( 'ETPT Format DDG'!$A:$FF,,MATCH("1. TOTAL CONTENTIEUX SOCIAL",'ETPT Format DDG'!2:2,0)),'ETPT Format DDG'!$C:$C,$D$5,'ETPT Format DDG'!$FA:$FA,"Fonctionnaire A-B-CBUR")</f>
        <v>#N/A</v>
      </c>
      <c r="O5" s="79" t="e">
        <f>SUM(I5:N5)</f>
        <v>#N/A</v>
      </c>
      <c r="P5" s="103" t="e">
        <f>SUMIFS( INDEX( 'ETPT Format DDG'!$A:$FF,,MATCH("Temps ventilés sur la période (contentieux sociaux civils et commerciaux)",'ETPT Format DDG'!2:2,0)),'ETPT Format DDG'!$C:$C,$D$5,'ETPT Format DDG'!$FA:$FA,"JURISTE AS chambres sociales") +
SUMIFS( INDEX( 'ETPT Format DDG'!$A:$FF,,MATCH("13.9. FONCTIONNAIRES / JA AFFECTÉS AUX ACTIVITÉS CIVILES ET COMMERCIALES DU PARQUET GÉNÉRAL",'ETPT Format DDG'!2:2,0)),'ETPT Format DDG'!$C:$C,$D$5,'ETPT Format DDG'!$FA:$FA,"JURISTE AS chambres sociales")</f>
        <v>#N/A</v>
      </c>
      <c r="Q5" s="103" t="e">
        <f>SUMIFS( INDEX( 'ETPT Format DDG'!$A:$FF,,MATCH("Temps ventilés sur la période (contentieux sociaux civils et commerciaux)",'ETPT Format DDG'!2:2,0)),'ETPT Format DDG'!$C:$C,$D$5,'ETPT Format DDG'!$FA:$FA,"JURISTE AS siège Autres") +
SUMIFS( INDEX( 'ETPT Format DDG'!$A:$FF,,MATCH("13.9. FONCTIONNAIRES / JA AFFECTÉS AUX ACTIVITÉS CIVILES ET COMMERCIALES DU PARQUET GÉNÉRAL",'ETPT Format DDG'!2:2,0)),'ETPT Format DDG'!$C:$C,$D$5,'ETPT Format DDG'!$FA:$FA,"JURISTE AS siège Autres")</f>
        <v>#N/A</v>
      </c>
      <c r="R5" s="103" t="e">
        <f>SUMIFS( INDEX( 'ETPT Format DDG'!$A:$FF,,MATCH("Temps ventilés sur la période (contentieux sociaux civils et commerciaux)",'ETPT Format DDG'!2:2,0)),'ETPT Format DDG'!$C:$C,$D$5,'ETPT Format DDG'!$FA:$FA,"JURISTE AS parquet général") +
SUMIFS( INDEX( 'ETPT Format DDG'!$A:$FF,,MATCH("13.9. FONCTIONNAIRES / JA AFFECTÉS AUX ACTIVITÉS CIVILES ET COMMERCIALES DU PARQUET GÉNÉRAL",'ETPT Format DDG'!2:2,0)),'ETPT Format DDG'!$C:$C,$D$5,'ETPT Format DDG'!$FA:$FA,"JURISTE AS parquet général")</f>
        <v>#N/A</v>
      </c>
      <c r="S5" s="79" t="e">
        <f>SUM(P5:R5)</f>
        <v>#N/A</v>
      </c>
      <c r="T5" s="103"/>
      <c r="U5" s="103"/>
      <c r="V5" s="103"/>
      <c r="W5" s="103" t="e">
        <f>SUMIFS( INDEX( 'ETPT Format DDG'!$A:$FF,,MATCH("1. TOTAL CONTENTIEUX SOCIAL",'ETPT Format DDG'!2:2,0)),'ETPT Format DDG'!$C:$C,$D$5,'ETPT Format DDG'!$FA:$FA,"Magistrat SIEGE")</f>
        <v>#N/A</v>
      </c>
      <c r="X5" s="103" t="e">
        <f>SUMIFS( INDEX( 'ETPT Format DDG'!$A:$FF,,MATCH("Temps ventilés sur la période (contentieux sociaux civils et commerciaux)",'ETPT Format DDG'!2:2,0)),'ETPT Format DDG'!$C:$C,$D$5,'ETPT Format DDG'!$FA:$FA,"Magistrat SIEGE") -
SUMIFS( INDEX( 'ETPT Format DDG'!$A:$FF,,MATCH("1. TOTAL CONTENTIEUX SOCIAL",'ETPT Format DDG'!2:2,0)),'ETPT Format DDG'!$C:$C,$D$5,'ETPT Format DDG'!$FA:$FA,"Magistrat SIEGE")</f>
        <v>#N/A</v>
      </c>
      <c r="Y5" s="79" t="e">
        <f>SUM(T5:X5)</f>
        <v>#N/A</v>
      </c>
      <c r="Z5" s="103"/>
      <c r="AA5" s="103"/>
      <c r="AB5" s="103"/>
      <c r="AC5" s="103"/>
      <c r="AD5" s="103"/>
      <c r="AE5" s="79">
        <f>SUM(Z5:AD5)</f>
        <v>0</v>
      </c>
    </row>
    <row r="6" spans="1:62" x14ac:dyDescent="0.2">
      <c r="A6" s="42"/>
      <c r="B6" s="41"/>
      <c r="C6" s="41"/>
      <c r="D6" s="38" t="str">
        <f t="shared" ref="D6:D15" si="0">IF(ISBLANK($D$5),"",$D$5)</f>
        <v>=ETPT_CA_JUR_DDG!D5</v>
      </c>
      <c r="E6" s="117" t="s">
        <v>63</v>
      </c>
      <c r="F6" s="117" t="s">
        <v>62</v>
      </c>
      <c r="G6" s="103" t="e">
        <f>SUMIFS( INDEX( 'ETPT Format DDG'!$A:$FF,,MATCH("Temps ventilés sur la période (service pénal)",'ETPT Format DDG'!2:2,0)),'ETPT Format DDG'!$C:$C,$D$5,'ETPT Format DDG'!$FA:$FA,"Fonctionnaire CTECH") +
SUMIFS( INDEX( 'ETPT Format DDG'!$A:$FF,,MATCH("13.10. AUTRES FONCTIONNAIRES / JA AFFECTÉS AU PARQUET GÉNÉRAL",'ETPT Format DDG'!2:2,0)),'ETPT Format DDG'!$C:$C,$D$5,'ETPT Format DDG'!$FA:$FA,"Fonctionnaire CTECH")</f>
        <v>#N/A</v>
      </c>
      <c r="H6" s="79" t="e">
        <f>SUM(G6)</f>
        <v>#N/A</v>
      </c>
      <c r="I6" s="103"/>
      <c r="J6" s="103" t="e">
        <f>SUMIFS( INDEX( 'ETPT Format DDG'!$A:$FF,,MATCH("11.1. ASSISES HORS JIRS",'ETPT Format DDG'!2:2,0)),'ETPT Format DDG'!$C:$C,$D$5,'ETPT Format DDG'!$FA:$FA,"Fonctionnaire A-B-CBUR") +
SUMIFS( INDEX( 'ETPT Format DDG'!$A:$FF,,MATCH("11.2 ASSISES JIRS",'ETPT Format DDG'!2:2,0)),'ETPT Format DDG'!$C:$C,$D$5,'ETPT Format DDG'!$FA:$FA,"Fonctionnaire A-B-CBUR")</f>
        <v>#N/A</v>
      </c>
      <c r="K6" s="103" t="e">
        <f>SUMIFS( INDEX( 'ETPT Format DDG'!$A:$FF,,MATCH("11.3. COUR CRIMINELLE DÉPARTEMENTALE",'ETPT Format DDG'!2:2,0)),'ETPT Format DDG'!$C:$C,$D$5,'ETPT Format DDG'!$FA:$FA,"Fonctionnaire A-B-CBUR")</f>
        <v>#N/A</v>
      </c>
      <c r="L6" s="103" t="e">
        <f>SUMIFS( INDEX( 'ETPT Format DDG'!$A:$FF,,MATCH("8.4. CONTENTIEUX JIRS CRIM-ORG",'ETPT Format DDG'!2:2,0)),'ETPT Format DDG'!$C:$C,$D$5,'ETPT Format DDG'!$FA:$FA,"Fonctionnaire A-B-CBUR") +
SUMIFS( INDEX( 'ETPT Format DDG'!$A:$FF,,MATCH("8.7. CONTENTIEUX JIRS ÉCO-FI",'ETPT Format DDG'!2:2,0)),'ETPT Format DDG'!$C:$C,$D$5,'ETPT Format DDG'!$FA:$FA,"Fonctionnaire A-B-CBUR") +
SUMIFS( INDEX( 'ETPT Format DDG'!$A:$FF,,MATCH("9.3. CONTENTIEUX DE LA DÉTENTION JIRS",'ETPT Format DDG'!2:2,0)),'ETPT Format DDG'!$C:$C,$D$5,'ETPT Format DDG'!$FA:$FA,"Fonctionnaire A-B-CBUR")+
SUMIFS( INDEX( 'ETPT Format DDG'!$A:$FF,,MATCH("9.5. CONTENTIEUX DU CONTRÔLE JUDICIAIRE JIRS",'ETPT Format DDG'!2:2,0)),'ETPT Format DDG'!$C:$C,$D$5,'ETPT Format DDG'!$FA:$FA,"Fonctionnaire A-B-CBUR")+
SUMIFS( INDEX( 'ETPT Format DDG'!$A:$FF,,MATCH("9.7. CONTENTIEUX DE FOND JIRS",'ETPT Format DDG'!2:2,0)),'ETPT Format DDG'!$C:$C,$D$5,'ETPT Format DDG'!$FA:$FA,"Fonctionnaire A-B-CBUR")</f>
        <v>#N/A</v>
      </c>
      <c r="M6" s="103"/>
      <c r="N6" s="103" t="e">
        <f>SUMIFS( INDEX( 'ETPT Format DDG'!$A:$FF,,MATCH("Temps ventilés sur la période (service pénal)",'ETPT Format DDG'!2:2,0)),'ETPT Format DDG'!$C:$C,$D$5,'ETPT Format DDG'!$FA:$FA,"Fonctionnaire A-B-CBUR") -
SUMIFS( INDEX( 'ETPT Format DDG'!$A:$FF,,MATCH("11.1. ASSISES HORS JIRS",'ETPT Format DDG'!2:2,0)),'ETPT Format DDG'!$C:$C,$D$5,'ETPT Format DDG'!$FA:$FA,"Fonctionnaire A-B-CBUR")  -
SUMIFS( INDEX( 'ETPT Format DDG'!$A:$FF,,MATCH("11.2 ASSISES JIRS",'ETPT Format DDG'!2:2,0)),'ETPT Format DDG'!$C:$C,$D$5,'ETPT Format DDG'!$FA:$FA,"Fonctionnaire A-B-CBUR")  -
SUMIFS( INDEX( 'ETPT Format DDG'!$A:$FF,,MATCH("11.3. COUR CRIMINELLE DÉPARTEMENTALE",'ETPT Format DDG'!2:2,0)),'ETPT Format DDG'!$C:$C,$D$5,'ETPT Format DDG'!$FA:$FA,"Fonctionnaire A-B-CBUR")  -
SUMIFS( INDEX( 'ETPT Format DDG'!$A:$FF,,MATCH("8.4. CONTENTIEUX JIRS CRIM-ORG",'ETPT Format DDG'!2:2,0)),'ETPT Format DDG'!$C:$C,$D$5,'ETPT Format DDG'!$FA:$FA,"Fonctionnaire A-B-CBUR")  -
SUMIFS( INDEX( 'ETPT Format DDG'!$A:$FF,,MATCH("8.7. CONTENTIEUX JIRS ÉCO-FI",'ETPT Format DDG'!2:2,0)),'ETPT Format DDG'!$C:$C,$D$5,'ETPT Format DDG'!$FA:$FA,"Fonctionnaire A-B-CBUR")  -
SUMIFS( INDEX( 'ETPT Format DDG'!$A:$FF,,MATCH("9.3. CONTENTIEUX DE LA DÉTENTION JIRS",'ETPT Format DDG'!2:2,0)),'ETPT Format DDG'!$C:$C,$D$5,'ETPT Format DDG'!$FA:$FA,"Fonctionnaire A-B-CBUR")  -
SUMIFS( INDEX( 'ETPT Format DDG'!$A:$FF,,MATCH("9.5. CONTENTIEUX DU CONTRÔLE JUDICIAIRE JIRS",'ETPT Format DDG'!2:2,0)),'ETPT Format DDG'!$C:$C,$D$5,'ETPT Format DDG'!$FA:$FA,"Fonctionnaire A-B-CBUR")  -
SUMIFS( INDEX( 'ETPT Format DDG'!$A:$FF,,MATCH("9.7. CONTENTIEUX DE FOND JIRS",'ETPT Format DDG'!2:2,0)),'ETPT Format DDG'!$C:$C,$D$5,'ETPT Format DDG'!$FA:$FA,"Fonctionnaire A-B-CBUR")  +
SUMIFS( INDEX( 'ETPT Format DDG'!$A:$FF,,MATCH("13.10. AUTRES FONCTIONNAIRES / JA AFFECTÉS AU PARQUET GÉNÉRAL",'ETPT Format DDG'!2:2,0)),'ETPT Format DDG'!$C:$C,$D$5,'ETPT Format DDG'!$FA:$FA,"Fonctionnaire A-B-CBUR")</f>
        <v>#N/A</v>
      </c>
      <c r="O6" s="79" t="e">
        <f t="shared" ref="O6:O15" si="1">SUM(I6:N6)</f>
        <v>#N/A</v>
      </c>
      <c r="P6" s="103" t="e">
        <f>SUMIFS( INDEX( 'ETPT Format DDG'!$A:$FF,,MATCH("Temps ventilés sur la période (service pénal)",'ETPT Format DDG'!2:2,0)),'ETPT Format DDG'!$C:$C,$D$5,'ETPT Format DDG'!$FA:$FA,"JURISTE AS chambres sociales") +
SUMIFS( INDEX( 'ETPT Format DDG'!$A:$FF,,MATCH("13.10. AUTRES FONCTIONNAIRES / JA AFFECTÉS AU PARQUET GÉNÉRAL",'ETPT Format DDG'!2:2,0)),'ETPT Format DDG'!$C:$C,$D$5,'ETPT Format DDG'!$FA:$FA,"JURISTE AS chambres sociales")</f>
        <v>#N/A</v>
      </c>
      <c r="Q6" s="103" t="e">
        <f>SUMIFS( INDEX( 'ETPT Format DDG'!$A:$FF,,MATCH("Temps ventilés sur la période (service pénal)",'ETPT Format DDG'!2:2,0)),'ETPT Format DDG'!$C:$C,$D$5,'ETPT Format DDG'!$FA:$FA,"JURISTE AS siège Autres") +
SUMIFS( INDEX( 'ETPT Format DDG'!$A:$FF,,MATCH("13.10. AUTRES FONCTIONNAIRES / JA AFFECTÉS AU PARQUET GÉNÉRAL",'ETPT Format DDG'!2:2,0)),'ETPT Format DDG'!$C:$C,$D$5,'ETPT Format DDG'!$FA:$FA,"JURISTE AS siège Autres")</f>
        <v>#N/A</v>
      </c>
      <c r="R6" s="103" t="e">
        <f>SUMIFS( INDEX( 'ETPT Format DDG'!$A:$FF,,MATCH("Temps ventilés sur la période (service pénal)",'ETPT Format DDG'!2:2,0)),'ETPT Format DDG'!$C:$C,$D$5,'ETPT Format DDG'!$FA:$FA,"JURISTE AS parquet général") +
SUMIFS( INDEX( 'ETPT Format DDG'!$A:$FF,,MATCH("13.10. AUTRES FONCTIONNAIRES / JA AFFECTÉS AU PARQUET GÉNÉRAL",'ETPT Format DDG'!2:2,0)),'ETPT Format DDG'!$C:$C,$D$5,'ETPT Format DDG'!$FA:$FA,"JURISTE AS parquet général")</f>
        <v>#N/A</v>
      </c>
      <c r="S6" s="79" t="e">
        <f t="shared" ref="S6:S16" si="2">SUM(P6:R6)</f>
        <v>#N/A</v>
      </c>
      <c r="T6" s="103" t="e">
        <f>SUMIFS( INDEX( 'ETPT Format DDG'!$A:$FF,,MATCH("11.1. ASSISES HORS JIRS",'ETPT Format DDG'!2:2,0)),'ETPT Format DDG'!$C:$C,$D$5,'ETPT Format DDG'!$FA:$FA,"Magistrat SIEGE") +
SUMIFS( INDEX( 'ETPT Format DDG'!$A:$FF,,MATCH("11.2 ASSISES JIRS",'ETPT Format DDG'!2:2,0)),'ETPT Format DDG'!$C:$C,$D$5,'ETPT Format DDG'!$FA:$FA,"Magistrat SIEGE")</f>
        <v>#N/A</v>
      </c>
      <c r="U6" s="103" t="e">
        <f>SUMIFS( INDEX( 'ETPT Format DDG'!$A:$FF,,MATCH("11.3. COUR CRIMINELLE DÉPARTEMENTALE",'ETPT Format DDG'!2:2,0)),'ETPT Format DDG'!$C:$C,$D$5,'ETPT Format DDG'!$FA:$FA,"Magistrat SIEGE")</f>
        <v>#N/A</v>
      </c>
      <c r="V6" s="103" t="e">
        <f>SUMIFS( INDEX( 'ETPT Format DDG'!$A:$FF,,MATCH("8.4. CONTENTIEUX JIRS CRIM-ORG",'ETPT Format DDG'!2:2,0)),'ETPT Format DDG'!$C:$C,$D$5,'ETPT Format DDG'!$FA:$FA,"Magistrat SIEGE") +
SUMIFS( INDEX( 'ETPT Format DDG'!$A:$FF,,MATCH("8.7. CONTENTIEUX JIRS ÉCO-FI",'ETPT Format DDG'!2:2,0)),'ETPT Format DDG'!$C:$C,$D$5,'ETPT Format DDG'!$FA:$FA,"Magistrat SIEGE") +
SUMIFS( INDEX( 'ETPT Format DDG'!$A:$FF,,MATCH("9.3. CONTENTIEUX DE LA DÉTENTION JIRS",'ETPT Format DDG'!2:2,0)),'ETPT Format DDG'!$C:$C,$D$5,'ETPT Format DDG'!$FA:$FA,"Magistrat SIEGE")+
SUMIFS( INDEX( 'ETPT Format DDG'!$A:$FF,,MATCH("9.5. CONTENTIEUX DU CONTRÔLE JUDICIAIRE JIRS",'ETPT Format DDG'!2:2,0)),'ETPT Format DDG'!$C:$C,$D$5,'ETPT Format DDG'!$FA:$FA,"Magistrat SIEGE")+
SUMIFS( INDEX( 'ETPT Format DDG'!$A:$FF,,MATCH("9.7. CONTENTIEUX DE FOND JIRS",'ETPT Format DDG'!2:2,0)),'ETPT Format DDG'!$C:$C,$D$5,'ETPT Format DDG'!$FA:$FA,"Magistrat SIEGE")</f>
        <v>#N/A</v>
      </c>
      <c r="W6" s="103"/>
      <c r="X6" s="103" t="e">
        <f>SUMIFS( INDEX( 'ETPT Format DDG'!$A:$FF,,MATCH("Temps ventilés sur la période (service pénal)",'ETPT Format DDG'!2:2,0)),'ETPT Format DDG'!$C:$C,$D$5,'ETPT Format DDG'!$FA:$FA,"Magistrat SIEGE") -
SUMIFS( INDEX( 'ETPT Format DDG'!$A:$FF,,MATCH("11.1. ASSISES HORS JIRS",'ETPT Format DDG'!2:2,0)),'ETPT Format DDG'!$C:$C,$D$5,'ETPT Format DDG'!$FA:$FA,"Magistrat SIEGE")  -
SUMIFS( INDEX( 'ETPT Format DDG'!$A:$FF,,MATCH("11.2 ASSISES JIRS",'ETPT Format DDG'!2:2,0)),'ETPT Format DDG'!$C:$C,$D$5,'ETPT Format DDG'!$FA:$FA,"Magistrat SIEGE")  -
SUMIFS( INDEX( 'ETPT Format DDG'!$A:$FF,,MATCH("11.3. COUR CRIMINELLE DÉPARTEMENTALE",'ETPT Format DDG'!2:2,0)),'ETPT Format DDG'!$C:$C,$D$5,'ETPT Format DDG'!$FA:$FA,"Magistrat SIEGE")  -
SUMIFS( INDEX( 'ETPT Format DDG'!$A:$FF,,MATCH("8.4. CONTENTIEUX JIRS CRIM-ORG",'ETPT Format DDG'!2:2,0)),'ETPT Format DDG'!$C:$C,$D$5,'ETPT Format DDG'!$FA:$FA,"Magistrat SIEGE")  -
SUMIFS( INDEX( 'ETPT Format DDG'!$A:$FF,,MATCH("8.7. CONTENTIEUX JIRS ÉCO-FI",'ETPT Format DDG'!2:2,0)),'ETPT Format DDG'!$C:$C,$D$5,'ETPT Format DDG'!$FA:$FA,"Magistrat SIEGE")  -
SUMIFS( INDEX( 'ETPT Format DDG'!$A:$FF,,MATCH("9.3. CONTENTIEUX DE LA DÉTENTION JIRS",'ETPT Format DDG'!2:2,0)),'ETPT Format DDG'!$C:$C,$D$5,'ETPT Format DDG'!$FA:$FA,"Magistrat SIEGE")  -
SUMIFS( INDEX( 'ETPT Format DDG'!$A:$FF,,MATCH("9.5. CONTENTIEUX DU CONTRÔLE JUDICIAIRE JIRS",'ETPT Format DDG'!2:2,0)),'ETPT Format DDG'!$C:$C,$D$5,'ETPT Format DDG'!$FA:$FA,"Magistrat SIEGE")  -
SUMIFS( INDEX( 'ETPT Format DDG'!$A:$FF,,MATCH("9.7. CONTENTIEUX DE FOND JIRS",'ETPT Format DDG'!2:2,0)),'ETPT Format DDG'!$C:$C,$D$5,'ETPT Format DDG'!$FA:$FA,"Magistrat SIEGE")</f>
        <v>#N/A</v>
      </c>
      <c r="Y6" s="79" t="e">
        <f t="shared" ref="Y6:Y16" si="3">SUM(T6:X6)</f>
        <v>#N/A</v>
      </c>
      <c r="Z6" s="103"/>
      <c r="AA6" s="103"/>
      <c r="AB6" s="103"/>
      <c r="AC6" s="103"/>
      <c r="AD6" s="103"/>
      <c r="AE6" s="79">
        <f t="shared" ref="AE6:AE15" si="4">SUM(Z6:AD6)</f>
        <v>0</v>
      </c>
    </row>
    <row r="7" spans="1:62" x14ac:dyDescent="0.2">
      <c r="A7" s="42"/>
      <c r="B7" s="41"/>
      <c r="C7" s="41"/>
      <c r="D7" s="38" t="str">
        <f t="shared" si="0"/>
        <v>=ETPT_CA_JUR_DDG!D5</v>
      </c>
      <c r="E7" s="117" t="s">
        <v>61</v>
      </c>
      <c r="F7" s="117" t="s">
        <v>60</v>
      </c>
      <c r="G7" s="103"/>
      <c r="H7" s="79">
        <f>SUM(G7)</f>
        <v>0</v>
      </c>
      <c r="I7" s="103"/>
      <c r="J7" s="103"/>
      <c r="K7" s="103"/>
      <c r="L7" s="103"/>
      <c r="M7" s="103"/>
      <c r="N7" s="103"/>
      <c r="O7" s="79">
        <f t="shared" si="1"/>
        <v>0</v>
      </c>
      <c r="P7" s="103"/>
      <c r="Q7" s="103"/>
      <c r="R7" s="103"/>
      <c r="S7" s="79">
        <f t="shared" si="2"/>
        <v>0</v>
      </c>
      <c r="T7" s="103"/>
      <c r="U7" s="103"/>
      <c r="V7" s="103"/>
      <c r="W7" s="103"/>
      <c r="X7" s="103" t="e">
        <f>SUMIFS( INDEX( 'ETPT Format DDG'!$A:$FF,,MATCH("13.4 CSM",'ETPT Format DDG'!2:2,0)),'ETPT Format DDG'!$C:$C,$D$5,'ETPT Format DDG'!$FA:$FA,"Magistrat SIEGE")</f>
        <v>#N/A</v>
      </c>
      <c r="Y7" s="79" t="e">
        <f t="shared" si="3"/>
        <v>#N/A</v>
      </c>
      <c r="Z7" s="103"/>
      <c r="AA7" s="103"/>
      <c r="AB7" s="103"/>
      <c r="AC7" s="103"/>
      <c r="AD7" s="103"/>
      <c r="AE7" s="79">
        <f t="shared" si="4"/>
        <v>0</v>
      </c>
    </row>
    <row r="8" spans="1:62" x14ac:dyDescent="0.2">
      <c r="A8" s="42"/>
      <c r="B8" s="41"/>
      <c r="C8" s="41"/>
      <c r="D8" s="38" t="str">
        <f t="shared" si="0"/>
        <v>=ETPT_CA_JUR_DDG!D5</v>
      </c>
      <c r="E8" s="117" t="s">
        <v>59</v>
      </c>
      <c r="F8" s="117" t="s">
        <v>58</v>
      </c>
      <c r="G8" s="103" t="e">
        <f>SUMIFS( INDEX( 'ETPT Format DDG'!$A:$FF,,MATCH("13.8. ACCUEIL DU JUSTICIABLE",'ETPT Format DDG'!2:2,0)),'ETPT Format DDG'!$C:$C,$D$5,'ETPT Format DDG'!$FA:$FA,"Fonctionnaire CTECH")</f>
        <v>#N/A</v>
      </c>
      <c r="H8" s="79" t="e">
        <f>SUM(G8)</f>
        <v>#N/A</v>
      </c>
      <c r="I8" s="103"/>
      <c r="J8" s="103"/>
      <c r="K8" s="103"/>
      <c r="L8" s="103"/>
      <c r="M8" s="103"/>
      <c r="N8" s="103" t="e">
        <f>SUMIFS( INDEX( 'ETPT Format DDG'!$A:$FF,,MATCH("13.8. ACCUEIL DU JUSTICIABLE",'ETPT Format DDG'!2:2,0)),'ETPT Format DDG'!$C:$C,$D$5,'ETPT Format DDG'!$FA:$FA,"Fonctionnaire A-B-CBUR")</f>
        <v>#N/A</v>
      </c>
      <c r="O8" s="79" t="e">
        <f t="shared" si="1"/>
        <v>#N/A</v>
      </c>
      <c r="P8" s="103" t="e">
        <f>SUMIFS( INDEX( 'ETPT Format DDG'!$A:$FF,,MATCH("13.8. ACCUEIL DU JUSTICIABLE",'ETPT Format DDG'!2:2,0)),'ETPT Format DDG'!$C:$C,$D$5,'ETPT Format DDG'!$FA:$FA,"JURISTE AS chambres sociales")</f>
        <v>#N/A</v>
      </c>
      <c r="Q8" s="103" t="e">
        <f>SUMIFS( INDEX( 'ETPT Format DDG'!$A:$FF,,MATCH("13.8. ACCUEIL DU JUSTICIABLE",'ETPT Format DDG'!2:2,0)),'ETPT Format DDG'!$C:$C,$D$5,'ETPT Format DDG'!$FA:$FA,"JURISTE AS siège Autres")</f>
        <v>#N/A</v>
      </c>
      <c r="R8" s="103" t="e">
        <f>SUMIFS( INDEX( 'ETPT Format DDG'!$A:$FF,,MATCH("13.8. ACCUEIL DU JUSTICIABLE",'ETPT Format DDG'!2:2,0)),'ETPT Format DDG'!$C:$C,$D$5,'ETPT Format DDG'!$FA:$FA,"JURISTE AS parquet général")</f>
        <v>#N/A</v>
      </c>
      <c r="S8" s="79" t="e">
        <f t="shared" si="2"/>
        <v>#N/A</v>
      </c>
      <c r="T8" s="103"/>
      <c r="U8" s="103"/>
      <c r="V8" s="103"/>
      <c r="W8" s="103"/>
      <c r="X8" s="103" t="e">
        <f>SUMIFS( INDEX( 'ETPT Format DDG'!$A:$FF,,MATCH("13.8. ACCUEIL DU JUSTICIABLE",'ETPT Format DDG'!2:2,0)),'ETPT Format DDG'!$C:$C,$D$5,'ETPT Format DDG'!$FA:$FA,"Magistrat SIEGE")</f>
        <v>#N/A</v>
      </c>
      <c r="Y8" s="79" t="e">
        <f t="shared" si="3"/>
        <v>#N/A</v>
      </c>
      <c r="Z8" s="103"/>
      <c r="AA8" s="103"/>
      <c r="AB8" s="103"/>
      <c r="AC8" s="103"/>
      <c r="AD8" s="103"/>
      <c r="AE8" s="79">
        <f t="shared" si="4"/>
        <v>0</v>
      </c>
    </row>
    <row r="9" spans="1:62" x14ac:dyDescent="0.2">
      <c r="A9" s="42"/>
      <c r="B9" s="41"/>
      <c r="C9" s="41"/>
      <c r="D9" s="38" t="str">
        <f t="shared" si="0"/>
        <v>=ETPT_CA_JUR_DDG!D5</v>
      </c>
      <c r="E9" s="117" t="s">
        <v>57</v>
      </c>
      <c r="F9" s="117" t="s">
        <v>56</v>
      </c>
      <c r="G9" s="103">
        <f>SUMIFS( INDEX( 'ETPT Format DDG'!$A:$FF,,MATCH("Soutien (Hors accueil du justiciable)",'ETPT Format DDG'!2:2,0)),'ETPT Format DDG'!$C:$C,$D$5,'ETPT Format DDG'!$FA:$FA,"Fonctionnaire CTECH")</f>
        <v>0</v>
      </c>
      <c r="H9" s="79">
        <f>SUM(G9)</f>
        <v>0</v>
      </c>
      <c r="I9" s="103"/>
      <c r="J9" s="103"/>
      <c r="K9" s="103"/>
      <c r="L9" s="103"/>
      <c r="M9" s="103"/>
      <c r="N9" s="103">
        <f>SUMIFS( INDEX( 'ETPT Format DDG'!$A:$FF,,MATCH("Soutien (Hors accueil du justiciable)",'ETPT Format DDG'!2:2,0)),'ETPT Format DDG'!$C:$C,$D$5,'ETPT Format DDG'!$FA:$FA,"Fonctionnaire A-B-CBUR")</f>
        <v>0</v>
      </c>
      <c r="O9" s="79">
        <f t="shared" si="1"/>
        <v>0</v>
      </c>
      <c r="P9" s="103">
        <f>SUMIFS( INDEX( 'ETPT Format DDG'!$A:$FF,,MATCH("Soutien (Hors accueil du justiciable)",'ETPT Format DDG'!2:2,0)),'ETPT Format DDG'!$C:$C,$D$5,'ETPT Format DDG'!$FA:$FA,"JURISTE AS chambres sociales")</f>
        <v>0</v>
      </c>
      <c r="Q9" s="103">
        <f>SUMIFS( INDEX( 'ETPT Format DDG'!$A:$FF,,MATCH("Soutien (Hors accueil du justiciable)",'ETPT Format DDG'!2:2,0)),'ETPT Format DDG'!$C:$C,$D$5,'ETPT Format DDG'!$FA:$FA,"JURISTE AS siège Autres")</f>
        <v>0</v>
      </c>
      <c r="R9" s="103">
        <f>SUMIFS( INDEX( 'ETPT Format DDG'!$A:$FF,,MATCH("Soutien (Hors accueil du justiciable)",'ETPT Format DDG'!2:2,0)),'ETPT Format DDG'!$C:$C,$D$5,'ETPT Format DDG'!$FA:$FA,"JURISTE AS parquet général")</f>
        <v>0</v>
      </c>
      <c r="S9" s="79">
        <f t="shared" si="2"/>
        <v>0</v>
      </c>
      <c r="T9" s="103"/>
      <c r="U9" s="103"/>
      <c r="V9" s="103"/>
      <c r="W9" s="103"/>
      <c r="X9" s="103">
        <f>SUMIFS( INDEX( 'ETPT Format DDG'!$A:$FF,,MATCH("Soutien (Hors accueil du justiciable)",'ETPT Format DDG'!2:2,0)),'ETPT Format DDG'!$C:$C,$D$5,'ETPT Format DDG'!$FA:$FA,"Magistrat SIEGE")</f>
        <v>0</v>
      </c>
      <c r="Y9" s="79">
        <f t="shared" si="3"/>
        <v>0</v>
      </c>
      <c r="Z9" s="103"/>
      <c r="AA9" s="103"/>
      <c r="AB9" s="103"/>
      <c r="AC9" s="103"/>
      <c r="AD9" s="103"/>
      <c r="AE9" s="79">
        <f t="shared" si="4"/>
        <v>0</v>
      </c>
    </row>
    <row r="10" spans="1:62" x14ac:dyDescent="0.2">
      <c r="A10" s="42"/>
      <c r="B10" s="41"/>
      <c r="C10" s="41"/>
      <c r="D10" s="38" t="str">
        <f t="shared" si="0"/>
        <v>=ETPT_CA_JUR_DDG!D5</v>
      </c>
      <c r="E10" s="117" t="s">
        <v>55</v>
      </c>
      <c r="F10" s="117" t="s">
        <v>54</v>
      </c>
      <c r="G10" s="103" t="e">
        <f>SUMIFS( INDEX( 'ETPT Format DDG'!$A:$FF,,MATCH("13.3. FORMATIONS DISPENSÉES",'ETPT Format DDG'!2:2,0)),'ETPT Format DDG'!$C:$C,$D$5,'ETPT Format DDG'!$FA:$FA,"Fonctionnaire CTECH")</f>
        <v>#N/A</v>
      </c>
      <c r="H10" s="79" t="e">
        <f t="shared" ref="H10:H15" si="5">SUM(G10)</f>
        <v>#N/A</v>
      </c>
      <c r="I10" s="103"/>
      <c r="J10" s="103"/>
      <c r="K10" s="103"/>
      <c r="L10" s="103"/>
      <c r="M10" s="103"/>
      <c r="N10" s="103" t="e">
        <f>SUMIFS( INDEX( 'ETPT Format DDG'!$A:$FF,,MATCH("13.3. FORMATIONS DISPENSÉES",'ETPT Format DDG'!2:2,0)),'ETPT Format DDG'!$C:$C,$D$5,'ETPT Format DDG'!$FA:$FA,"Fonctionnaire A-B-CBUR")</f>
        <v>#N/A</v>
      </c>
      <c r="O10" s="79" t="e">
        <f t="shared" si="1"/>
        <v>#N/A</v>
      </c>
      <c r="P10" s="103" t="e">
        <f>SUMIFS( INDEX( 'ETPT Format DDG'!$A:$FF,,MATCH("13.3. FORMATIONS DISPENSÉES",'ETPT Format DDG'!2:2,0)),'ETPT Format DDG'!$C:$C,$D$5,'ETPT Format DDG'!$FA:$FA,"JURISTE AS chambres sociales")</f>
        <v>#N/A</v>
      </c>
      <c r="Q10" s="103" t="e">
        <f>SUMIFS( INDEX( 'ETPT Format DDG'!$A:$FF,,MATCH("13.3. FORMATIONS DISPENSÉES",'ETPT Format DDG'!2:2,0)),'ETPT Format DDG'!$C:$C,$D$5,'ETPT Format DDG'!$FA:$FA,"JURISTE AS siège Autres")</f>
        <v>#N/A</v>
      </c>
      <c r="R10" s="103" t="e">
        <f>SUMIFS( INDEX( 'ETPT Format DDG'!$A:$FF,,MATCH("13.3. FORMATIONS DISPENSÉES",'ETPT Format DDG'!2:2,0)),'ETPT Format DDG'!$C:$C,$D$5,'ETPT Format DDG'!$FA:$FA,"JURISTE AS parquet général")</f>
        <v>#N/A</v>
      </c>
      <c r="S10" s="79" t="e">
        <f t="shared" si="2"/>
        <v>#N/A</v>
      </c>
      <c r="T10" s="103"/>
      <c r="U10" s="103"/>
      <c r="V10" s="103"/>
      <c r="W10" s="103"/>
      <c r="X10" s="103" t="e">
        <f>SUMIFS( INDEX( 'ETPT Format DDG'!$A:$FF,,MATCH("13.3. FORMATIONS DISPENSÉES",'ETPT Format DDG'!2:2,0)),'ETPT Format DDG'!$C:$C,$D$5,'ETPT Format DDG'!$FA:$FA,"Magistrat SIEGE")</f>
        <v>#N/A</v>
      </c>
      <c r="Y10" s="79" t="e">
        <f t="shared" si="3"/>
        <v>#N/A</v>
      </c>
      <c r="Z10" s="103"/>
      <c r="AA10" s="103"/>
      <c r="AB10" s="103"/>
      <c r="AC10" s="103"/>
      <c r="AD10" s="103"/>
      <c r="AE10" s="79">
        <f t="shared" si="4"/>
        <v>0</v>
      </c>
    </row>
    <row r="11" spans="1:62" x14ac:dyDescent="0.2">
      <c r="A11" s="42"/>
      <c r="B11" s="41"/>
      <c r="C11" s="41"/>
      <c r="D11" s="38" t="str">
        <f t="shared" si="0"/>
        <v>=ETPT_CA_JUR_DDG!D5</v>
      </c>
      <c r="E11" s="117" t="s">
        <v>53</v>
      </c>
      <c r="F11" s="117" t="s">
        <v>52</v>
      </c>
      <c r="G11" s="103" t="e">
        <f>SUMIFS( INDEX( 'ETPT Format DDG'!$A:$FF,,MATCH("13.7. ACCÈS AU DROIT ET À LA JUSTICE",'ETPT Format DDG'!2:2,0)),'ETPT Format DDG'!$C:$C,$D$5,'ETPT Format DDG'!$FA:$FA,"Fonctionnaire CTECH")</f>
        <v>#N/A</v>
      </c>
      <c r="H11" s="79" t="e">
        <f t="shared" si="5"/>
        <v>#N/A</v>
      </c>
      <c r="I11" s="103"/>
      <c r="J11" s="103"/>
      <c r="K11" s="103"/>
      <c r="L11" s="103"/>
      <c r="M11" s="103"/>
      <c r="N11" s="103" t="e">
        <f>SUMIFS( INDEX( 'ETPT Format DDG'!$A:$FF,,MATCH("13.7. ACCÈS AU DROIT ET À LA JUSTICE",'ETPT Format DDG'!2:2,0)),'ETPT Format DDG'!$C:$C,$D$5,'ETPT Format DDG'!$FA:$FA,"Fonctionnaire A-B-CBUR")</f>
        <v>#N/A</v>
      </c>
      <c r="O11" s="79" t="e">
        <f t="shared" si="1"/>
        <v>#N/A</v>
      </c>
      <c r="P11" s="103" t="e">
        <f>SUMIFS( INDEX( 'ETPT Format DDG'!$A:$FF,,MATCH("13.7. ACCÈS AU DROIT ET À LA JUSTICE",'ETPT Format DDG'!2:2,0)),'ETPT Format DDG'!$C:$C,$D$5,'ETPT Format DDG'!$FA:$FA,"JURISTE AS chambres sociales")</f>
        <v>#N/A</v>
      </c>
      <c r="Q11" s="103" t="e">
        <f>SUMIFS( INDEX( 'ETPT Format DDG'!$A:$FF,,MATCH("13.7. ACCÈS AU DROIT ET À LA JUSTICE",'ETPT Format DDG'!2:2,0)),'ETPT Format DDG'!$C:$C,$D$5,'ETPT Format DDG'!$FA:$FA,"JURISTE AS siège Autres")</f>
        <v>#N/A</v>
      </c>
      <c r="R11" s="103" t="e">
        <f>SUMIFS( INDEX( 'ETPT Format DDG'!$A:$FF,,MATCH("13.7. ACCÈS AU DROIT ET À LA JUSTICE",'ETPT Format DDG'!2:2,0)),'ETPT Format DDG'!$C:$C,$D$5,'ETPT Format DDG'!$FA:$FA,"JURISTE AS parquet général")</f>
        <v>#N/A</v>
      </c>
      <c r="S11" s="79" t="e">
        <f t="shared" si="2"/>
        <v>#N/A</v>
      </c>
      <c r="T11" s="103"/>
      <c r="U11" s="103"/>
      <c r="V11" s="103"/>
      <c r="W11" s="103"/>
      <c r="X11" s="103" t="e">
        <f>SUMIFS( INDEX( 'ETPT Format DDG'!$A:$FF,,MATCH("13.7. ACCÈS AU DROIT ET À LA JUSTICE",'ETPT Format DDG'!2:2,0)),'ETPT Format DDG'!$C:$C,$D$5,'ETPT Format DDG'!$FA:$FA,"Magistrat SIEGE")</f>
        <v>#N/A</v>
      </c>
      <c r="Y11" s="79" t="e">
        <f t="shared" si="3"/>
        <v>#N/A</v>
      </c>
      <c r="Z11" s="103"/>
      <c r="AA11" s="103"/>
      <c r="AB11" s="103"/>
      <c r="AC11" s="103"/>
      <c r="AD11" s="103"/>
      <c r="AE11" s="79">
        <f t="shared" si="4"/>
        <v>0</v>
      </c>
    </row>
    <row r="12" spans="1:62" x14ac:dyDescent="0.2">
      <c r="A12" s="42"/>
      <c r="B12" s="41"/>
      <c r="C12" s="41"/>
      <c r="D12" s="38" t="str">
        <f t="shared" si="0"/>
        <v>=ETPT_CA_JUR_DDG!D5</v>
      </c>
      <c r="E12" s="117" t="s">
        <v>51</v>
      </c>
      <c r="F12" s="117" t="s">
        <v>50</v>
      </c>
      <c r="G12" s="103" t="e">
        <f>SUMIFS( INDEX( 'ETPT Format DDG'!$A:$FF,,MATCH("14. TOTAL INDISPONIBILITÉ",'ETPT Format DDG'!2:2,0)),'ETPT Format DDG'!$C:$C,$D$5,'ETPT Format DDG'!$FA:$FA,"Fonctionnaire CTECH") -
SUMIFS( INDEX( 'ETPT Format DDG'!$A:$FF,,MATCH("14.9. MISE À DISPOSITION",'ETPT Format DDG'!2:2,0)),'ETPT Format DDG'!$C:$C,$D$5,'ETPT Format DDG'!$FA:$FA,"Fonctionnaire CTECH")</f>
        <v>#N/A</v>
      </c>
      <c r="H12" s="79" t="e">
        <f t="shared" si="5"/>
        <v>#N/A</v>
      </c>
      <c r="I12" s="103"/>
      <c r="J12" s="103"/>
      <c r="K12" s="103"/>
      <c r="L12" s="103"/>
      <c r="M12" s="103"/>
      <c r="N12" s="103" t="e">
        <f>SUMIFS( INDEX( 'ETPT Format DDG'!$A:$FF,,MATCH("14. TOTAL INDISPONIBILITÉ",'ETPT Format DDG'!2:2,0)),'ETPT Format DDG'!$C:$C,$D$5,'ETPT Format DDG'!$FA:$FA,"Fonctionnaire A-B-CBUR") -
SUMIFS( INDEX( 'ETPT Format DDG'!$A:$FF,,MATCH("14.9. MISE À DISPOSITION",'ETPT Format DDG'!2:2,0)),'ETPT Format DDG'!$C:$C,$D$5,'ETPT Format DDG'!$FA:$FA,"Fonctionnaire A-B-CBUR")</f>
        <v>#N/A</v>
      </c>
      <c r="O12" s="79" t="e">
        <f t="shared" si="1"/>
        <v>#N/A</v>
      </c>
      <c r="P12" s="103" t="e">
        <f>SUMIFS( INDEX( 'ETPT Format DDG'!$A:$FF,,MATCH("14. TOTAL INDISPONIBILITÉ",'ETPT Format DDG'!2:2,0)),'ETPT Format DDG'!$C:$C,$D$5,'ETPT Format DDG'!$FA:$FA,"JURISTE AS chambres sociales") -
SUMIFS( INDEX( 'ETPT Format DDG'!$A:$FF,,MATCH("14.9. MISE À DISPOSITION",'ETPT Format DDG'!2:2,0)),'ETPT Format DDG'!$C:$C,$D$5,'ETPT Format DDG'!$FA:$FA,"JURISTE AS chambres sociales")</f>
        <v>#N/A</v>
      </c>
      <c r="Q12" s="103" t="e">
        <f>SUMIFS( INDEX( 'ETPT Format DDG'!$A:$FF,,MATCH("14. TOTAL INDISPONIBILITÉ",'ETPT Format DDG'!2:2,0)),'ETPT Format DDG'!$C:$C,$D$5,'ETPT Format DDG'!$FA:$FA,"JURISTE AS siège Autres") -
SUMIFS( INDEX( 'ETPT Format DDG'!$A:$FF,,MATCH("14.9. MISE À DISPOSITION",'ETPT Format DDG'!2:2,0)),'ETPT Format DDG'!$C:$C,$D$5,'ETPT Format DDG'!$FA:$FA,"JURISTE AS siège Autres")</f>
        <v>#N/A</v>
      </c>
      <c r="R12" s="103" t="e">
        <f>SUMIFS( INDEX( 'ETPT Format DDG'!$A:$FF,,MATCH("14. TOTAL INDISPONIBILITÉ",'ETPT Format DDG'!2:2,0)),'ETPT Format DDG'!$C:$C,$D$5,'ETPT Format DDG'!$FA:$FA,"JURISTE AS parquet général") -
SUMIFS( INDEX( 'ETPT Format DDG'!$A:$FF,,MATCH("14.9. MISE À DISPOSITION",'ETPT Format DDG'!2:2,0)),'ETPT Format DDG'!$C:$C,$D$5,'ETPT Format DDG'!$FA:$FA,"JURISTE AS parquet général")</f>
        <v>#N/A</v>
      </c>
      <c r="S12" s="79" t="e">
        <f t="shared" si="2"/>
        <v>#N/A</v>
      </c>
      <c r="T12" s="103"/>
      <c r="U12" s="103"/>
      <c r="V12" s="103"/>
      <c r="W12" s="103"/>
      <c r="X12" s="103" t="e">
        <f>SUMIFS( INDEX( 'ETPT Format DDG'!$A:$FF,,MATCH("14. TOTAL INDISPONIBILITÉ",'ETPT Format DDG'!2:2,0)),'ETPT Format DDG'!$C:$C,$D$5,'ETPT Format DDG'!$FA:$FA,"Magistrat SIEGE") -
SUMIFS( INDEX( 'ETPT Format DDG'!$A:$FF,,MATCH("14.9. MISE À DISPOSITION",'ETPT Format DDG'!2:2,0)),'ETPT Format DDG'!$C:$C,$D$5,'ETPT Format DDG'!$FA:$FA,"Magistrat SIEGE")</f>
        <v>#N/A</v>
      </c>
      <c r="Y12" s="79" t="e">
        <f t="shared" si="3"/>
        <v>#N/A</v>
      </c>
      <c r="Z12" s="103"/>
      <c r="AA12" s="103"/>
      <c r="AB12" s="103"/>
      <c r="AC12" s="103"/>
      <c r="AD12" s="103"/>
      <c r="AE12" s="79">
        <f t="shared" si="4"/>
        <v>0</v>
      </c>
    </row>
    <row r="13" spans="1:62" x14ac:dyDescent="0.2">
      <c r="A13" s="42"/>
      <c r="B13" s="41"/>
      <c r="C13" s="41"/>
      <c r="D13" s="38" t="str">
        <f>IF(ISBLANK($D$5),"",$D$5)</f>
        <v>=ETPT_CA_JUR_DDG!D5</v>
      </c>
      <c r="E13" s="117" t="s">
        <v>49</v>
      </c>
      <c r="F13" s="117" t="s">
        <v>48</v>
      </c>
      <c r="G13" s="103" t="e">
        <f>SUMIFS( INDEX( 'ETPT Format DDG'!$A:$FF,,MATCH("14.9. MISE À DISPOSITION",'ETPT Format DDG'!2:2,0)),'ETPT Format DDG'!$C:$C,$D$5,'ETPT Format DDG'!$FA:$FA,"Fonctionnaire CTECH")</f>
        <v>#N/A</v>
      </c>
      <c r="H13" s="79" t="e">
        <f t="shared" si="5"/>
        <v>#N/A</v>
      </c>
      <c r="I13" s="103"/>
      <c r="J13" s="103"/>
      <c r="K13" s="103"/>
      <c r="L13" s="103"/>
      <c r="M13" s="103"/>
      <c r="N13" s="103" t="e">
        <f>SUMIFS( INDEX( 'ETPT Format DDG'!$A:$FF,,MATCH("14.9. MISE À DISPOSITION",'ETPT Format DDG'!2:2,0)),'ETPT Format DDG'!$C:$C,$D$5,'ETPT Format DDG'!$FA:$FA,"Fonctionnaire A-B-CBUR")</f>
        <v>#N/A</v>
      </c>
      <c r="O13" s="79" t="e">
        <f t="shared" si="1"/>
        <v>#N/A</v>
      </c>
      <c r="P13" s="103" t="e">
        <f>SUMIFS( INDEX( 'ETPT Format DDG'!$A:$FF,,MATCH("14.9. MISE À DISPOSITION",'ETPT Format DDG'!2:2,0)),'ETPT Format DDG'!$C:$C,$D$5,'ETPT Format DDG'!$FA:$FA,"JURISTE AS chambres sociales")</f>
        <v>#N/A</v>
      </c>
      <c r="Q13" s="103" t="e">
        <f>SUMIFS( INDEX( 'ETPT Format DDG'!$A:$FF,,MATCH("14.9. MISE À DISPOSITION",'ETPT Format DDG'!2:2,0)),'ETPT Format DDG'!$C:$C,$D$5,'ETPT Format DDG'!$FA:$FA,"JURISTE AS siège Autres")</f>
        <v>#N/A</v>
      </c>
      <c r="R13" s="103" t="e">
        <f>SUMIFS( INDEX( 'ETPT Format DDG'!$A:$FF,,MATCH("14.9. MISE À DISPOSITION",'ETPT Format DDG'!2:2,0)),'ETPT Format DDG'!$C:$C,$D$5,'ETPT Format DDG'!$FA:$FA,"JURISTE AS parquet général")</f>
        <v>#N/A</v>
      </c>
      <c r="S13" s="79" t="e">
        <f t="shared" si="2"/>
        <v>#N/A</v>
      </c>
      <c r="T13" s="103"/>
      <c r="U13" s="103"/>
      <c r="V13" s="103"/>
      <c r="W13" s="103"/>
      <c r="X13" s="103" t="e">
        <f>SUMIFS( INDEX( 'ETPT Format DDG'!$A:$FF,,MATCH("14.9. MISE À DISPOSITION",'ETPT Format DDG'!2:2,0)),'ETPT Format DDG'!$C:$C,$D$5,'ETPT Format DDG'!$FA:$FA,"Magistrat SIEGE")</f>
        <v>#N/A</v>
      </c>
      <c r="Y13" s="79" t="e">
        <f t="shared" si="3"/>
        <v>#N/A</v>
      </c>
      <c r="Z13" s="103"/>
      <c r="AA13" s="103"/>
      <c r="AB13" s="103"/>
      <c r="AC13" s="103"/>
      <c r="AD13" s="103"/>
      <c r="AE13" s="79">
        <f t="shared" si="4"/>
        <v>0</v>
      </c>
    </row>
    <row r="14" spans="1:62" x14ac:dyDescent="0.2">
      <c r="A14" s="40"/>
      <c r="B14" s="39"/>
      <c r="C14" s="39"/>
      <c r="D14" s="38" t="str">
        <f>IF(ISBLANK($D$5),"",$D$5)</f>
        <v>=ETPT_CA_JUR_DDG!D5</v>
      </c>
      <c r="E14" s="117" t="s">
        <v>47</v>
      </c>
      <c r="F14" s="117" t="s">
        <v>46</v>
      </c>
      <c r="G14" s="103">
        <f>SUMIFS( INDEX( 'ETPT Format DDG'!$A:$FF,,MATCH("Temps ventilés sur la période (hors indisponibilité)",'ETPT Format DDG'!2:2,0)),'ETPT Format DDG'!$C:$C,$D$5,'ETPT Format DDG'!$FA:$FA,"Fonctionnaire CTECH placé ADD")</f>
        <v>0</v>
      </c>
      <c r="H14" s="79">
        <f t="shared" si="5"/>
        <v>0</v>
      </c>
      <c r="I14" s="103" t="e">
        <f>SUMIFS( INDEX( 'ETPT Format DDG'!$A:$FF,,MATCH("13.9. FONCTIONNAIRES / JA AFFECTÉS AUX ACTIVITÉS CIVILES ET COMMERCIALES DU PARQUET GÉNÉRAL",'ETPT Format DDG'!2:2,0)),'ETPT Format DDG'!$C:$C,$D$5,'ETPT Format DDG'!$FA:$FA,"Fonctionnaire A-B-CBUR placé ADD")</f>
        <v>#N/A</v>
      </c>
      <c r="J14" s="103" t="e">
        <f>SUMIFS( INDEX( 'ETPT Format DDG'!$A:$FF,,MATCH("11.1. ASSISES HORS JIRS",'ETPT Format DDG'!2:2,0)),'ETPT Format DDG'!$C:$C,$D$5,'ETPT Format DDG'!$FA:$FA,"Fonctionnaire A-B-CBUR placé ADD") +
SUMIFS( INDEX( 'ETPT Format DDG'!$A:$FF,,MATCH("11.2 ASSISES JIRS",'ETPT Format DDG'!2:2,0)),'ETPT Format DDG'!$C:$C,$D$5,'ETPT Format DDG'!$FA:$FA,"Fonctionnaire A-B-CBUR placé ADD")</f>
        <v>#N/A</v>
      </c>
      <c r="K14" s="103" t="e">
        <f>SUMIFS( INDEX( 'ETPT Format DDG'!$A:$FF,,MATCH("11.3. COUR CRIMINELLE DÉPARTEMENTALE",'ETPT Format DDG'!2:2,0)),'ETPT Format DDG'!$C:$C,$D$5,'ETPT Format DDG'!$FA:$FA,"Fonctionnaire A-B-CBUR placé ADD")</f>
        <v>#N/A</v>
      </c>
      <c r="L14" s="103" t="e">
        <f>SUMIFS( INDEX( 'ETPT Format DDG'!$A:$FF,,MATCH("8.4. CONTENTIEUX JIRS CRIM-ORG",'ETPT Format DDG'!2:2,0)),'ETPT Format DDG'!$C:$C,$D$5,'ETPT Format DDG'!$FA:$FA,"Fonctionnaire A-B-CBUR placé ADD") +
SUMIFS( INDEX( 'ETPT Format DDG'!$A:$FF,,MATCH("8.7. CONTENTIEUX JIRS ÉCO-FI",'ETPT Format DDG'!2:2,0)),'ETPT Format DDG'!$C:$C,$D$5,'ETPT Format DDG'!$FA:$FA,"Fonctionnaire A-B-CBUR placé ADD") +
SUMIFS( INDEX( 'ETPT Format DDG'!$A:$FF,,MATCH("9.3. CONTENTIEUX DE LA DÉTENTION JIRS",'ETPT Format DDG'!2:2,0)),'ETPT Format DDG'!$C:$C,$D$5,'ETPT Format DDG'!$FA:$FA,"Fonctionnaire A-B-CBUR placé ADD")+
SUMIFS( INDEX( 'ETPT Format DDG'!$A:$FF,,MATCH("9.5. CONTENTIEUX DU CONTRÔLE JUDICIAIRE JIRS",'ETPT Format DDG'!2:2,0)),'ETPT Format DDG'!$C:$C,$D$5,'ETPT Format DDG'!$FA:$FA,"Fonctionnaire A-B-CBUR placé ADD")+
SUMIFS( INDEX( 'ETPT Format DDG'!$A:$FF,,MATCH("9.7. CONTENTIEUX DE FOND JIRS",'ETPT Format DDG'!2:2,0)),'ETPT Format DDG'!$C:$C,$D$5,'ETPT Format DDG'!$FA:$FA,"Fonctionnaire A-B-CBUR placé ADD")</f>
        <v>#N/A</v>
      </c>
      <c r="M14" s="103" t="e">
        <f>SUMIFS( INDEX( 'ETPT Format DDG'!$A:$FF,,MATCH("1. TOTAL CONTENTIEUX SOCIAL",'ETPT Format DDG'!2:2,0)),'ETPT Format DDG'!$C:$C,$D$5,'ETPT Format DDG'!$FA:$FA,"Fonctionnaire A-B-CBUR placé ADD")</f>
        <v>#N/A</v>
      </c>
      <c r="N14" s="103" t="e">
        <f>SUMIFS( INDEX( 'ETPT Format DDG'!$A:$FF,,MATCH("Temps ventilés sur la période (hors indisponibilité)",'ETPT Format DDG'!2:2,0)),'ETPT Format DDG'!$C:$C,$D$5,'ETPT Format DDG'!$FA:$FA,"Fonctionnaire A-B-CBUR placé ADD") -
SUMIFS( INDEX( 'ETPT Format DDG'!$A:$FF,,MATCH("13.9. FONCTIONNAIRES / JA AFFECTÉS AUX ACTIVITÉS CIVILES ET COMMERCIALES DU PARQUET GÉNÉRAL",'ETPT Format DDG'!2:2,0)),'ETPT Format DDG'!$C:$C,$D$5,'ETPT Format DDG'!$FA:$FA,"Fonctionnaire A-B-CBUR placé ADD")  -
SUMIFS( INDEX( 'ETPT Format DDG'!$A:$FF,,MATCH("11.1. ASSISES HORS JIRS",'ETPT Format DDG'!2:2,0)),'ETPT Format DDG'!$C:$C,$D$5,'ETPT Format DDG'!$FA:$FA,"Fonctionnaire A-B-CBUR placé ADD")  -
SUMIFS( INDEX( 'ETPT Format DDG'!$A:$FF,,MATCH("11.2 ASSISES JIRS",'ETPT Format DDG'!2:2,0)),'ETPT Format DDG'!$C:$C,$D$5,'ETPT Format DDG'!$FA:$FA,"Fonctionnaire A-B-CBUR placé ADD")  -
SUMIFS( INDEX( 'ETPT Format DDG'!$A:$FF,,MATCH("11.3. COUR CRIMINELLE DÉPARTEMENTALE",'ETPT Format DDG'!2:2,0)),'ETPT Format DDG'!$C:$C,$D$5,'ETPT Format DDG'!$FA:$FA,"Fonctionnaire A-B-CBUR placé ADD")  -
SUMIFS( INDEX( 'ETPT Format DDG'!$A:$FF,,MATCH("8.4. CONTENTIEUX JIRS CRIM-ORG",'ETPT Format DDG'!2:2,0)),'ETPT Format DDG'!$C:$C,$D$5,'ETPT Format DDG'!$FA:$FA,"Fonctionnaire A-B-CBUR placé ADD")  -
SUMIFS( INDEX( 'ETPT Format DDG'!$A:$FF,,MATCH("8.7. CONTENTIEUX JIRS ÉCO-FI",'ETPT Format DDG'!2:2,0)),'ETPT Format DDG'!$C:$C,$D$5,'ETPT Format DDG'!$FA:$FA,"Fonctionnaire A-B-CBUR placé ADD")  -
SUMIFS( INDEX( 'ETPT Format DDG'!$A:$FF,,MATCH("9.3. CONTENTIEUX DE LA DÉTENTION JIRS",'ETPT Format DDG'!2:2,0)),'ETPT Format DDG'!$C:$C,$D$5,'ETPT Format DDG'!$FA:$FA,"Fonctionnaire A-B-CBUR placé ADD")  -
SUMIFS( INDEX( 'ETPT Format DDG'!$A:$FF,,MATCH("9.5. CONTENTIEUX DU CONTRÔLE JUDICIAIRE JIRS",'ETPT Format DDG'!2:2,0)),'ETPT Format DDG'!$C:$C,$D$5,'ETPT Format DDG'!$FA:$FA,"Fonctionnaire A-B-CBUR placé ADD")  -
SUMIFS( INDEX( 'ETPT Format DDG'!$A:$FF,,MATCH("9.7. CONTENTIEUX DE FOND JIRS",'ETPT Format DDG'!2:2,0)),'ETPT Format DDG'!$C:$C,$D$5,'ETPT Format DDG'!$FA:$FA,"Fonctionnaire A-B-CBUR placé ADD")  -
SUMIFS( INDEX( 'ETPT Format DDG'!$A:$FF,,MATCH("1. TOTAL CONTENTIEUX SOCIAL",'ETPT Format DDG'!2:2,0)),'ETPT Format DDG'!$C:$C,$D$5,'ETPT Format DDG'!$FA:$FA,"Fonctionnaire A-B-CBUR placé ADD")</f>
        <v>#N/A</v>
      </c>
      <c r="O14" s="79" t="e">
        <f t="shared" si="1"/>
        <v>#N/A</v>
      </c>
      <c r="P14" s="103">
        <f>SUMIFS( INDEX( 'ETPT Format DDG'!$A:$FF,,MATCH("Temps ventilés sur la période (hors indisponibilité)",'ETPT Format DDG'!2:2,0)),'ETPT Format DDG'!$C:$C,$D$5,'ETPT Format DDG'!$FA:$FA,"JURISTE AS chambres sociales placé ADD")</f>
        <v>0</v>
      </c>
      <c r="Q14" s="103">
        <f>SUMIFS( INDEX( 'ETPT Format DDG'!$A:$FF,,MATCH("Temps ventilés sur la période (hors indisponibilité)",'ETPT Format DDG'!2:2,0)),'ETPT Format DDG'!$C:$C,$D$5,'ETPT Format DDG'!$FA:$FA,"JURISTE AS siège Autres placé ADD")</f>
        <v>0</v>
      </c>
      <c r="R14" s="103">
        <f>SUMIFS( INDEX( 'ETPT Format DDG'!$A:$FF,,MATCH("Temps ventilés sur la période (hors indisponibilité)",'ETPT Format DDG'!2:2,0)),'ETPT Format DDG'!$C:$C,$D$5,'ETPT Format DDG'!$FA:$FA,"JURISTE AS parquet général placé ADD")</f>
        <v>0</v>
      </c>
      <c r="S14" s="79">
        <f t="shared" si="2"/>
        <v>0</v>
      </c>
      <c r="T14" s="103" t="e">
        <f>SUMIFS( INDEX( 'ETPT Format DDG'!$A:$FF,,MATCH("11.1. ASSISES HORS JIRS",'ETPT Format DDG'!2:2,0)),'ETPT Format DDG'!$C:$C,$D$5,'ETPT Format DDG'!$FA:$FA,"Magistrat SIEGE placé ADD") +
SUMIFS( INDEX( 'ETPT Format DDG'!$A:$FF,,MATCH("11.2 ASSISES JIRS",'ETPT Format DDG'!2:2,0)),'ETPT Format DDG'!$C:$C,$D$5,'ETPT Format DDG'!$FA:$FA,"Magistrat SIEGE placé ADD")</f>
        <v>#N/A</v>
      </c>
      <c r="U14" s="103" t="e">
        <f>SUMIFS( INDEX( 'ETPT Format DDG'!$A:$FF,,MATCH("11.3. COUR CRIMINELLE DÉPARTEMENTALE",'ETPT Format DDG'!2:2,0)),'ETPT Format DDG'!$C:$C,$D$5,'ETPT Format DDG'!$FA:$FA,"Magistrat SIEGE placé ADD")</f>
        <v>#N/A</v>
      </c>
      <c r="V14" s="103" t="e">
        <f>SUMIFS( INDEX( 'ETPT Format DDG'!$A:$FF,,MATCH("8.4. CONTENTIEUX JIRS CRIM-ORG",'ETPT Format DDG'!2:2,0)),'ETPT Format DDG'!$C:$C,$D$5,'ETPT Format DDG'!$FA:$FA,"Magistrat SIEGE placé ADD") +
SUMIFS( INDEX( 'ETPT Format DDG'!$A:$FF,,MATCH("8.7. CONTENTIEUX JIRS ÉCO-FI",'ETPT Format DDG'!2:2,0)),'ETPT Format DDG'!$C:$C,$D$5,'ETPT Format DDG'!$FA:$FA,"Magistrat SIEGE placé ADD") +
SUMIFS( INDEX( 'ETPT Format DDG'!$A:$FF,,MATCH("9.3. CONTENTIEUX DE LA DÉTENTION JIRS",'ETPT Format DDG'!2:2,0)),'ETPT Format DDG'!$C:$C,$D$5,'ETPT Format DDG'!$FA:$FA,"Magistrat SIEGE placé ADD")+
SUMIFS( INDEX( 'ETPT Format DDG'!$A:$FF,,MATCH("9.5. CONTENTIEUX DU CONTRÔLE JUDICIAIRE JIRS",'ETPT Format DDG'!2:2,0)),'ETPT Format DDG'!$C:$C,$D$5,'ETPT Format DDG'!$FA:$FA,"Magistrat SIEGE placé ADD")+
SUMIFS( INDEX( 'ETPT Format DDG'!$A:$FF,,MATCH("9.7. CONTENTIEUX DE FOND JIRS",'ETPT Format DDG'!2:2,0)),'ETPT Format DDG'!$C:$C,$D$5,'ETPT Format DDG'!$FA:$FA,"Magistrat SIEGE placé ADD")</f>
        <v>#N/A</v>
      </c>
      <c r="W14" s="103" t="e">
        <f>SUMIFS( INDEX( 'ETPT Format DDG'!$A:$FF,,MATCH("1. TOTAL CONTENTIEUX SOCIAL",'ETPT Format DDG'!2:2,0)),'ETPT Format DDG'!$C:$C,$D$5,'ETPT Format DDG'!$FA:$FA,"Magistrat SIEGE placé ADD")</f>
        <v>#N/A</v>
      </c>
      <c r="X14" s="103" t="e">
        <f>SUMIFS( INDEX( 'ETPT Format DDG'!$A:$FF,,MATCH("Temps ventilés sur la période (hors indisponibilité)",'ETPT Format DDG'!2:2,0)),'ETPT Format DDG'!$C:$C,$D$5,'ETPT Format DDG'!$FA:$FA,"Magistrat placé ADD") -
SUMIFS( INDEX( 'ETPT Format DDG'!$A:$FF,,MATCH("11.1. ASSISES HORS JIRS",'ETPT Format DDG'!2:2,0)),'ETPT Format DDG'!$C:$C,$D$5,'ETPT Format DDG'!$FA:$FA,"Magistrat placé ADD")  -
SUMIFS( INDEX( 'ETPT Format DDG'!$A:$FF,,MATCH("11.2 ASSISES JIRS",'ETPT Format DDG'!2:2,0)),'ETPT Format DDG'!$C:$C,$D$5,'ETPT Format DDG'!$FA:$FA,"Magistrat placé ADD")  -
SUMIFS( INDEX( 'ETPT Format DDG'!$A:$FF,,MATCH("11.3. COUR CRIMINELLE DÉPARTEMENTALE",'ETPT Format DDG'!2:2,0)),'ETPT Format DDG'!$C:$C,$D$5,'ETPT Format DDG'!$FA:$FA,"Magistrat placé ADD")  -
SUMIFS( INDEX( 'ETPT Format DDG'!$A:$FF,,MATCH("8.4. CONTENTIEUX JIRS CRIM-ORG",'ETPT Format DDG'!2:2,0)),'ETPT Format DDG'!$C:$C,$D$5,'ETPT Format DDG'!$FA:$FA,"Magistrat placé ADD")  -
SUMIFS( INDEX( 'ETPT Format DDG'!$A:$FF,,MATCH("8.7. CONTENTIEUX JIRS ÉCO-FI",'ETPT Format DDG'!2:2,0)),'ETPT Format DDG'!$C:$C,$D$5,'ETPT Format DDG'!$FA:$FA,"Magistrat placé ADD")  -
SUMIFS( INDEX( 'ETPT Format DDG'!$A:$FF,,MATCH("9.3. CONTENTIEUX DE LA DÉTENTION JIRS",'ETPT Format DDG'!2:2,0)),'ETPT Format DDG'!$C:$C,$D$5,'ETPT Format DDG'!$FA:$FA,"Magistrat placé ADD")  -
SUMIFS( INDEX( 'ETPT Format DDG'!$A:$FF,,MATCH("9.5. CONTENTIEUX DU CONTRÔLE JUDICIAIRE JIRS",'ETPT Format DDG'!2:2,0)),'ETPT Format DDG'!$C:$C,$D$5,'ETPT Format DDG'!$FA:$FA,"Magistrat placé ADD")  -
SUMIFS( INDEX( 'ETPT Format DDG'!$A:$FF,,MATCH("9.7. CONTENTIEUX DE FOND JIRS",'ETPT Format DDG'!2:2,0)),'ETPT Format DDG'!$C:$C,$D$5,'ETPT Format DDG'!$FA:$FA,"Magistrat placé ADD")  -
SUMIFS( INDEX( 'ETPT Format DDG'!$A:$FF,,MATCH("1. TOTAL CONTENTIEUX SOCIAL",'ETPT Format DDG'!2:2,0)),'ETPT Format DDG'!$C:$C,$D$5,'ETPT Format DDG'!$FA:$FA,"Magistrat placé ADD")</f>
        <v>#N/A</v>
      </c>
      <c r="Y14" s="79" t="e">
        <f t="shared" si="3"/>
        <v>#N/A</v>
      </c>
      <c r="Z14" s="103"/>
      <c r="AA14" s="103"/>
      <c r="AB14" s="103"/>
      <c r="AC14" s="103"/>
      <c r="AD14" s="103"/>
      <c r="AE14" s="79">
        <f t="shared" si="4"/>
        <v>0</v>
      </c>
    </row>
    <row r="15" spans="1:62" x14ac:dyDescent="0.2">
      <c r="D15" s="38" t="str">
        <f t="shared" si="0"/>
        <v>=ETPT_CA_JUR_DDG!D5</v>
      </c>
      <c r="E15" s="117" t="s">
        <v>225</v>
      </c>
      <c r="F15" s="117" t="s">
        <v>226</v>
      </c>
      <c r="G15" s="103"/>
      <c r="H15" s="79">
        <f t="shared" si="5"/>
        <v>0</v>
      </c>
      <c r="I15" s="103"/>
      <c r="J15" s="103"/>
      <c r="K15" s="103"/>
      <c r="L15" s="103"/>
      <c r="M15" s="103"/>
      <c r="N15" s="103"/>
      <c r="O15" s="79">
        <f t="shared" si="1"/>
        <v>0</v>
      </c>
      <c r="P15" s="103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  <c r="Q15" s="103" t="e">
        <f>SUMIFS( INDEX( 'ETPT Format DDG'!$A:$FF,,MATCH("14. TOTAL INDISPONIBILITÉ",'ETPT Format DDG'!2:2,0)),'ETPT Format DDG'!$C:$C,$D$5,'ETPT Format DDG'!$FA:$FA,"JURISTE AS siège Autres placé ADD") +
SUMIFS( INDEX( 'ETPT Format DDG'!$A:$FF,,MATCH("14. TOTAL INDISPONIBILITÉ",'ETPT Format DDG'!2:2,0)),'ETPT Format DDG'!$C:$C,$D$5,'ETPT Format DDG'!$FA:$FA,"JURISTE AS siège Autres placé SUB")</f>
        <v>#N/A</v>
      </c>
      <c r="R15" s="103" t="e">
        <f>SUMIFS( INDEX( 'ETPT Format DDG'!$A:$FF,,MATCH("14. TOTAL INDISPONIBILITÉ",'ETPT Format DDG'!2:2,0)),'ETPT Format DDG'!$C:$C,$D$5,'ETPT Format DDG'!$FA:$FA,"JURISTE AS parquet général placé ADD") +
SUMIFS( INDEX( 'ETPT Format DDG'!$A:$FF,,MATCH("14. TOTAL INDISPONIBILITÉ",'ETPT Format DDG'!2:2,0)),'ETPT Format DDG'!$C:$C,$D$5,'ETPT Format DDG'!$FA:$FA,"JURISTE AS parquet général placé SUB")</f>
        <v>#N/A</v>
      </c>
      <c r="S15" s="79" t="e">
        <f t="shared" si="2"/>
        <v>#N/A</v>
      </c>
      <c r="T15" s="103"/>
      <c r="U15" s="103"/>
      <c r="V15" s="103"/>
      <c r="W15" s="103"/>
      <c r="X15" s="103" t="e">
        <f>SUMIFS( INDEX( 'ETPT Format DDG'!$A:$FF,,MATCH("14. TOTAL INDISPONIBILITÉ",'ETPT Format DDG'!2:2,0)),'ETPT Format DDG'!$C:$C,$D$5,'ETPT Format DDG'!$FA:$FA,"Magistrat placé ADD") +
SUMIFS( INDEX( 'ETPT Format DDG'!$A:$FF,,MATCH("14. TOTAL INDISPONIBILITÉ",'ETPT Format DDG'!2:2,0)),'ETPT Format DDG'!$C:$C,$D$5,'ETPT Format DDG'!$FA:$FA,"Magistrat placé SUB")</f>
        <v>#N/A</v>
      </c>
      <c r="Y15" s="79" t="e">
        <f t="shared" si="3"/>
        <v>#N/A</v>
      </c>
      <c r="Z15" s="103"/>
      <c r="AA15" s="103"/>
      <c r="AB15" s="103"/>
      <c r="AC15" s="103"/>
      <c r="AD15" s="103"/>
      <c r="AE15" s="79">
        <f t="shared" si="4"/>
        <v>0</v>
      </c>
    </row>
    <row r="16" spans="1:62" x14ac:dyDescent="0.2">
      <c r="D16" s="39"/>
      <c r="E16" s="117" t="s">
        <v>45</v>
      </c>
      <c r="F16" s="117" t="s">
        <v>44</v>
      </c>
      <c r="G16" s="103">
        <f>SUMIFS( INDEX( 'ETPT Format DDG'!$A:$FF,,MATCH("Temps ventilés sur la période (hors indisponibilité)",'ETPT Format DDG'!2:2,0)),'ETPT Format DDG'!$C:$C,$D$5,'ETPT Format DDG'!$FA:$FA,"Fonctionnaire CTECH placé SUB")</f>
        <v>0</v>
      </c>
      <c r="H16" s="79">
        <f>SUM(G16)</f>
        <v>0</v>
      </c>
      <c r="I16" s="103" t="e">
        <f>SUMIFS( INDEX( 'ETPT Format DDG'!$A:$FF,,MATCH("13.9. FONCTIONNAIRES / JA AFFECTÉS AUX ACTIVITÉS CIVILES ET COMMERCIALES DU PARQUET GÉNÉRAL",'ETPT Format DDG'!2:2,0)),'ETPT Format DDG'!$C:$C,$D$5,'ETPT Format DDG'!$FA:$FA,"Fonctionnaire A-B-CBUR placé SUB")</f>
        <v>#N/A</v>
      </c>
      <c r="J16" s="103" t="e">
        <f>SUMIFS( INDEX( 'ETPT Format DDG'!$A:$FF,,MATCH("11.1. ASSISES HORS JIRS",'ETPT Format DDG'!2:2,0)),'ETPT Format DDG'!$C:$C,$D$5,'ETPT Format DDG'!$FA:$FA,"Fonctionnaire A-B-CBUR placé SUB") +
SUMIFS( INDEX( 'ETPT Format DDG'!$A:$FF,,MATCH("11.2 ASSISES JIRS",'ETPT Format DDG'!2:2,0)),'ETPT Format DDG'!$C:$C,$D$5,'ETPT Format DDG'!$FA:$FA,"Fonctionnaire A-B-CBUR placé SUB")</f>
        <v>#N/A</v>
      </c>
      <c r="K16" s="103" t="e">
        <f>SUMIFS( INDEX( 'ETPT Format DDG'!$A:$FF,,MATCH("11.3. COUR CRIMINELLE DÉPARTEMENTALE",'ETPT Format DDG'!2:2,0)),'ETPT Format DDG'!$C:$C,$D$5,'ETPT Format DDG'!$FA:$FA,"Fonctionnaire A-B-CBUR placé SUB")</f>
        <v>#N/A</v>
      </c>
      <c r="L16" s="103" t="e">
        <f>SUMIFS( INDEX( 'ETPT Format DDG'!$A:$FF,,MATCH("8.4. CONTENTIEUX JIRS CRIM-ORG",'ETPT Format DDG'!2:2,0)),'ETPT Format DDG'!$C:$C,$D$5,'ETPT Format DDG'!$FA:$FA,"Fonctionnaire A-B-CBUR placé SUB") +
SUMIFS( INDEX( 'ETPT Format DDG'!$A:$FF,,MATCH("8.7. CONTENTIEUX JIRS ÉCO-FI",'ETPT Format DDG'!2:2,0)),'ETPT Format DDG'!$C:$C,$D$5,'ETPT Format DDG'!$FA:$FA,"Fonctionnaire A-B-CBUR placé SUB") +
SUMIFS( INDEX( 'ETPT Format DDG'!$A:$FF,,MATCH("9.3. CONTENTIEUX DE LA DÉTENTION JIRS",'ETPT Format DDG'!2:2,0)),'ETPT Format DDG'!$C:$C,$D$5,'ETPT Format DDG'!$FA:$FA,"Fonctionnaire A-B-CBUR placé SUB")+
SUMIFS( INDEX( 'ETPT Format DDG'!$A:$FF,,MATCH("9.5. CONTENTIEUX DU CONTRÔLE JUDICIAIRE JIRS",'ETPT Format DDG'!2:2,0)),'ETPT Format DDG'!$C:$C,$D$5,'ETPT Format DDG'!$FA:$FA,"Fonctionnaire A-B-CBUR placé SUB")+
SUMIFS( INDEX( 'ETPT Format DDG'!$A:$FF,,MATCH("9.7. CONTENTIEUX DE FOND JIRS",'ETPT Format DDG'!2:2,0)),'ETPT Format DDG'!$C:$C,$D$5,'ETPT Format DDG'!$FA:$FA,"Fonctionnaire A-B-CBUR placé SUB")</f>
        <v>#N/A</v>
      </c>
      <c r="M16" s="103" t="e">
        <f>SUMIFS( INDEX( 'ETPT Format DDG'!$A:$FF,,MATCH("1. TOTAL CONTENTIEUX SOCIAL",'ETPT Format DDG'!2:2,0)),'ETPT Format DDG'!$C:$C,$D$5,'ETPT Format DDG'!$FA:$FA,"Fonctionnaire A-B-CBUR placé SUB")</f>
        <v>#N/A</v>
      </c>
      <c r="N16" s="103" t="e">
        <f>SUMIFS( INDEX( 'ETPT Format DDG'!$A:$FF,,MATCH("Temps ventilés sur la période (hors indisponibilité)",'ETPT Format DDG'!2:2,0)),'ETPT Format DDG'!$C:$C,$D$5,'ETPT Format DDG'!$FA:$FA,"Fonctionnaire A-B-CBUR placé SUB") -
SUMIFS( INDEX( 'ETPT Format DDG'!$A:$FF,,MATCH("13.9. FONCTIONNAIRES / JA AFFECTÉS AUX ACTIVITÉS CIVILES ET COMMERCIALES DU PARQUET GÉNÉRAL",'ETPT Format DDG'!2:2,0)),'ETPT Format DDG'!$C:$C,$D$5,'ETPT Format DDG'!$FA:$FA,"Fonctionnaire A-B-CBUR placé SUB")  -
SUMIFS( INDEX( 'ETPT Format DDG'!$A:$FF,,MATCH("11.1. ASSISES HORS JIRS",'ETPT Format DDG'!2:2,0)),'ETPT Format DDG'!$C:$C,$D$5,'ETPT Format DDG'!$FA:$FA,"Fonctionnaire A-B-CBUR placé SUB")  -
SUMIFS( INDEX( 'ETPT Format DDG'!$A:$FF,,MATCH("11.2 ASSISES JIRS",'ETPT Format DDG'!2:2,0)),'ETPT Format DDG'!$C:$C,$D$5,'ETPT Format DDG'!$FA:$FA,"Fonctionnaire A-B-CBUR placé SUB")  -
SUMIFS( INDEX( 'ETPT Format DDG'!$A:$FF,,MATCH("11.3. COUR CRIMINELLE DÉPARTEMENTALE",'ETPT Format DDG'!2:2,0)),'ETPT Format DDG'!$C:$C,$D$5,'ETPT Format DDG'!$FA:$FA,"Fonctionnaire A-B-CBUR placé SUB")  -
SUMIFS( INDEX( 'ETPT Format DDG'!$A:$FF,,MATCH("8.4. CONTENTIEUX JIRS CRIM-ORG",'ETPT Format DDG'!2:2,0)),'ETPT Format DDG'!$C:$C,$D$5,'ETPT Format DDG'!$FA:$FA,"Fonctionnaire A-B-CBUR placé SUB")  -
SUMIFS( INDEX( 'ETPT Format DDG'!$A:$FF,,MATCH("8.7. CONTENTIEUX JIRS ÉCO-FI",'ETPT Format DDG'!2:2,0)),'ETPT Format DDG'!$C:$C,$D$5,'ETPT Format DDG'!$FA:$FA,"Fonctionnaire A-B-CBUR placé SUB")  -
SUMIFS( INDEX( 'ETPT Format DDG'!$A:$FF,,MATCH("9.3. CONTENTIEUX DE LA DÉTENTION JIRS",'ETPT Format DDG'!2:2,0)),'ETPT Format DDG'!$C:$C,$D$5,'ETPT Format DDG'!$FA:$FA,"Fonctionnaire A-B-CBUR placé SUB")  -
SUMIFS( INDEX( 'ETPT Format DDG'!$A:$FF,,MATCH("9.5. CONTENTIEUX DU CONTRÔLE JUDICIAIRE JIRS",'ETPT Format DDG'!2:2,0)),'ETPT Format DDG'!$C:$C,$D$5,'ETPT Format DDG'!$FA:$FA,"Fonctionnaire A-B-CBUR placé SUB")  -
SUMIFS( INDEX( 'ETPT Format DDG'!$A:$FF,,MATCH("9.7. CONTENTIEUX DE FOND JIRS",'ETPT Format DDG'!2:2,0)),'ETPT Format DDG'!$C:$C,$D$5,'ETPT Format DDG'!$FA:$FA,"Fonctionnaire A-B-CBUR placé SUB")  -
SUMIFS( INDEX( 'ETPT Format DDG'!$A:$FF,,MATCH("1. TOTAL CONTENTIEUX SOCIAL",'ETPT Format DDG'!2:2,0)),'ETPT Format DDG'!$C:$C,$D$5,'ETPT Format DDG'!$FA:$FA,"Fonctionnaire A-B-CBUR placé SUB")</f>
        <v>#N/A</v>
      </c>
      <c r="O16" s="79" t="e">
        <f>SUM(I16:N16)</f>
        <v>#N/A</v>
      </c>
      <c r="P16" s="103">
        <f>SUMIFS( INDEX( 'ETPT Format DDG'!$A:$FF,,MATCH("Temps ventilés sur la période (hors indisponibilité)",'ETPT Format DDG'!2:2,0)),'ETPT Format DDG'!$C:$C,$D$5,'ETPT Format DDG'!$FA:$FA,"JURISTE AS chambres sociales placé SUB")</f>
        <v>0</v>
      </c>
      <c r="Q16" s="103">
        <f>SUMIFS( INDEX( 'ETPT Format DDG'!$A:$FF,,MATCH("Temps ventilés sur la période (hors indisponibilité)",'ETPT Format DDG'!2:2,0)),'ETPT Format DDG'!$C:$C,$D$5,'ETPT Format DDG'!$FA:$FA,"JURISTE AS siège Autres placé SUB")</f>
        <v>0</v>
      </c>
      <c r="R16" s="103">
        <f>SUMIFS( INDEX( 'ETPT Format DDG'!$A:$FF,,MATCH("Temps ventilés sur la période (hors indisponibilité)",'ETPT Format DDG'!2:2,0)),'ETPT Format DDG'!$C:$C,$D$5,'ETPT Format DDG'!$FA:$FA,"JURISTE AS parquet général placé SUB")</f>
        <v>0</v>
      </c>
      <c r="S16" s="79">
        <f t="shared" si="2"/>
        <v>0</v>
      </c>
      <c r="T16" s="103" t="e">
        <f>SUMIFS( INDEX( 'ETPT Format DDG'!$A:$FF,,MATCH("11.1. ASSISES HORS JIRS",'ETPT Format DDG'!2:2,0)),'ETPT Format DDG'!$C:$C,$D$5,'ETPT Format DDG'!$FA:$FA,"Magistrat SIEGE placé SUB") +
SUMIFS( INDEX( 'ETPT Format DDG'!$A:$FF,,MATCH("11.2 ASSISES JIRS",'ETPT Format DDG'!2:2,0)),'ETPT Format DDG'!$C:$C,$D$5,'ETPT Format DDG'!$FA:$FA,"Magistrat SIEGE placé SUB")</f>
        <v>#N/A</v>
      </c>
      <c r="U16" s="103" t="e">
        <f>SUMIFS( INDEX( 'ETPT Format DDG'!$A:$FF,,MATCH("11.3. COUR CRIMINELLE DÉPARTEMENTALE",'ETPT Format DDG'!2:2,0)),'ETPT Format DDG'!$C:$C,$D$5,'ETPT Format DDG'!$FA:$FA,"Magistrat SIEGE placé SUB")</f>
        <v>#N/A</v>
      </c>
      <c r="V16" s="103" t="e">
        <f>SUMIFS( INDEX( 'ETPT Format DDG'!$A:$FF,,MATCH("8.4. CONTENTIEUX JIRS CRIM-ORG",'ETPT Format DDG'!2:2,0)),'ETPT Format DDG'!$C:$C,$D$5,'ETPT Format DDG'!$FA:$FA,"Magistrat SIEGE placé SUB") +
SUMIFS( INDEX( 'ETPT Format DDG'!$A:$FF,,MATCH("8.7. CONTENTIEUX JIRS ÉCO-FI",'ETPT Format DDG'!2:2,0)),'ETPT Format DDG'!$C:$C,$D$5,'ETPT Format DDG'!$FA:$FA,"Magistrat SIEGE placé SUB") +
SUMIFS( INDEX( 'ETPT Format DDG'!$A:$FF,,MATCH("9.3. CONTENTIEUX DE LA DÉTENTION JIRS",'ETPT Format DDG'!2:2,0)),'ETPT Format DDG'!$C:$C,$D$5,'ETPT Format DDG'!$FA:$FA,"Magistrat SIEGE placé SUB")+
SUMIFS( INDEX( 'ETPT Format DDG'!$A:$FF,,MATCH("9.5. CONTENTIEUX DU CONTRÔLE JUDICIAIRE JIRS",'ETPT Format DDG'!2:2,0)),'ETPT Format DDG'!$C:$C,$D$5,'ETPT Format DDG'!$FA:$FA,"Magistrat SIEGE placé SUB")+
SUMIFS( INDEX( 'ETPT Format DDG'!$A:$FF,,MATCH("9.7. CONTENTIEUX DE FOND JIRS",'ETPT Format DDG'!2:2,0)),'ETPT Format DDG'!$C:$C,$D$5,'ETPT Format DDG'!$FA:$FA,"Magistrat SIEGE placé SUB")</f>
        <v>#N/A</v>
      </c>
      <c r="W16" s="103" t="e">
        <f>SUMIFS( INDEX( 'ETPT Format DDG'!$A:$FF,,MATCH("1. TOTAL CONTENTIEUX SOCIAL",'ETPT Format DDG'!2:2,0)),'ETPT Format DDG'!$C:$C,$D$5,'ETPT Format DDG'!$FA:$FA,"Magistrat SIEGE placé SUB")</f>
        <v>#N/A</v>
      </c>
      <c r="X16" s="103" t="e">
        <f>SUMIFS( INDEX( 'ETPT Format DDG'!$A:$FF,,MATCH("Temps ventilés sur la période (hors indisponibilité)",'ETPT Format DDG'!2:2,0)),'ETPT Format DDG'!$C:$C,$D$5,'ETPT Format DDG'!$FA:$FA,"Magistrat placé SUB")  -
SUMIFS( INDEX( 'ETPT Format DDG'!$A:$FF,,MATCH("11.1. ASSISES HORS JIRS",'ETPT Format DDG'!2:2,0)),'ETPT Format DDG'!$C:$C,$D$5,'ETPT Format DDG'!$FA:$FA,"Magistrat placé SUB")  -
SUMIFS( INDEX( 'ETPT Format DDG'!$A:$FF,,MATCH("11.2 ASSISES JIRS",'ETPT Format DDG'!2:2,0)),'ETPT Format DDG'!$C:$C,$D$5,'ETPT Format DDG'!$FA:$FA,"Magistrat placé SUB")  -
SUMIFS( INDEX( 'ETPT Format DDG'!$A:$FF,,MATCH("11.3. COUR CRIMINELLE DÉPARTEMENTALE",'ETPT Format DDG'!2:2,0)),'ETPT Format DDG'!$C:$C,$D$5,'ETPT Format DDG'!$FA:$FA,"Magistrat placé SUB")  -
SUMIFS( INDEX( 'ETPT Format DDG'!$A:$FF,,MATCH("8.4. CONTENTIEUX JIRS CRIM-ORG",'ETPT Format DDG'!2:2,0)),'ETPT Format DDG'!$C:$C,$D$5,'ETPT Format DDG'!$FA:$FA,"Magistrat placé SUB")  -
SUMIFS( INDEX( 'ETPT Format DDG'!$A:$FF,,MATCH("8.7. CONTENTIEUX JIRS ÉCO-FI",'ETPT Format DDG'!2:2,0)),'ETPT Format DDG'!$C:$C,$D$5,'ETPT Format DDG'!$FA:$FA,"Magistrat placé SUB")  -
SUMIFS( INDEX( 'ETPT Format DDG'!$A:$FF,,MATCH("9.3. CONTENTIEUX DE LA DÉTENTION JIRS",'ETPT Format DDG'!2:2,0)),'ETPT Format DDG'!$C:$C,$D$5,'ETPT Format DDG'!$FA:$FA,"Magistrat placé SUB")  -
SUMIFS( INDEX( 'ETPT Format DDG'!$A:$FF,,MATCH("9.5. CONTENTIEUX DU CONTRÔLE JUDICIAIRE JIRS",'ETPT Format DDG'!2:2,0)),'ETPT Format DDG'!$C:$C,$D$5,'ETPT Format DDG'!$FA:$FA,"Magistrat placé SUB")  -
SUMIFS( INDEX( 'ETPT Format DDG'!$A:$FF,,MATCH("9.7. CONTENTIEUX DE FOND JIRS",'ETPT Format DDG'!2:2,0)),'ETPT Format DDG'!$C:$C,$D$5,'ETPT Format DDG'!$FA:$FA,"Magistrat placé SUB")  -
SUMIFS( INDEX( 'ETPT Format DDG'!$A:$FF,,MATCH("1. TOTAL CONTENTIEUX SOCIAL",'ETPT Format DDG'!2:2,0)),'ETPT Format DDG'!$C:$C,$D$5,'ETPT Format DDG'!$FA:$FA,"Magistrat placé SUB")</f>
        <v>#N/A</v>
      </c>
      <c r="Y16" s="79" t="e">
        <f t="shared" si="3"/>
        <v>#N/A</v>
      </c>
      <c r="Z16" s="103"/>
      <c r="AA16" s="103"/>
      <c r="AB16" s="103"/>
      <c r="AC16" s="103"/>
      <c r="AD16" s="103"/>
      <c r="AE16" s="79">
        <f>SUM(Z16:AD16)</f>
        <v>0</v>
      </c>
    </row>
    <row r="17" spans="1:31" ht="26" customHeight="1" x14ac:dyDescent="0.2">
      <c r="D17" s="39"/>
      <c r="E17" s="118"/>
      <c r="F17" s="119" t="s">
        <v>43</v>
      </c>
      <c r="G17" s="79" t="e">
        <f>SUM(G5:G16)</f>
        <v>#N/A</v>
      </c>
      <c r="H17" s="79" t="e">
        <f t="shared" ref="H17:AD17" si="6">SUM(H5:H16)</f>
        <v>#N/A</v>
      </c>
      <c r="I17" s="79" t="e">
        <f t="shared" si="6"/>
        <v>#N/A</v>
      </c>
      <c r="J17" s="79" t="e">
        <f t="shared" si="6"/>
        <v>#N/A</v>
      </c>
      <c r="K17" s="79" t="e">
        <f t="shared" si="6"/>
        <v>#N/A</v>
      </c>
      <c r="L17" s="79" t="e">
        <f t="shared" si="6"/>
        <v>#N/A</v>
      </c>
      <c r="M17" s="79" t="e">
        <f t="shared" si="6"/>
        <v>#N/A</v>
      </c>
      <c r="N17" s="79" t="e">
        <f t="shared" si="6"/>
        <v>#N/A</v>
      </c>
      <c r="O17" s="79" t="e">
        <f>SUM(O5:O16)</f>
        <v>#N/A</v>
      </c>
      <c r="P17" s="79" t="e">
        <f t="shared" si="6"/>
        <v>#N/A</v>
      </c>
      <c r="Q17" s="79" t="e">
        <f t="shared" si="6"/>
        <v>#N/A</v>
      </c>
      <c r="R17" s="79" t="e">
        <f t="shared" si="6"/>
        <v>#N/A</v>
      </c>
      <c r="S17" s="79" t="e">
        <f t="shared" si="6"/>
        <v>#N/A</v>
      </c>
      <c r="T17" s="79" t="e">
        <f t="shared" si="6"/>
        <v>#N/A</v>
      </c>
      <c r="U17" s="79" t="e">
        <f t="shared" si="6"/>
        <v>#N/A</v>
      </c>
      <c r="V17" s="79" t="e">
        <f t="shared" si="6"/>
        <v>#N/A</v>
      </c>
      <c r="W17" s="79" t="e">
        <f t="shared" si="6"/>
        <v>#N/A</v>
      </c>
      <c r="X17" s="79" t="e">
        <f t="shared" si="6"/>
        <v>#N/A</v>
      </c>
      <c r="Y17" s="79" t="e">
        <f t="shared" si="6"/>
        <v>#N/A</v>
      </c>
      <c r="Z17" s="79">
        <f t="shared" si="6"/>
        <v>0</v>
      </c>
      <c r="AA17" s="79">
        <f t="shared" si="6"/>
        <v>0</v>
      </c>
      <c r="AB17" s="79">
        <f t="shared" si="6"/>
        <v>0</v>
      </c>
      <c r="AC17" s="79">
        <f t="shared" si="6"/>
        <v>0</v>
      </c>
      <c r="AD17" s="79">
        <f t="shared" si="6"/>
        <v>0</v>
      </c>
      <c r="AE17" s="79">
        <f>SUM(AE5:AE16)</f>
        <v>0</v>
      </c>
    </row>
    <row r="19" spans="1:31" customFormat="1" ht="102.5" customHeight="1" x14ac:dyDescent="0.2">
      <c r="A19" s="4"/>
      <c r="F19" s="121" t="s">
        <v>255</v>
      </c>
      <c r="G19" s="81" t="e">
        <f>SUMIFS( INDEX( 'ETPT Format DDG'!$A:$FF,,MATCH("14. TOTAL INDISPONIBILITÉ",'ETPT Format DDG'!2:2,0)),'ETPT Format DDG'!$C:$C,$D$5,'ETPT Format DDG'!$FA:$FA,"Fonctionnaire CTECH placé ADD") +
SUMIFS( INDEX( 'ETPT Format DDG'!$A:$FF,,MATCH("14. TOTAL INDISPONIBILITÉ",'ETPT Format DDG'!2:2,0)),'ETPT Format DDG'!$C:$C,$D$5,'ETPT Format DDG'!$FA:$FA,"Fonctionnaire CTECH placé SUB")</f>
        <v>#N/A</v>
      </c>
      <c r="M19" s="122" t="s">
        <v>256</v>
      </c>
      <c r="N19" s="81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AE19"/>
  <sheetViews>
    <sheetView topLeftCell="D1" zoomScaleNormal="100" workbookViewId="0">
      <selection activeCell="G5" sqref="G5"/>
    </sheetView>
  </sheetViews>
  <sheetFormatPr baseColWidth="10" defaultColWidth="11" defaultRowHeight="16" x14ac:dyDescent="0.2"/>
  <cols>
    <col min="1" max="1" width="6" style="37" hidden="1" customWidth="1"/>
    <col min="2" max="2" width="17.1640625" style="37" hidden="1" customWidth="1"/>
    <col min="3" max="3" width="6.33203125" style="37" hidden="1" customWidth="1"/>
    <col min="4" max="4" width="14.6640625" style="37" customWidth="1"/>
    <col min="5" max="5" width="6.5" style="37" customWidth="1"/>
    <col min="6" max="6" width="45" style="37" customWidth="1"/>
    <col min="7" max="8" width="9.33203125" style="37" customWidth="1"/>
    <col min="9" max="9" width="9.5" style="37" customWidth="1"/>
    <col min="10" max="10" width="9" style="37" customWidth="1"/>
    <col min="11" max="12" width="9.33203125" style="37" customWidth="1"/>
    <col min="13" max="13" width="24.33203125" style="37" customWidth="1"/>
    <col min="14" max="38" width="9.33203125" style="37" customWidth="1"/>
    <col min="39" max="39" width="8.5" style="37" bestFit="1" customWidth="1"/>
    <col min="40" max="40" width="7.33203125" style="37" bestFit="1" customWidth="1"/>
    <col min="41" max="62" width="9.33203125" style="37" customWidth="1"/>
    <col min="63" max="63" width="4" style="37" customWidth="1"/>
    <col min="64" max="16384" width="11" style="37"/>
  </cols>
  <sheetData>
    <row r="1" spans="1:31" ht="87" customHeight="1" x14ac:dyDescent="0.25">
      <c r="A1" s="3" t="s">
        <v>257</v>
      </c>
      <c r="B1" s="5"/>
      <c r="C1" s="5"/>
      <c r="D1" s="3" t="s">
        <v>257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48" x14ac:dyDescent="0.2">
      <c r="A2" s="46"/>
      <c r="B2" s="45"/>
      <c r="C2" s="45"/>
      <c r="D2" s="45"/>
      <c r="E2" s="45"/>
      <c r="F2" s="45"/>
      <c r="G2" s="120" t="s">
        <v>106</v>
      </c>
      <c r="H2" s="123" t="s">
        <v>105</v>
      </c>
      <c r="I2" s="120" t="s">
        <v>104</v>
      </c>
      <c r="J2" s="120" t="s">
        <v>104</v>
      </c>
      <c r="K2" s="120" t="s">
        <v>104</v>
      </c>
      <c r="L2" s="120" t="s">
        <v>104</v>
      </c>
      <c r="M2" s="120" t="s">
        <v>104</v>
      </c>
      <c r="N2" s="120" t="s">
        <v>104</v>
      </c>
      <c r="O2" s="123" t="s">
        <v>103</v>
      </c>
      <c r="P2" s="120" t="s">
        <v>38</v>
      </c>
      <c r="Q2" s="120" t="s">
        <v>38</v>
      </c>
      <c r="R2" s="120" t="s">
        <v>38</v>
      </c>
      <c r="S2" s="123" t="s">
        <v>102</v>
      </c>
      <c r="T2" s="120" t="s">
        <v>101</v>
      </c>
      <c r="U2" s="120" t="s">
        <v>101</v>
      </c>
      <c r="V2" s="120" t="s">
        <v>101</v>
      </c>
      <c r="W2" s="120" t="s">
        <v>101</v>
      </c>
      <c r="X2" s="120" t="s">
        <v>101</v>
      </c>
      <c r="Y2" s="123" t="s">
        <v>100</v>
      </c>
      <c r="Z2" s="120" t="s">
        <v>99</v>
      </c>
      <c r="AA2" s="120" t="s">
        <v>99</v>
      </c>
      <c r="AB2" s="120" t="s">
        <v>99</v>
      </c>
      <c r="AC2" s="120" t="s">
        <v>99</v>
      </c>
      <c r="AD2" s="120" t="s">
        <v>99</v>
      </c>
      <c r="AE2" s="123" t="s">
        <v>98</v>
      </c>
    </row>
    <row r="3" spans="1:31" ht="36" x14ac:dyDescent="0.2">
      <c r="A3" s="46"/>
      <c r="B3" s="45"/>
      <c r="C3" s="45"/>
      <c r="D3" s="45"/>
      <c r="E3" s="45"/>
      <c r="F3" s="45"/>
      <c r="G3" s="120" t="s">
        <v>97</v>
      </c>
      <c r="H3" s="123"/>
      <c r="I3" s="120" t="s">
        <v>96</v>
      </c>
      <c r="J3" s="120" t="s">
        <v>95</v>
      </c>
      <c r="K3" s="120" t="s">
        <v>94</v>
      </c>
      <c r="L3" s="120" t="s">
        <v>141</v>
      </c>
      <c r="M3" s="120" t="s">
        <v>142</v>
      </c>
      <c r="N3" s="120" t="s">
        <v>93</v>
      </c>
      <c r="O3" s="123"/>
      <c r="P3" s="120" t="s">
        <v>143</v>
      </c>
      <c r="Q3" s="120" t="s">
        <v>91</v>
      </c>
      <c r="R3" s="120" t="s">
        <v>92</v>
      </c>
      <c r="S3" s="123"/>
      <c r="T3" s="120" t="s">
        <v>90</v>
      </c>
      <c r="U3" s="120" t="s">
        <v>89</v>
      </c>
      <c r="V3" s="120" t="s">
        <v>144</v>
      </c>
      <c r="W3" s="120" t="s">
        <v>145</v>
      </c>
      <c r="X3" s="120" t="s">
        <v>88</v>
      </c>
      <c r="Y3" s="123"/>
      <c r="Z3" s="120" t="s">
        <v>87</v>
      </c>
      <c r="AA3" s="120" t="s">
        <v>252</v>
      </c>
      <c r="AB3" s="120" t="s">
        <v>86</v>
      </c>
      <c r="AC3" s="120" t="s">
        <v>85</v>
      </c>
      <c r="AD3" s="120" t="s">
        <v>84</v>
      </c>
      <c r="AE3" s="123"/>
    </row>
    <row r="4" spans="1:31" ht="48" x14ac:dyDescent="0.2">
      <c r="A4" s="44"/>
      <c r="B4" s="43" t="s">
        <v>83</v>
      </c>
      <c r="C4" s="43" t="s">
        <v>82</v>
      </c>
      <c r="D4" s="43" t="s">
        <v>32</v>
      </c>
      <c r="E4" s="116" t="s">
        <v>81</v>
      </c>
      <c r="F4" s="116" t="s">
        <v>80</v>
      </c>
      <c r="G4" s="120" t="s">
        <v>79</v>
      </c>
      <c r="H4" s="123"/>
      <c r="I4" s="120" t="s">
        <v>78</v>
      </c>
      <c r="J4" s="120" t="s">
        <v>77</v>
      </c>
      <c r="K4" s="120" t="s">
        <v>76</v>
      </c>
      <c r="L4" s="120" t="s">
        <v>146</v>
      </c>
      <c r="M4" s="120" t="s">
        <v>147</v>
      </c>
      <c r="N4" s="120" t="s">
        <v>75</v>
      </c>
      <c r="O4" s="123"/>
      <c r="P4" s="120" t="s">
        <v>148</v>
      </c>
      <c r="Q4" s="120" t="s">
        <v>73</v>
      </c>
      <c r="R4" s="120" t="s">
        <v>74</v>
      </c>
      <c r="S4" s="123"/>
      <c r="T4" s="120" t="s">
        <v>72</v>
      </c>
      <c r="U4" s="120" t="s">
        <v>71</v>
      </c>
      <c r="V4" s="120" t="s">
        <v>149</v>
      </c>
      <c r="W4" s="120" t="s">
        <v>150</v>
      </c>
      <c r="X4" s="120" t="s">
        <v>70</v>
      </c>
      <c r="Y4" s="123"/>
      <c r="Z4" s="120" t="s">
        <v>69</v>
      </c>
      <c r="AA4" s="120" t="s">
        <v>253</v>
      </c>
      <c r="AB4" s="120" t="s">
        <v>68</v>
      </c>
      <c r="AC4" s="120" t="s">
        <v>67</v>
      </c>
      <c r="AD4" s="120" t="s">
        <v>66</v>
      </c>
      <c r="AE4" s="123"/>
    </row>
    <row r="5" spans="1:31" x14ac:dyDescent="0.2">
      <c r="A5" s="42"/>
      <c r="B5" s="41"/>
      <c r="C5" s="41"/>
      <c r="D5" s="47"/>
      <c r="E5" s="117" t="s">
        <v>65</v>
      </c>
      <c r="F5" s="117" t="s">
        <v>64</v>
      </c>
      <c r="G5" s="103" t="str">
        <f>IF(ISBLANK($D$5),"",IF(ISERROR(ETPT_CA_JUR!G5),"",IF(ETPT_CA_JUR!G5=0,"",ETPT_CA_JUR!G5)))</f>
        <v/>
      </c>
      <c r="H5" s="79">
        <f>SUM(G5)</f>
        <v>0</v>
      </c>
      <c r="I5" s="103" t="str">
        <f>IF(ISBLANK($D$5),"",IF(ISERROR(ETPT_CA_JUR!I5),"",IF(ETPT_CA_JUR!I5=0,"",ETPT_CA_JUR!I5)))</f>
        <v/>
      </c>
      <c r="J5" s="103" t="str">
        <f>IF(ISBLANK($D$5),"",IF(ISERROR(ETPT_CA_JUR!J5),"",IF(ETPT_CA_JUR!J5=0,"",ETPT_CA_JUR!J5)))</f>
        <v/>
      </c>
      <c r="K5" s="103" t="str">
        <f>IF(ISBLANK($D$5),"",IF(ISERROR(ETPT_CA_JUR!K5),"",IF(ETPT_CA_JUR!K5=0,"",ETPT_CA_JUR!K5)))</f>
        <v/>
      </c>
      <c r="L5" s="103" t="str">
        <f>IF(ISBLANK($D$5),"",IF(ISERROR(ETPT_CA_JUR!L5),"",IF(ETPT_CA_JUR!L5=0,"",ETPT_CA_JUR!L5)))</f>
        <v/>
      </c>
      <c r="M5" s="103" t="str">
        <f>IF(ISBLANK($D$5),"",IF(ISERROR(ETPT_CA_JUR!M5),"",IF(ETPT_CA_JUR!M5=0,"",ETPT_CA_JUR!M5)))</f>
        <v/>
      </c>
      <c r="N5" s="103" t="str">
        <f>IF(ISBLANK($D$5),"",IF(ISERROR(ETPT_CA_JUR!N5),"",IF(ETPT_CA_JUR!N5=0,"",ETPT_CA_JUR!N5)))</f>
        <v/>
      </c>
      <c r="O5" s="79">
        <f>SUM(I5:N5)</f>
        <v>0</v>
      </c>
      <c r="P5" s="103" t="str">
        <f>IF(ISBLANK($D$5),"",IF(ISERROR(ETPT_CA_JUR!P5),"",IF(ETPT_CA_JUR!P5=0,"",ETPT_CA_JUR!P5)))</f>
        <v/>
      </c>
      <c r="Q5" s="103" t="str">
        <f>IF(ISBLANK($D$5),"",IF(ISERROR(ETPT_CA_JUR!Q5),"",IF(ETPT_CA_JUR!Q5=0,"",ETPT_CA_JUR!Q5)))</f>
        <v/>
      </c>
      <c r="R5" s="103" t="str">
        <f>IF(ISBLANK($D$5),"",IF(ISERROR(ETPT_CA_JUR!R5),"",IF(ETPT_CA_JUR!R5=0,"",ETPT_CA_JUR!R5)))</f>
        <v/>
      </c>
      <c r="S5" s="79">
        <f>SUM(P5:R5)</f>
        <v>0</v>
      </c>
      <c r="T5" s="103" t="str">
        <f>IF(ISBLANK($D$5),"",IF(ISERROR(ETPT_CA_JUR!T5),"",IF(ETPT_CA_JUR!T5=0,"",ETPT_CA_JUR!T5)))</f>
        <v/>
      </c>
      <c r="U5" s="103" t="str">
        <f>IF(ISBLANK($D$5),"",IF(ISERROR(ETPT_CA_JUR!U5),"",IF(ETPT_CA_JUR!U5=0,"",ETPT_CA_JUR!U5)))</f>
        <v/>
      </c>
      <c r="V5" s="103" t="str">
        <f>IF(ISBLANK($D$5),"",IF(ISERROR(ETPT_CA_JUR!V5),"",IF(ETPT_CA_JUR!V5=0,"",ETPT_CA_JUR!V5)))</f>
        <v/>
      </c>
      <c r="W5" s="103" t="str">
        <f>IF(ISBLANK($D$5),"",IF(ISERROR(ETPT_CA_JUR!W5),"",IF(ETPT_CA_JUR!W5=0,"",ETPT_CA_JUR!W5)))</f>
        <v/>
      </c>
      <c r="X5" s="103" t="str">
        <f>IF(ISBLANK($D$5),"",IF(ISERROR(ETPT_CA_JUR!X5),"",IF(ETPT_CA_JUR!X5=0,"",ETPT_CA_JUR!X5)))</f>
        <v/>
      </c>
      <c r="Y5" s="79">
        <f>SUM(T5:X5)</f>
        <v>0</v>
      </c>
      <c r="Z5" s="103" t="str">
        <f>IF(ISBLANK($D$5),"",IF(ISERROR(ETPT_CA_JUR!Z5),"",IF(ETPT_CA_JUR!Z5=0,"",ETPT_CA_JUR!Z5)))</f>
        <v/>
      </c>
      <c r="AA5" s="103" t="str">
        <f>IF(ISBLANK($D$5),"",IF(ISERROR(ETPT_CA_JUR!AA5),"",IF(ETPT_CA_JUR!AA5=0,"",ETPT_CA_JUR!AA5)))</f>
        <v/>
      </c>
      <c r="AB5" s="103" t="str">
        <f>IF(ISBLANK($D$5),"",IF(ISERROR(ETPT_CA_JUR!AB5),"",IF(ETPT_CA_JUR!AB5=0,"",ETPT_CA_JUR!AB5)))</f>
        <v/>
      </c>
      <c r="AC5" s="103" t="str">
        <f>IF(ISBLANK($D$5),"",IF(ISERROR(ETPT_CA_JUR!AC5),"",IF(ETPT_CA_JUR!AC5=0,"",ETPT_CA_JUR!AC5)))</f>
        <v/>
      </c>
      <c r="AD5" s="103" t="str">
        <f>IF(ISBLANK($D$5),"",IF(ISERROR(ETPT_CA_JUR!AD5),"",IF(ETPT_CA_JUR!AD5=0,"",ETPT_CA_JUR!AD5)))</f>
        <v/>
      </c>
      <c r="AE5" s="79">
        <f>SUM(Z5:AD5)</f>
        <v>0</v>
      </c>
    </row>
    <row r="6" spans="1:31" x14ac:dyDescent="0.2">
      <c r="A6" s="42"/>
      <c r="B6" s="41"/>
      <c r="C6" s="41"/>
      <c r="D6" s="38" t="str">
        <f t="shared" ref="D6:D15" si="0">IF(ISBLANK($D$5),"",$D$5)</f>
        <v/>
      </c>
      <c r="E6" s="117" t="s">
        <v>63</v>
      </c>
      <c r="F6" s="117" t="s">
        <v>62</v>
      </c>
      <c r="G6" s="103" t="str">
        <f>IF(ISBLANK($D$5),"",IF(ISERROR(ETPT_CA_JUR!G6),"",IF(ETPT_CA_JUR!G6=0,"",ETPT_CA_JUR!G6)))</f>
        <v/>
      </c>
      <c r="H6" s="79">
        <f>SUM(G6)</f>
        <v>0</v>
      </c>
      <c r="I6" s="103" t="str">
        <f>IF(ISBLANK($D$5),"",IF(ISERROR(ETPT_CA_JUR!I6),"",IF(ETPT_CA_JUR!I6=0,"",ETPT_CA_JUR!I6)))</f>
        <v/>
      </c>
      <c r="J6" s="103" t="str">
        <f>IF(ISBLANK($D$5),"",IF(ISERROR(ETPT_CA_JUR!J6),"",IF(ETPT_CA_JUR!J6=0,"",ETPT_CA_JUR!J6)))</f>
        <v/>
      </c>
      <c r="K6" s="103" t="str">
        <f>IF(ISBLANK($D$5),"",IF(ISERROR(ETPT_CA_JUR!K6),"",IF(ETPT_CA_JUR!K6=0,"",ETPT_CA_JUR!K6)))</f>
        <v/>
      </c>
      <c r="L6" s="103" t="str">
        <f>IF(ISBLANK($D$5),"",IF(ISERROR(ETPT_CA_JUR!L6),"",IF(ETPT_CA_JUR!L6=0,"",ETPT_CA_JUR!L6)))</f>
        <v/>
      </c>
      <c r="M6" s="103" t="str">
        <f>IF(ISBLANK($D$5),"",IF(ISERROR(ETPT_CA_JUR!M6),"",IF(ETPT_CA_JUR!M6=0,"",ETPT_CA_JUR!M6)))</f>
        <v/>
      </c>
      <c r="N6" s="103" t="str">
        <f>IF(ISBLANK($D$5),"",IF(ISERROR(ETPT_CA_JUR!N6),"",IF(ETPT_CA_JUR!N6=0,"",ETPT_CA_JUR!N6)))</f>
        <v/>
      </c>
      <c r="O6" s="79">
        <f t="shared" ref="O6:O15" si="1">SUM(I6:N6)</f>
        <v>0</v>
      </c>
      <c r="P6" s="103" t="str">
        <f>IF(ISBLANK($D$5),"",IF(ISERROR(ETPT_CA_JUR!P6),"",IF(ETPT_CA_JUR!P6=0,"",ETPT_CA_JUR!P6)))</f>
        <v/>
      </c>
      <c r="Q6" s="103" t="str">
        <f>IF(ISBLANK($D$5),"",IF(ISERROR(ETPT_CA_JUR!Q6),"",IF(ETPT_CA_JUR!Q6=0,"",ETPT_CA_JUR!Q6)))</f>
        <v/>
      </c>
      <c r="R6" s="103" t="str">
        <f>IF(ISBLANK($D$5),"",IF(ISERROR(ETPT_CA_JUR!R6),"",IF(ETPT_CA_JUR!R6=0,"",ETPT_CA_JUR!R6)))</f>
        <v/>
      </c>
      <c r="S6" s="79">
        <f t="shared" ref="S6:S16" si="2">SUM(P6:R6)</f>
        <v>0</v>
      </c>
      <c r="T6" s="103" t="str">
        <f>IF(ISBLANK($D$5),"",IF(ISERROR(ETPT_CA_JUR!T6),"",IF(ETPT_CA_JUR!T6=0,"",ETPT_CA_JUR!T6)))</f>
        <v/>
      </c>
      <c r="U6" s="103" t="str">
        <f>IF(ISBLANK($D$5),"",IF(ISERROR(ETPT_CA_JUR!U6),"",IF(ETPT_CA_JUR!U6=0,"",ETPT_CA_JUR!U6)))</f>
        <v/>
      </c>
      <c r="V6" s="103" t="str">
        <f>IF(ISBLANK($D$5),"",IF(ISERROR(ETPT_CA_JUR!V6),"",IF(ETPT_CA_JUR!V6=0,"",ETPT_CA_JUR!V6)))</f>
        <v/>
      </c>
      <c r="W6" s="103" t="str">
        <f>IF(ISBLANK($D$5),"",IF(ISERROR(ETPT_CA_JUR!W6),"",IF(ETPT_CA_JUR!W6=0,"",ETPT_CA_JUR!W6)))</f>
        <v/>
      </c>
      <c r="X6" s="103" t="str">
        <f>IF(ISBLANK($D$5),"",IF(ISERROR(ETPT_CA_JUR!X6),"",IF(ETPT_CA_JUR!X6=0,"",ETPT_CA_JUR!X6)))</f>
        <v/>
      </c>
      <c r="Y6" s="79">
        <f t="shared" ref="Y6:Y16" si="3">SUM(T6:X6)</f>
        <v>0</v>
      </c>
      <c r="Z6" s="103" t="str">
        <f>IF(ISBLANK($D$5),"",IF(ISERROR(ETPT_CA_JUR!Z6),"",IF(ETPT_CA_JUR!Z6=0,"",ETPT_CA_JUR!Z6)))</f>
        <v/>
      </c>
      <c r="AA6" s="103" t="str">
        <f>IF(ISBLANK($D$5),"",IF(ISERROR(ETPT_CA_JUR!AA6),"",IF(ETPT_CA_JUR!AA6=0,"",ETPT_CA_JUR!AA6)))</f>
        <v/>
      </c>
      <c r="AB6" s="103" t="str">
        <f>IF(ISBLANK($D$5),"",IF(ISERROR(ETPT_CA_JUR!AB6),"",IF(ETPT_CA_JUR!AB6=0,"",ETPT_CA_JUR!AB6)))</f>
        <v/>
      </c>
      <c r="AC6" s="103" t="str">
        <f>IF(ISBLANK($D$5),"",IF(ISERROR(ETPT_CA_JUR!AC6),"",IF(ETPT_CA_JUR!AC6=0,"",ETPT_CA_JUR!AC6)))</f>
        <v/>
      </c>
      <c r="AD6" s="103" t="str">
        <f>IF(ISBLANK($D$5),"",IF(ISERROR(ETPT_CA_JUR!AD6),"",IF(ETPT_CA_JUR!AD6=0,"",ETPT_CA_JUR!AD6)))</f>
        <v/>
      </c>
      <c r="AE6" s="79">
        <f t="shared" ref="AE6:AE15" si="4">SUM(Z6:AD6)</f>
        <v>0</v>
      </c>
    </row>
    <row r="7" spans="1:31" x14ac:dyDescent="0.2">
      <c r="A7" s="42"/>
      <c r="B7" s="41"/>
      <c r="C7" s="41"/>
      <c r="D7" s="38" t="str">
        <f t="shared" si="0"/>
        <v/>
      </c>
      <c r="E7" s="117" t="s">
        <v>61</v>
      </c>
      <c r="F7" s="117" t="s">
        <v>60</v>
      </c>
      <c r="G7" s="103" t="str">
        <f>IF(ISBLANK($D$5),"",IF(ISERROR(ETPT_CA_JUR!G7),"",IF(ETPT_CA_JUR!G7=0,"",ETPT_CA_JUR!G7)))</f>
        <v/>
      </c>
      <c r="H7" s="79">
        <f>SUM(G7)</f>
        <v>0</v>
      </c>
      <c r="I7" s="103" t="str">
        <f>IF(ISBLANK($D$5),"",IF(ISERROR(ETPT_CA_JUR!I7),"",IF(ETPT_CA_JUR!I7=0,"",ETPT_CA_JUR!I7)))</f>
        <v/>
      </c>
      <c r="J7" s="103" t="str">
        <f>IF(ISBLANK($D$5),"",IF(ISERROR(ETPT_CA_JUR!J7),"",IF(ETPT_CA_JUR!J7=0,"",ETPT_CA_JUR!J7)))</f>
        <v/>
      </c>
      <c r="K7" s="103" t="str">
        <f>IF(ISBLANK($D$5),"",IF(ISERROR(ETPT_CA_JUR!K7),"",IF(ETPT_CA_JUR!K7=0,"",ETPT_CA_JUR!K7)))</f>
        <v/>
      </c>
      <c r="L7" s="103" t="str">
        <f>IF(ISBLANK($D$5),"",IF(ISERROR(ETPT_CA_JUR!L7),"",IF(ETPT_CA_JUR!L7=0,"",ETPT_CA_JUR!L7)))</f>
        <v/>
      </c>
      <c r="M7" s="103" t="str">
        <f>IF(ISBLANK($D$5),"",IF(ISERROR(ETPT_CA_JUR!M7),"",IF(ETPT_CA_JUR!M7=0,"",ETPT_CA_JUR!M7)))</f>
        <v/>
      </c>
      <c r="N7" s="103" t="str">
        <f>IF(ISBLANK($D$5),"",IF(ISERROR(ETPT_CA_JUR!N7),"",IF(ETPT_CA_JUR!N7=0,"",ETPT_CA_JUR!N7)))</f>
        <v/>
      </c>
      <c r="O7" s="79">
        <f t="shared" si="1"/>
        <v>0</v>
      </c>
      <c r="P7" s="103" t="str">
        <f>IF(ISBLANK($D$5),"",IF(ISERROR(ETPT_CA_JUR!P7),"",IF(ETPT_CA_JUR!P7=0,"",ETPT_CA_JUR!P7)))</f>
        <v/>
      </c>
      <c r="Q7" s="103" t="str">
        <f>IF(ISBLANK($D$5),"",IF(ISERROR(ETPT_CA_JUR!Q7),"",IF(ETPT_CA_JUR!Q7=0,"",ETPT_CA_JUR!Q7)))</f>
        <v/>
      </c>
      <c r="R7" s="103" t="str">
        <f>IF(ISBLANK($D$5),"",IF(ISERROR(ETPT_CA_JUR!R7),"",IF(ETPT_CA_JUR!R7=0,"",ETPT_CA_JUR!R7)))</f>
        <v/>
      </c>
      <c r="S7" s="79">
        <f t="shared" si="2"/>
        <v>0</v>
      </c>
      <c r="T7" s="103" t="str">
        <f>IF(ISBLANK($D$5),"",IF(ISERROR(ETPT_CA_JUR!T7),"",IF(ETPT_CA_JUR!T7=0,"",ETPT_CA_JUR!T7)))</f>
        <v/>
      </c>
      <c r="U7" s="103" t="str">
        <f>IF(ISBLANK($D$5),"",IF(ISERROR(ETPT_CA_JUR!U7),"",IF(ETPT_CA_JUR!U7=0,"",ETPT_CA_JUR!U7)))</f>
        <v/>
      </c>
      <c r="V7" s="103" t="str">
        <f>IF(ISBLANK($D$5),"",IF(ISERROR(ETPT_CA_JUR!V7),"",IF(ETPT_CA_JUR!V7=0,"",ETPT_CA_JUR!V7)))</f>
        <v/>
      </c>
      <c r="W7" s="103" t="str">
        <f>IF(ISBLANK($D$5),"",IF(ISERROR(ETPT_CA_JUR!W7),"",IF(ETPT_CA_JUR!W7=0,"",ETPT_CA_JUR!W7)))</f>
        <v/>
      </c>
      <c r="X7" s="103" t="str">
        <f>IF(ISBLANK($D$5),"",IF(ISERROR(ETPT_CA_JUR!X7),"",IF(ETPT_CA_JUR!X7=0,"",ETPT_CA_JUR!X7)))</f>
        <v/>
      </c>
      <c r="Y7" s="79">
        <f t="shared" si="3"/>
        <v>0</v>
      </c>
      <c r="Z7" s="103" t="str">
        <f>IF(ISBLANK($D$5),"",IF(ISERROR(ETPT_CA_JUR!Z7),"",IF(ETPT_CA_JUR!Z7=0,"",ETPT_CA_JUR!Z7)))</f>
        <v/>
      </c>
      <c r="AA7" s="103" t="str">
        <f>IF(ISBLANK($D$5),"",IF(ISERROR(ETPT_CA_JUR!AA7),"",IF(ETPT_CA_JUR!AA7=0,"",ETPT_CA_JUR!AA7)))</f>
        <v/>
      </c>
      <c r="AB7" s="103" t="str">
        <f>IF(ISBLANK($D$5),"",IF(ISERROR(ETPT_CA_JUR!AB7),"",IF(ETPT_CA_JUR!AB7=0,"",ETPT_CA_JUR!AB7)))</f>
        <v/>
      </c>
      <c r="AC7" s="103" t="str">
        <f>IF(ISBLANK($D$5),"",IF(ISERROR(ETPT_CA_JUR!AC7),"",IF(ETPT_CA_JUR!AC7=0,"",ETPT_CA_JUR!AC7)))</f>
        <v/>
      </c>
      <c r="AD7" s="103" t="str">
        <f>IF(ISBLANK($D$5),"",IF(ISERROR(ETPT_CA_JUR!AD7),"",IF(ETPT_CA_JUR!AD7=0,"",ETPT_CA_JUR!AD7)))</f>
        <v/>
      </c>
      <c r="AE7" s="79">
        <f t="shared" si="4"/>
        <v>0</v>
      </c>
    </row>
    <row r="8" spans="1:31" x14ac:dyDescent="0.2">
      <c r="A8" s="42"/>
      <c r="B8" s="41"/>
      <c r="C8" s="41"/>
      <c r="D8" s="38" t="str">
        <f t="shared" si="0"/>
        <v/>
      </c>
      <c r="E8" s="117" t="s">
        <v>59</v>
      </c>
      <c r="F8" s="117" t="s">
        <v>58</v>
      </c>
      <c r="G8" s="103" t="str">
        <f>IF(ISBLANK($D$5),"",IF(ISERROR(ETPT_CA_JUR!G8),"",IF(ETPT_CA_JUR!G8=0,"",ETPT_CA_JUR!G8)))</f>
        <v/>
      </c>
      <c r="H8" s="79">
        <f>SUM(G8)</f>
        <v>0</v>
      </c>
      <c r="I8" s="103" t="str">
        <f>IF(ISBLANK($D$5),"",IF(ISERROR(ETPT_CA_JUR!I8),"",IF(ETPT_CA_JUR!I8=0,"",ETPT_CA_JUR!I8)))</f>
        <v/>
      </c>
      <c r="J8" s="103" t="str">
        <f>IF(ISBLANK($D$5),"",IF(ISERROR(ETPT_CA_JUR!J8),"",IF(ETPT_CA_JUR!J8=0,"",ETPT_CA_JUR!J8)))</f>
        <v/>
      </c>
      <c r="K8" s="103" t="str">
        <f>IF(ISBLANK($D$5),"",IF(ISERROR(ETPT_CA_JUR!K8),"",IF(ETPT_CA_JUR!K8=0,"",ETPT_CA_JUR!K8)))</f>
        <v/>
      </c>
      <c r="L8" s="103" t="str">
        <f>IF(ISBLANK($D$5),"",IF(ISERROR(ETPT_CA_JUR!L8),"",IF(ETPT_CA_JUR!L8=0,"",ETPT_CA_JUR!L8)))</f>
        <v/>
      </c>
      <c r="M8" s="103" t="str">
        <f>IF(ISBLANK($D$5),"",IF(ISERROR(ETPT_CA_JUR!M8),"",IF(ETPT_CA_JUR!M8=0,"",ETPT_CA_JUR!M8)))</f>
        <v/>
      </c>
      <c r="N8" s="103" t="str">
        <f>IF(ISBLANK($D$5),"",IF(ISERROR(ETPT_CA_JUR!N8),"",IF(ETPT_CA_JUR!N8=0,"",ETPT_CA_JUR!N8)))</f>
        <v/>
      </c>
      <c r="O8" s="79">
        <f t="shared" si="1"/>
        <v>0</v>
      </c>
      <c r="P8" s="103" t="str">
        <f>IF(ISBLANK($D$5),"",IF(ISERROR(ETPT_CA_JUR!P8),"",IF(ETPT_CA_JUR!P8=0,"",ETPT_CA_JUR!P8)))</f>
        <v/>
      </c>
      <c r="Q8" s="103" t="str">
        <f>IF(ISBLANK($D$5),"",IF(ISERROR(ETPT_CA_JUR!Q8),"",IF(ETPT_CA_JUR!Q8=0,"",ETPT_CA_JUR!Q8)))</f>
        <v/>
      </c>
      <c r="R8" s="103" t="str">
        <f>IF(ISBLANK($D$5),"",IF(ISERROR(ETPT_CA_JUR!R8),"",IF(ETPT_CA_JUR!R8=0,"",ETPT_CA_JUR!R8)))</f>
        <v/>
      </c>
      <c r="S8" s="79">
        <f t="shared" si="2"/>
        <v>0</v>
      </c>
      <c r="T8" s="103" t="str">
        <f>IF(ISBLANK($D$5),"",IF(ISERROR(ETPT_CA_JUR!T8),"",IF(ETPT_CA_JUR!T8=0,"",ETPT_CA_JUR!T8)))</f>
        <v/>
      </c>
      <c r="U8" s="103" t="str">
        <f>IF(ISBLANK($D$5),"",IF(ISERROR(ETPT_CA_JUR!U8),"",IF(ETPT_CA_JUR!U8=0,"",ETPT_CA_JUR!U8)))</f>
        <v/>
      </c>
      <c r="V8" s="103" t="str">
        <f>IF(ISBLANK($D$5),"",IF(ISERROR(ETPT_CA_JUR!V8),"",IF(ETPT_CA_JUR!V8=0,"",ETPT_CA_JUR!V8)))</f>
        <v/>
      </c>
      <c r="W8" s="103" t="str">
        <f>IF(ISBLANK($D$5),"",IF(ISERROR(ETPT_CA_JUR!W8),"",IF(ETPT_CA_JUR!W8=0,"",ETPT_CA_JUR!W8)))</f>
        <v/>
      </c>
      <c r="X8" s="103" t="str">
        <f>IF(ISBLANK($D$5),"",IF(ISERROR(ETPT_CA_JUR!X8),"",IF(ETPT_CA_JUR!X8=0,"",ETPT_CA_JUR!X8)))</f>
        <v/>
      </c>
      <c r="Y8" s="79">
        <f t="shared" si="3"/>
        <v>0</v>
      </c>
      <c r="Z8" s="103" t="str">
        <f>IF(ISBLANK($D$5),"",IF(ISERROR(ETPT_CA_JUR!Z8),"",IF(ETPT_CA_JUR!Z8=0,"",ETPT_CA_JUR!Z8)))</f>
        <v/>
      </c>
      <c r="AA8" s="103" t="str">
        <f>IF(ISBLANK($D$5),"",IF(ISERROR(ETPT_CA_JUR!AA8),"",IF(ETPT_CA_JUR!AA8=0,"",ETPT_CA_JUR!AA8)))</f>
        <v/>
      </c>
      <c r="AB8" s="103" t="str">
        <f>IF(ISBLANK($D$5),"",IF(ISERROR(ETPT_CA_JUR!AB8),"",IF(ETPT_CA_JUR!AB8=0,"",ETPT_CA_JUR!AB8)))</f>
        <v/>
      </c>
      <c r="AC8" s="103" t="str">
        <f>IF(ISBLANK($D$5),"",IF(ISERROR(ETPT_CA_JUR!AC8),"",IF(ETPT_CA_JUR!AC8=0,"",ETPT_CA_JUR!AC8)))</f>
        <v/>
      </c>
      <c r="AD8" s="103" t="str">
        <f>IF(ISBLANK($D$5),"",IF(ISERROR(ETPT_CA_JUR!AD8),"",IF(ETPT_CA_JUR!AD8=0,"",ETPT_CA_JUR!AD8)))</f>
        <v/>
      </c>
      <c r="AE8" s="79">
        <f t="shared" si="4"/>
        <v>0</v>
      </c>
    </row>
    <row r="9" spans="1:31" x14ac:dyDescent="0.2">
      <c r="A9" s="42"/>
      <c r="B9" s="41"/>
      <c r="C9" s="41"/>
      <c r="D9" s="38" t="str">
        <f t="shared" si="0"/>
        <v/>
      </c>
      <c r="E9" s="117" t="s">
        <v>57</v>
      </c>
      <c r="F9" s="117" t="s">
        <v>56</v>
      </c>
      <c r="G9" s="103" t="str">
        <f>IF(ISBLANK($D$5),"",IF(ISERROR(ETPT_CA_JUR!G9),"",IF(ETPT_CA_JUR!G9=0,"",ETPT_CA_JUR!G9)))</f>
        <v/>
      </c>
      <c r="H9" s="79">
        <f>SUM(G9)</f>
        <v>0</v>
      </c>
      <c r="I9" s="103" t="str">
        <f>IF(ISBLANK($D$5),"",IF(ISERROR(ETPT_CA_JUR!I9),"",IF(ETPT_CA_JUR!I9=0,"",ETPT_CA_JUR!I9)))</f>
        <v/>
      </c>
      <c r="J9" s="103" t="str">
        <f>IF(ISBLANK($D$5),"",IF(ISERROR(ETPT_CA_JUR!J9),"",IF(ETPT_CA_JUR!J9=0,"",ETPT_CA_JUR!J9)))</f>
        <v/>
      </c>
      <c r="K9" s="103" t="str">
        <f>IF(ISBLANK($D$5),"",IF(ISERROR(ETPT_CA_JUR!K9),"",IF(ETPT_CA_JUR!K9=0,"",ETPT_CA_JUR!K9)))</f>
        <v/>
      </c>
      <c r="L9" s="103" t="str">
        <f>IF(ISBLANK($D$5),"",IF(ISERROR(ETPT_CA_JUR!L9),"",IF(ETPT_CA_JUR!L9=0,"",ETPT_CA_JUR!L9)))</f>
        <v/>
      </c>
      <c r="M9" s="103" t="str">
        <f>IF(ISBLANK($D$5),"",IF(ISERROR(ETPT_CA_JUR!M9),"",IF(ETPT_CA_JUR!M9=0,"",ETPT_CA_JUR!M9)))</f>
        <v/>
      </c>
      <c r="N9" s="103" t="str">
        <f>IF(ISBLANK($D$5),"",IF(ISERROR(ETPT_CA_JUR!N9),"",IF(ETPT_CA_JUR!N9=0,"",ETPT_CA_JUR!N9)))</f>
        <v/>
      </c>
      <c r="O9" s="79">
        <f t="shared" si="1"/>
        <v>0</v>
      </c>
      <c r="P9" s="103" t="str">
        <f>IF(ISBLANK($D$5),"",IF(ISERROR(ETPT_CA_JUR!P9),"",IF(ETPT_CA_JUR!P9=0,"",ETPT_CA_JUR!P9)))</f>
        <v/>
      </c>
      <c r="Q9" s="103" t="str">
        <f>IF(ISBLANK($D$5),"",IF(ISERROR(ETPT_CA_JUR!Q9),"",IF(ETPT_CA_JUR!Q9=0,"",ETPT_CA_JUR!Q9)))</f>
        <v/>
      </c>
      <c r="R9" s="103" t="str">
        <f>IF(ISBLANK($D$5),"",IF(ISERROR(ETPT_CA_JUR!R9),"",IF(ETPT_CA_JUR!R9=0,"",ETPT_CA_JUR!R9)))</f>
        <v/>
      </c>
      <c r="S9" s="79">
        <f t="shared" si="2"/>
        <v>0</v>
      </c>
      <c r="T9" s="103" t="str">
        <f>IF(ISBLANK($D$5),"",IF(ISERROR(ETPT_CA_JUR!T9),"",IF(ETPT_CA_JUR!T9=0,"",ETPT_CA_JUR!T9)))</f>
        <v/>
      </c>
      <c r="U9" s="103" t="str">
        <f>IF(ISBLANK($D$5),"",IF(ISERROR(ETPT_CA_JUR!U9),"",IF(ETPT_CA_JUR!U9=0,"",ETPT_CA_JUR!U9)))</f>
        <v/>
      </c>
      <c r="V9" s="103" t="str">
        <f>IF(ISBLANK($D$5),"",IF(ISERROR(ETPT_CA_JUR!V9),"",IF(ETPT_CA_JUR!V9=0,"",ETPT_CA_JUR!V9)))</f>
        <v/>
      </c>
      <c r="W9" s="103" t="str">
        <f>IF(ISBLANK($D$5),"",IF(ISERROR(ETPT_CA_JUR!W9),"",IF(ETPT_CA_JUR!W9=0,"",ETPT_CA_JUR!W9)))</f>
        <v/>
      </c>
      <c r="X9" s="103" t="str">
        <f>IF(ISBLANK($D$5),"",IF(ISERROR(ETPT_CA_JUR!X9),"",IF(ETPT_CA_JUR!X9=0,"",ETPT_CA_JUR!X9)))</f>
        <v/>
      </c>
      <c r="Y9" s="79">
        <f t="shared" si="3"/>
        <v>0</v>
      </c>
      <c r="Z9" s="103" t="str">
        <f>IF(ISBLANK($D$5),"",IF(ISERROR(ETPT_CA_JUR!Z9),"",IF(ETPT_CA_JUR!Z9=0,"",ETPT_CA_JUR!Z9)))</f>
        <v/>
      </c>
      <c r="AA9" s="103" t="str">
        <f>IF(ISBLANK($D$5),"",IF(ISERROR(ETPT_CA_JUR!AA9),"",IF(ETPT_CA_JUR!AA9=0,"",ETPT_CA_JUR!AA9)))</f>
        <v/>
      </c>
      <c r="AB9" s="103" t="str">
        <f>IF(ISBLANK($D$5),"",IF(ISERROR(ETPT_CA_JUR!AB9),"",IF(ETPT_CA_JUR!AB9=0,"",ETPT_CA_JUR!AB9)))</f>
        <v/>
      </c>
      <c r="AC9" s="103" t="str">
        <f>IF(ISBLANK($D$5),"",IF(ISERROR(ETPT_CA_JUR!AC9),"",IF(ETPT_CA_JUR!AC9=0,"",ETPT_CA_JUR!AC9)))</f>
        <v/>
      </c>
      <c r="AD9" s="103" t="str">
        <f>IF(ISBLANK($D$5),"",IF(ISERROR(ETPT_CA_JUR!AD9),"",IF(ETPT_CA_JUR!AD9=0,"",ETPT_CA_JUR!AD9)))</f>
        <v/>
      </c>
      <c r="AE9" s="79">
        <f t="shared" si="4"/>
        <v>0</v>
      </c>
    </row>
    <row r="10" spans="1:31" x14ac:dyDescent="0.2">
      <c r="A10" s="42"/>
      <c r="B10" s="41"/>
      <c r="C10" s="41"/>
      <c r="D10" s="38" t="str">
        <f t="shared" si="0"/>
        <v/>
      </c>
      <c r="E10" s="117" t="s">
        <v>55</v>
      </c>
      <c r="F10" s="117" t="s">
        <v>54</v>
      </c>
      <c r="G10" s="103" t="str">
        <f>IF(ISBLANK($D$5),"",IF(ISERROR(ETPT_CA_JUR!G10),"",IF(ETPT_CA_JUR!G10=0,"",ETPT_CA_JUR!G10)))</f>
        <v/>
      </c>
      <c r="H10" s="79">
        <f t="shared" ref="H10:H15" si="5">SUM(G10)</f>
        <v>0</v>
      </c>
      <c r="I10" s="103" t="str">
        <f>IF(ISBLANK($D$5),"",IF(ISERROR(ETPT_CA_JUR!I10),"",IF(ETPT_CA_JUR!I10=0,"",ETPT_CA_JUR!I10)))</f>
        <v/>
      </c>
      <c r="J10" s="103" t="str">
        <f>IF(ISBLANK($D$5),"",IF(ISERROR(ETPT_CA_JUR!J10),"",IF(ETPT_CA_JUR!J10=0,"",ETPT_CA_JUR!J10)))</f>
        <v/>
      </c>
      <c r="K10" s="103" t="str">
        <f>IF(ISBLANK($D$5),"",IF(ISERROR(ETPT_CA_JUR!K10),"",IF(ETPT_CA_JUR!K10=0,"",ETPT_CA_JUR!K10)))</f>
        <v/>
      </c>
      <c r="L10" s="103" t="str">
        <f>IF(ISBLANK($D$5),"",IF(ISERROR(ETPT_CA_JUR!L10),"",IF(ETPT_CA_JUR!L10=0,"",ETPT_CA_JUR!L10)))</f>
        <v/>
      </c>
      <c r="M10" s="103" t="str">
        <f>IF(ISBLANK($D$5),"",IF(ISERROR(ETPT_CA_JUR!M10),"",IF(ETPT_CA_JUR!M10=0,"",ETPT_CA_JUR!M10)))</f>
        <v/>
      </c>
      <c r="N10" s="103" t="str">
        <f>IF(ISBLANK($D$5),"",IF(ISERROR(ETPT_CA_JUR!N10),"",IF(ETPT_CA_JUR!N10=0,"",ETPT_CA_JUR!N10)))</f>
        <v/>
      </c>
      <c r="O10" s="79">
        <f t="shared" si="1"/>
        <v>0</v>
      </c>
      <c r="P10" s="103" t="str">
        <f>IF(ISBLANK($D$5),"",IF(ISERROR(ETPT_CA_JUR!P10),"",IF(ETPT_CA_JUR!P10=0,"",ETPT_CA_JUR!P10)))</f>
        <v/>
      </c>
      <c r="Q10" s="103" t="str">
        <f>IF(ISBLANK($D$5),"",IF(ISERROR(ETPT_CA_JUR!Q10),"",IF(ETPT_CA_JUR!Q10=0,"",ETPT_CA_JUR!Q10)))</f>
        <v/>
      </c>
      <c r="R10" s="103" t="str">
        <f>IF(ISBLANK($D$5),"",IF(ISERROR(ETPT_CA_JUR!R10),"",IF(ETPT_CA_JUR!R10=0,"",ETPT_CA_JUR!R10)))</f>
        <v/>
      </c>
      <c r="S10" s="79">
        <f t="shared" si="2"/>
        <v>0</v>
      </c>
      <c r="T10" s="103" t="str">
        <f>IF(ISBLANK($D$5),"",IF(ISERROR(ETPT_CA_JUR!T10),"",IF(ETPT_CA_JUR!T10=0,"",ETPT_CA_JUR!T10)))</f>
        <v/>
      </c>
      <c r="U10" s="103" t="str">
        <f>IF(ISBLANK($D$5),"",IF(ISERROR(ETPT_CA_JUR!U10),"",IF(ETPT_CA_JUR!U10=0,"",ETPT_CA_JUR!U10)))</f>
        <v/>
      </c>
      <c r="V10" s="103" t="str">
        <f>IF(ISBLANK($D$5),"",IF(ISERROR(ETPT_CA_JUR!V10),"",IF(ETPT_CA_JUR!V10=0,"",ETPT_CA_JUR!V10)))</f>
        <v/>
      </c>
      <c r="W10" s="103" t="str">
        <f>IF(ISBLANK($D$5),"",IF(ISERROR(ETPT_CA_JUR!W10),"",IF(ETPT_CA_JUR!W10=0,"",ETPT_CA_JUR!W10)))</f>
        <v/>
      </c>
      <c r="X10" s="103" t="str">
        <f>IF(ISBLANK($D$5),"",IF(ISERROR(ETPT_CA_JUR!X10),"",IF(ETPT_CA_JUR!X10=0,"",ETPT_CA_JUR!X10)))</f>
        <v/>
      </c>
      <c r="Y10" s="79">
        <f t="shared" si="3"/>
        <v>0</v>
      </c>
      <c r="Z10" s="103" t="str">
        <f>IF(ISBLANK($D$5),"",IF(ISERROR(ETPT_CA_JUR!Z10),"",IF(ETPT_CA_JUR!Z10=0,"",ETPT_CA_JUR!Z10)))</f>
        <v/>
      </c>
      <c r="AA10" s="103" t="str">
        <f>IF(ISBLANK($D$5),"",IF(ISERROR(ETPT_CA_JUR!AA10),"",IF(ETPT_CA_JUR!AA10=0,"",ETPT_CA_JUR!AA10)))</f>
        <v/>
      </c>
      <c r="AB10" s="103" t="str">
        <f>IF(ISBLANK($D$5),"",IF(ISERROR(ETPT_CA_JUR!AB10),"",IF(ETPT_CA_JUR!AB10=0,"",ETPT_CA_JUR!AB10)))</f>
        <v/>
      </c>
      <c r="AC10" s="103" t="str">
        <f>IF(ISBLANK($D$5),"",IF(ISERROR(ETPT_CA_JUR!AC10),"",IF(ETPT_CA_JUR!AC10=0,"",ETPT_CA_JUR!AC10)))</f>
        <v/>
      </c>
      <c r="AD10" s="103" t="str">
        <f>IF(ISBLANK($D$5),"",IF(ISERROR(ETPT_CA_JUR!AD10),"",IF(ETPT_CA_JUR!AD10=0,"",ETPT_CA_JUR!AD10)))</f>
        <v/>
      </c>
      <c r="AE10" s="79">
        <f t="shared" si="4"/>
        <v>0</v>
      </c>
    </row>
    <row r="11" spans="1:31" x14ac:dyDescent="0.2">
      <c r="A11" s="42"/>
      <c r="B11" s="41"/>
      <c r="C11" s="41"/>
      <c r="D11" s="38" t="str">
        <f t="shared" si="0"/>
        <v/>
      </c>
      <c r="E11" s="117" t="s">
        <v>53</v>
      </c>
      <c r="F11" s="117" t="s">
        <v>52</v>
      </c>
      <c r="G11" s="103" t="str">
        <f>IF(ISBLANK($D$5),"",IF(ISERROR(ETPT_CA_JUR!G11),"",IF(ETPT_CA_JUR!G11=0,"",ETPT_CA_JUR!G11)))</f>
        <v/>
      </c>
      <c r="H11" s="79">
        <f t="shared" si="5"/>
        <v>0</v>
      </c>
      <c r="I11" s="103" t="str">
        <f>IF(ISBLANK($D$5),"",IF(ISERROR(ETPT_CA_JUR!I11),"",IF(ETPT_CA_JUR!I11=0,"",ETPT_CA_JUR!I11)))</f>
        <v/>
      </c>
      <c r="J11" s="103" t="str">
        <f>IF(ISBLANK($D$5),"",IF(ISERROR(ETPT_CA_JUR!J11),"",IF(ETPT_CA_JUR!J11=0,"",ETPT_CA_JUR!J11)))</f>
        <v/>
      </c>
      <c r="K11" s="103" t="str">
        <f>IF(ISBLANK($D$5),"",IF(ISERROR(ETPT_CA_JUR!K11),"",IF(ETPT_CA_JUR!K11=0,"",ETPT_CA_JUR!K11)))</f>
        <v/>
      </c>
      <c r="L11" s="103" t="str">
        <f>IF(ISBLANK($D$5),"",IF(ISERROR(ETPT_CA_JUR!L11),"",IF(ETPT_CA_JUR!L11=0,"",ETPT_CA_JUR!L11)))</f>
        <v/>
      </c>
      <c r="M11" s="103" t="str">
        <f>IF(ISBLANK($D$5),"",IF(ISERROR(ETPT_CA_JUR!M11),"",IF(ETPT_CA_JUR!M11=0,"",ETPT_CA_JUR!M11)))</f>
        <v/>
      </c>
      <c r="N11" s="103" t="str">
        <f>IF(ISBLANK($D$5),"",IF(ISERROR(ETPT_CA_JUR!N11),"",IF(ETPT_CA_JUR!N11=0,"",ETPT_CA_JUR!N11)))</f>
        <v/>
      </c>
      <c r="O11" s="79">
        <f t="shared" si="1"/>
        <v>0</v>
      </c>
      <c r="P11" s="103" t="str">
        <f>IF(ISBLANK($D$5),"",IF(ISERROR(ETPT_CA_JUR!P11),"",IF(ETPT_CA_JUR!P11=0,"",ETPT_CA_JUR!P11)))</f>
        <v/>
      </c>
      <c r="Q11" s="103" t="str">
        <f>IF(ISBLANK($D$5),"",IF(ISERROR(ETPT_CA_JUR!Q11),"",IF(ETPT_CA_JUR!Q11=0,"",ETPT_CA_JUR!Q11)))</f>
        <v/>
      </c>
      <c r="R11" s="103" t="str">
        <f>IF(ISBLANK($D$5),"",IF(ISERROR(ETPT_CA_JUR!R11),"",IF(ETPT_CA_JUR!R11=0,"",ETPT_CA_JUR!R11)))</f>
        <v/>
      </c>
      <c r="S11" s="79">
        <f t="shared" si="2"/>
        <v>0</v>
      </c>
      <c r="T11" s="103" t="str">
        <f>IF(ISBLANK($D$5),"",IF(ISERROR(ETPT_CA_JUR!T11),"",IF(ETPT_CA_JUR!T11=0,"",ETPT_CA_JUR!T11)))</f>
        <v/>
      </c>
      <c r="U11" s="103" t="str">
        <f>IF(ISBLANK($D$5),"",IF(ISERROR(ETPT_CA_JUR!U11),"",IF(ETPT_CA_JUR!U11=0,"",ETPT_CA_JUR!U11)))</f>
        <v/>
      </c>
      <c r="V11" s="103" t="str">
        <f>IF(ISBLANK($D$5),"",IF(ISERROR(ETPT_CA_JUR!V11),"",IF(ETPT_CA_JUR!V11=0,"",ETPT_CA_JUR!V11)))</f>
        <v/>
      </c>
      <c r="W11" s="103" t="str">
        <f>IF(ISBLANK($D$5),"",IF(ISERROR(ETPT_CA_JUR!W11),"",IF(ETPT_CA_JUR!W11=0,"",ETPT_CA_JUR!W11)))</f>
        <v/>
      </c>
      <c r="X11" s="103" t="str">
        <f>IF(ISBLANK($D$5),"",IF(ISERROR(ETPT_CA_JUR!X11),"",IF(ETPT_CA_JUR!X11=0,"",ETPT_CA_JUR!X11)))</f>
        <v/>
      </c>
      <c r="Y11" s="79">
        <f t="shared" si="3"/>
        <v>0</v>
      </c>
      <c r="Z11" s="103" t="str">
        <f>IF(ISBLANK($D$5),"",IF(ISERROR(ETPT_CA_JUR!Z11),"",IF(ETPT_CA_JUR!Z11=0,"",ETPT_CA_JUR!Z11)))</f>
        <v/>
      </c>
      <c r="AA11" s="103" t="str">
        <f>IF(ISBLANK($D$5),"",IF(ISERROR(ETPT_CA_JUR!AA11),"",IF(ETPT_CA_JUR!AA11=0,"",ETPT_CA_JUR!AA11)))</f>
        <v/>
      </c>
      <c r="AB11" s="103" t="str">
        <f>IF(ISBLANK($D$5),"",IF(ISERROR(ETPT_CA_JUR!AB11),"",IF(ETPT_CA_JUR!AB11=0,"",ETPT_CA_JUR!AB11)))</f>
        <v/>
      </c>
      <c r="AC11" s="103" t="str">
        <f>IF(ISBLANK($D$5),"",IF(ISERROR(ETPT_CA_JUR!AC11),"",IF(ETPT_CA_JUR!AC11=0,"",ETPT_CA_JUR!AC11)))</f>
        <v/>
      </c>
      <c r="AD11" s="103" t="str">
        <f>IF(ISBLANK($D$5),"",IF(ISERROR(ETPT_CA_JUR!AD11),"",IF(ETPT_CA_JUR!AD11=0,"",ETPT_CA_JUR!AD11)))</f>
        <v/>
      </c>
      <c r="AE11" s="79">
        <f t="shared" si="4"/>
        <v>0</v>
      </c>
    </row>
    <row r="12" spans="1:31" x14ac:dyDescent="0.2">
      <c r="A12" s="42"/>
      <c r="B12" s="41"/>
      <c r="C12" s="41"/>
      <c r="D12" s="38" t="str">
        <f t="shared" si="0"/>
        <v/>
      </c>
      <c r="E12" s="117" t="s">
        <v>51</v>
      </c>
      <c r="F12" s="117" t="s">
        <v>50</v>
      </c>
      <c r="G12" s="103" t="str">
        <f>IF(ISBLANK($D$5),"",IF(ISERROR(ETPT_CA_JUR!G12),"",IF(ETPT_CA_JUR!G12=0,"",ETPT_CA_JUR!G12)))</f>
        <v/>
      </c>
      <c r="H12" s="79">
        <f t="shared" si="5"/>
        <v>0</v>
      </c>
      <c r="I12" s="103" t="str">
        <f>IF(ISBLANK($D$5),"",IF(ISERROR(ETPT_CA_JUR!I12),"",IF(ETPT_CA_JUR!I12=0,"",ETPT_CA_JUR!I12)))</f>
        <v/>
      </c>
      <c r="J12" s="103" t="str">
        <f>IF(ISBLANK($D$5),"",IF(ISERROR(ETPT_CA_JUR!J12),"",IF(ETPT_CA_JUR!J12=0,"",ETPT_CA_JUR!J12)))</f>
        <v/>
      </c>
      <c r="K12" s="103" t="str">
        <f>IF(ISBLANK($D$5),"",IF(ISERROR(ETPT_CA_JUR!K12),"",IF(ETPT_CA_JUR!K12=0,"",ETPT_CA_JUR!K12)))</f>
        <v/>
      </c>
      <c r="L12" s="103" t="str">
        <f>IF(ISBLANK($D$5),"",IF(ISERROR(ETPT_CA_JUR!L12),"",IF(ETPT_CA_JUR!L12=0,"",ETPT_CA_JUR!L12)))</f>
        <v/>
      </c>
      <c r="M12" s="103" t="str">
        <f>IF(ISBLANK($D$5),"",IF(ISERROR(ETPT_CA_JUR!M12),"",IF(ETPT_CA_JUR!M12=0,"",ETPT_CA_JUR!M12)))</f>
        <v/>
      </c>
      <c r="N12" s="103" t="str">
        <f>IF(ISBLANK($D$5),"",IF(ISERROR(ETPT_CA_JUR!N12),"",IF(ETPT_CA_JUR!N12=0,"",ETPT_CA_JUR!N12)))</f>
        <v/>
      </c>
      <c r="O12" s="79">
        <f t="shared" si="1"/>
        <v>0</v>
      </c>
      <c r="P12" s="103" t="str">
        <f>IF(ISBLANK($D$5),"",IF(ISERROR(ETPT_CA_JUR!P12),"",IF(ETPT_CA_JUR!P12=0,"",ETPT_CA_JUR!P12)))</f>
        <v/>
      </c>
      <c r="Q12" s="103" t="str">
        <f>IF(ISBLANK($D$5),"",IF(ISERROR(ETPT_CA_JUR!Q12),"",IF(ETPT_CA_JUR!Q12=0,"",ETPT_CA_JUR!Q12)))</f>
        <v/>
      </c>
      <c r="R12" s="103" t="str">
        <f>IF(ISBLANK($D$5),"",IF(ISERROR(ETPT_CA_JUR!R12),"",IF(ETPT_CA_JUR!R12=0,"",ETPT_CA_JUR!R12)))</f>
        <v/>
      </c>
      <c r="S12" s="79">
        <f t="shared" si="2"/>
        <v>0</v>
      </c>
      <c r="T12" s="103" t="str">
        <f>IF(ISBLANK($D$5),"",IF(ISERROR(ETPT_CA_JUR!T12),"",IF(ETPT_CA_JUR!T12=0,"",ETPT_CA_JUR!T12)))</f>
        <v/>
      </c>
      <c r="U12" s="103" t="str">
        <f>IF(ISBLANK($D$5),"",IF(ISERROR(ETPT_CA_JUR!U12),"",IF(ETPT_CA_JUR!U12=0,"",ETPT_CA_JUR!U12)))</f>
        <v/>
      </c>
      <c r="V12" s="103" t="str">
        <f>IF(ISBLANK($D$5),"",IF(ISERROR(ETPT_CA_JUR!V12),"",IF(ETPT_CA_JUR!V12=0,"",ETPT_CA_JUR!V12)))</f>
        <v/>
      </c>
      <c r="W12" s="103" t="str">
        <f>IF(ISBLANK($D$5),"",IF(ISERROR(ETPT_CA_JUR!W12),"",IF(ETPT_CA_JUR!W12=0,"",ETPT_CA_JUR!W12)))</f>
        <v/>
      </c>
      <c r="X12" s="103" t="str">
        <f>IF(ISBLANK($D$5),"",IF(ISERROR(ETPT_CA_JUR!X12),"",IF(ETPT_CA_JUR!X12=0,"",ETPT_CA_JUR!X12)))</f>
        <v/>
      </c>
      <c r="Y12" s="79">
        <f t="shared" si="3"/>
        <v>0</v>
      </c>
      <c r="Z12" s="103" t="str">
        <f>IF(ISBLANK($D$5),"",IF(ISERROR(ETPT_CA_JUR!Z12),"",IF(ETPT_CA_JUR!Z12=0,"",ETPT_CA_JUR!Z12)))</f>
        <v/>
      </c>
      <c r="AA12" s="103" t="str">
        <f>IF(ISBLANK($D$5),"",IF(ISERROR(ETPT_CA_JUR!AA12),"",IF(ETPT_CA_JUR!AA12=0,"",ETPT_CA_JUR!AA12)))</f>
        <v/>
      </c>
      <c r="AB12" s="103" t="str">
        <f>IF(ISBLANK($D$5),"",IF(ISERROR(ETPT_CA_JUR!AB12),"",IF(ETPT_CA_JUR!AB12=0,"",ETPT_CA_JUR!AB12)))</f>
        <v/>
      </c>
      <c r="AC12" s="103" t="str">
        <f>IF(ISBLANK($D$5),"",IF(ISERROR(ETPT_CA_JUR!AC12),"",IF(ETPT_CA_JUR!AC12=0,"",ETPT_CA_JUR!AC12)))</f>
        <v/>
      </c>
      <c r="AD12" s="103" t="str">
        <f>IF(ISBLANK($D$5),"",IF(ISERROR(ETPT_CA_JUR!AD12),"",IF(ETPT_CA_JUR!AD12=0,"",ETPT_CA_JUR!AD12)))</f>
        <v/>
      </c>
      <c r="AE12" s="79">
        <f t="shared" si="4"/>
        <v>0</v>
      </c>
    </row>
    <row r="13" spans="1:31" x14ac:dyDescent="0.2">
      <c r="A13" s="42"/>
      <c r="B13" s="41"/>
      <c r="C13" s="41"/>
      <c r="D13" s="38" t="str">
        <f t="shared" si="0"/>
        <v/>
      </c>
      <c r="E13" s="117" t="s">
        <v>49</v>
      </c>
      <c r="F13" s="117" t="s">
        <v>48</v>
      </c>
      <c r="G13" s="103" t="str">
        <f>IF(ISBLANK($D$5),"",IF(ISERROR(ETPT_CA_JUR!G13),"",IF(ETPT_CA_JUR!G13=0,"",ETPT_CA_JUR!G13)))</f>
        <v/>
      </c>
      <c r="H13" s="79">
        <f t="shared" si="5"/>
        <v>0</v>
      </c>
      <c r="I13" s="103" t="str">
        <f>IF(ISBLANK($D$5),"",IF(ISERROR(ETPT_CA_JUR!I13),"",IF(ETPT_CA_JUR!I13=0,"",ETPT_CA_JUR!I13)))</f>
        <v/>
      </c>
      <c r="J13" s="103" t="str">
        <f>IF(ISBLANK($D$5),"",IF(ISERROR(ETPT_CA_JUR!J13),"",IF(ETPT_CA_JUR!J13=0,"",ETPT_CA_JUR!J13)))</f>
        <v/>
      </c>
      <c r="K13" s="103" t="str">
        <f>IF(ISBLANK($D$5),"",IF(ISERROR(ETPT_CA_JUR!K13),"",IF(ETPT_CA_JUR!K13=0,"",ETPT_CA_JUR!K13)))</f>
        <v/>
      </c>
      <c r="L13" s="103" t="str">
        <f>IF(ISBLANK($D$5),"",IF(ISERROR(ETPT_CA_JUR!L13),"",IF(ETPT_CA_JUR!L13=0,"",ETPT_CA_JUR!L13)))</f>
        <v/>
      </c>
      <c r="M13" s="103" t="str">
        <f>IF(ISBLANK($D$5),"",IF(ISERROR(ETPT_CA_JUR!M13),"",IF(ETPT_CA_JUR!M13=0,"",ETPT_CA_JUR!M13)))</f>
        <v/>
      </c>
      <c r="N13" s="103" t="str">
        <f>IF(ISBLANK($D$5),"",IF(ISERROR(ETPT_CA_JUR!N13),"",IF(ETPT_CA_JUR!N13=0,"",ETPT_CA_JUR!N13)))</f>
        <v/>
      </c>
      <c r="O13" s="79">
        <f t="shared" si="1"/>
        <v>0</v>
      </c>
      <c r="P13" s="103" t="str">
        <f>IF(ISBLANK($D$5),"",IF(ISERROR(ETPT_CA_JUR!P13),"",IF(ETPT_CA_JUR!P13=0,"",ETPT_CA_JUR!P13)))</f>
        <v/>
      </c>
      <c r="Q13" s="103" t="str">
        <f>IF(ISBLANK($D$5),"",IF(ISERROR(ETPT_CA_JUR!Q13),"",IF(ETPT_CA_JUR!Q13=0,"",ETPT_CA_JUR!Q13)))</f>
        <v/>
      </c>
      <c r="R13" s="103" t="str">
        <f>IF(ISBLANK($D$5),"",IF(ISERROR(ETPT_CA_JUR!R13),"",IF(ETPT_CA_JUR!R13=0,"",ETPT_CA_JUR!R13)))</f>
        <v/>
      </c>
      <c r="S13" s="79">
        <f t="shared" si="2"/>
        <v>0</v>
      </c>
      <c r="T13" s="103" t="str">
        <f>IF(ISBLANK($D$5),"",IF(ISERROR(ETPT_CA_JUR!T13),"",IF(ETPT_CA_JUR!T13=0,"",ETPT_CA_JUR!T13)))</f>
        <v/>
      </c>
      <c r="U13" s="103" t="str">
        <f>IF(ISBLANK($D$5),"",IF(ISERROR(ETPT_CA_JUR!U13),"",IF(ETPT_CA_JUR!U13=0,"",ETPT_CA_JUR!U13)))</f>
        <v/>
      </c>
      <c r="V13" s="103" t="str">
        <f>IF(ISBLANK($D$5),"",IF(ISERROR(ETPT_CA_JUR!V13),"",IF(ETPT_CA_JUR!V13=0,"",ETPT_CA_JUR!V13)))</f>
        <v/>
      </c>
      <c r="W13" s="103" t="str">
        <f>IF(ISBLANK($D$5),"",IF(ISERROR(ETPT_CA_JUR!W13),"",IF(ETPT_CA_JUR!W13=0,"",ETPT_CA_JUR!W13)))</f>
        <v/>
      </c>
      <c r="X13" s="103" t="str">
        <f>IF(ISBLANK($D$5),"",IF(ISERROR(ETPT_CA_JUR!X13),"",IF(ETPT_CA_JUR!X13=0,"",ETPT_CA_JUR!X13)))</f>
        <v/>
      </c>
      <c r="Y13" s="79">
        <f t="shared" si="3"/>
        <v>0</v>
      </c>
      <c r="Z13" s="103" t="str">
        <f>IF(ISBLANK($D$5),"",IF(ISERROR(ETPT_CA_JUR!Z13),"",IF(ETPT_CA_JUR!Z13=0,"",ETPT_CA_JUR!Z13)))</f>
        <v/>
      </c>
      <c r="AA13" s="103" t="str">
        <f>IF(ISBLANK($D$5),"",IF(ISERROR(ETPT_CA_JUR!AA13),"",IF(ETPT_CA_JUR!AA13=0,"",ETPT_CA_JUR!AA13)))</f>
        <v/>
      </c>
      <c r="AB13" s="103" t="str">
        <f>IF(ISBLANK($D$5),"",IF(ISERROR(ETPT_CA_JUR!AB13),"",IF(ETPT_CA_JUR!AB13=0,"",ETPT_CA_JUR!AB13)))</f>
        <v/>
      </c>
      <c r="AC13" s="103" t="str">
        <f>IF(ISBLANK($D$5),"",IF(ISERROR(ETPT_CA_JUR!AC13),"",IF(ETPT_CA_JUR!AC13=0,"",ETPT_CA_JUR!AC13)))</f>
        <v/>
      </c>
      <c r="AD13" s="103" t="str">
        <f>IF(ISBLANK($D$5),"",IF(ISERROR(ETPT_CA_JUR!AD13),"",IF(ETPT_CA_JUR!AD13=0,"",ETPT_CA_JUR!AD13)))</f>
        <v/>
      </c>
      <c r="AE13" s="79">
        <f t="shared" si="4"/>
        <v>0</v>
      </c>
    </row>
    <row r="14" spans="1:31" x14ac:dyDescent="0.2">
      <c r="A14" s="40"/>
      <c r="B14" s="39"/>
      <c r="C14" s="39"/>
      <c r="D14" s="38" t="str">
        <f t="shared" si="0"/>
        <v/>
      </c>
      <c r="E14" s="117" t="s">
        <v>47</v>
      </c>
      <c r="F14" s="117" t="s">
        <v>46</v>
      </c>
      <c r="G14" s="103" t="str">
        <f>IF(ISBLANK($D$5),"",IF(ISERROR(ETPT_CA_JUR!G14),"",IF(ETPT_CA_JUR!G14=0,"",ETPT_CA_JUR!G14)))</f>
        <v/>
      </c>
      <c r="H14" s="79">
        <f t="shared" si="5"/>
        <v>0</v>
      </c>
      <c r="I14" s="103" t="str">
        <f>IF(ISBLANK($D$5),"",IF(ISERROR(ETPT_CA_JUR!I14),"",IF(ETPT_CA_JUR!I14=0,"",ETPT_CA_JUR!I14)))</f>
        <v/>
      </c>
      <c r="J14" s="103" t="str">
        <f>IF(ISBLANK($D$5),"",IF(ISERROR(ETPT_CA_JUR!J14),"",IF(ETPT_CA_JUR!J14=0,"",ETPT_CA_JUR!J14)))</f>
        <v/>
      </c>
      <c r="K14" s="103" t="str">
        <f>IF(ISBLANK($D$5),"",IF(ISERROR(ETPT_CA_JUR!K14),"",IF(ETPT_CA_JUR!K14=0,"",ETPT_CA_JUR!K14)))</f>
        <v/>
      </c>
      <c r="L14" s="103" t="str">
        <f>IF(ISBLANK($D$5),"",IF(ISERROR(ETPT_CA_JUR!L14),"",IF(ETPT_CA_JUR!L14=0,"",ETPT_CA_JUR!L14)))</f>
        <v/>
      </c>
      <c r="M14" s="103" t="str">
        <f>IF(ISBLANK($D$5),"",IF(ISERROR(ETPT_CA_JUR!M14),"",IF(ETPT_CA_JUR!M14=0,"",ETPT_CA_JUR!M14)))</f>
        <v/>
      </c>
      <c r="N14" s="103" t="str">
        <f>IF(ISBLANK($D$5),"",IF(ISERROR(ETPT_CA_JUR!N14),"",IF(ETPT_CA_JUR!N14=0,"",ETPT_CA_JUR!N14)))</f>
        <v/>
      </c>
      <c r="O14" s="79">
        <f t="shared" si="1"/>
        <v>0</v>
      </c>
      <c r="P14" s="103" t="str">
        <f>IF(ISBLANK($D$5),"",IF(ISERROR(ETPT_CA_JUR!P14),"",IF(ETPT_CA_JUR!P14=0,"",ETPT_CA_JUR!P14)))</f>
        <v/>
      </c>
      <c r="Q14" s="103" t="str">
        <f>IF(ISBLANK($D$5),"",IF(ISERROR(ETPT_CA_JUR!Q14),"",IF(ETPT_CA_JUR!Q14=0,"",ETPT_CA_JUR!Q14)))</f>
        <v/>
      </c>
      <c r="R14" s="103" t="str">
        <f>IF(ISBLANK($D$5),"",IF(ISERROR(ETPT_CA_JUR!R14),"",IF(ETPT_CA_JUR!R14=0,"",ETPT_CA_JUR!R14)))</f>
        <v/>
      </c>
      <c r="S14" s="79">
        <f t="shared" si="2"/>
        <v>0</v>
      </c>
      <c r="T14" s="103" t="str">
        <f>IF(ISBLANK($D$5),"",IF(ISERROR(ETPT_CA_JUR!T14),"",IF(ETPT_CA_JUR!T14=0,"",ETPT_CA_JUR!T14)))</f>
        <v/>
      </c>
      <c r="U14" s="103" t="str">
        <f>IF(ISBLANK($D$5),"",IF(ISERROR(ETPT_CA_JUR!U14),"",IF(ETPT_CA_JUR!U14=0,"",ETPT_CA_JUR!U14)))</f>
        <v/>
      </c>
      <c r="V14" s="103" t="str">
        <f>IF(ISBLANK($D$5),"",IF(ISERROR(ETPT_CA_JUR!V14),"",IF(ETPT_CA_JUR!V14=0,"",ETPT_CA_JUR!V14)))</f>
        <v/>
      </c>
      <c r="W14" s="103" t="str">
        <f>IF(ISBLANK($D$5),"",IF(ISERROR(ETPT_CA_JUR!W14),"",IF(ETPT_CA_JUR!W14=0,"",ETPT_CA_JUR!W14)))</f>
        <v/>
      </c>
      <c r="X14" s="103" t="str">
        <f>IF(ISBLANK($D$5),"",IF(ISERROR(ETPT_CA_JUR!X14),"",IF(ETPT_CA_JUR!X14=0,"",ETPT_CA_JUR!X14)))</f>
        <v/>
      </c>
      <c r="Y14" s="79">
        <f t="shared" si="3"/>
        <v>0</v>
      </c>
      <c r="Z14" s="103" t="str">
        <f>IF(ISBLANK($D$5),"",IF(ISERROR(ETPT_CA_JUR!Z14),"",IF(ETPT_CA_JUR!Z14=0,"",ETPT_CA_JUR!Z14)))</f>
        <v/>
      </c>
      <c r="AA14" s="103" t="str">
        <f>IF(ISBLANK($D$5),"",IF(ISERROR(ETPT_CA_JUR!AA14),"",IF(ETPT_CA_JUR!AA14=0,"",ETPT_CA_JUR!AA14)))</f>
        <v/>
      </c>
      <c r="AB14" s="103" t="str">
        <f>IF(ISBLANK($D$5),"",IF(ISERROR(ETPT_CA_JUR!AB14),"",IF(ETPT_CA_JUR!AB14=0,"",ETPT_CA_JUR!AB14)))</f>
        <v/>
      </c>
      <c r="AC14" s="103" t="str">
        <f>IF(ISBLANK($D$5),"",IF(ISERROR(ETPT_CA_JUR!AC14),"",IF(ETPT_CA_JUR!AC14=0,"",ETPT_CA_JUR!AC14)))</f>
        <v/>
      </c>
      <c r="AD14" s="103" t="str">
        <f>IF(ISBLANK($D$5),"",IF(ISERROR(ETPT_CA_JUR!AD14),"",IF(ETPT_CA_JUR!AD14=0,"",ETPT_CA_JUR!AD14)))</f>
        <v/>
      </c>
      <c r="AE14" s="79">
        <f t="shared" si="4"/>
        <v>0</v>
      </c>
    </row>
    <row r="15" spans="1:31" x14ac:dyDescent="0.2">
      <c r="D15" s="38" t="str">
        <f t="shared" si="0"/>
        <v/>
      </c>
      <c r="E15" s="117" t="s">
        <v>225</v>
      </c>
      <c r="F15" s="117" t="s">
        <v>226</v>
      </c>
      <c r="G15" s="103" t="str">
        <f>IF(ISBLANK($D$5),"",IF(ISERROR(ETPT_CA_JUR!G15),"",IF(ETPT_CA_JUR!G15=0,"",ETPT_CA_JUR!G15)))</f>
        <v/>
      </c>
      <c r="H15" s="79">
        <f t="shared" si="5"/>
        <v>0</v>
      </c>
      <c r="I15" s="103" t="str">
        <f>IF(ISBLANK($D$5),"",IF(ISERROR(ETPT_CA_JUR!I15),"",IF(ETPT_CA_JUR!I15=0,"",ETPT_CA_JUR!I15)))</f>
        <v/>
      </c>
      <c r="J15" s="103" t="str">
        <f>IF(ISBLANK($D$5),"",IF(ISERROR(ETPT_CA_JUR!J15),"",IF(ETPT_CA_JUR!J15=0,"",ETPT_CA_JUR!J15)))</f>
        <v/>
      </c>
      <c r="K15" s="103" t="str">
        <f>IF(ISBLANK($D$5),"",IF(ISERROR(ETPT_CA_JUR!K15),"",IF(ETPT_CA_JUR!K15=0,"",ETPT_CA_JUR!K15)))</f>
        <v/>
      </c>
      <c r="L15" s="103" t="str">
        <f>IF(ISBLANK($D$5),"",IF(ISERROR(ETPT_CA_JUR!L15),"",IF(ETPT_CA_JUR!L15=0,"",ETPT_CA_JUR!L15)))</f>
        <v/>
      </c>
      <c r="M15" s="103" t="str">
        <f>IF(ISBLANK($D$5),"",IF(ISERROR(ETPT_CA_JUR!M15),"",IF(ETPT_CA_JUR!M15=0,"",ETPT_CA_JUR!M15)))</f>
        <v/>
      </c>
      <c r="N15" s="103" t="str">
        <f>IF(ISBLANK($D$5),"",IF(ISERROR(ETPT_CA_JUR!N15),"",IF(ETPT_CA_JUR!N15=0,"",ETPT_CA_JUR!N15)))</f>
        <v/>
      </c>
      <c r="O15" s="79">
        <f t="shared" si="1"/>
        <v>0</v>
      </c>
      <c r="P15" s="103" t="str">
        <f>IF(ISBLANK($D$5),"",IF(ISERROR(ETPT_CA_JUR!P15),"",IF(ETPT_CA_JUR!P15=0,"",ETPT_CA_JUR!P15)))</f>
        <v/>
      </c>
      <c r="Q15" s="103" t="str">
        <f>IF(ISBLANK($D$5),"",IF(ISERROR(ETPT_CA_JUR!Q15),"",IF(ETPT_CA_JUR!Q15=0,"",ETPT_CA_JUR!Q15)))</f>
        <v/>
      </c>
      <c r="R15" s="103" t="str">
        <f>IF(ISBLANK($D$5),"",IF(ISERROR(ETPT_CA_JUR!R15),"",IF(ETPT_CA_JUR!R15=0,"",ETPT_CA_JUR!R15)))</f>
        <v/>
      </c>
      <c r="S15" s="79">
        <f t="shared" si="2"/>
        <v>0</v>
      </c>
      <c r="T15" s="103" t="str">
        <f>IF(ISBLANK($D$5),"",IF(ISERROR(ETPT_CA_JUR!T15),"",IF(ETPT_CA_JUR!T15=0,"",ETPT_CA_JUR!T15)))</f>
        <v/>
      </c>
      <c r="U15" s="103" t="str">
        <f>IF(ISBLANK($D$5),"",IF(ISERROR(ETPT_CA_JUR!U15),"",IF(ETPT_CA_JUR!U15=0,"",ETPT_CA_JUR!U15)))</f>
        <v/>
      </c>
      <c r="V15" s="103" t="str">
        <f>IF(ISBLANK($D$5),"",IF(ISERROR(ETPT_CA_JUR!V15),"",IF(ETPT_CA_JUR!V15=0,"",ETPT_CA_JUR!V15)))</f>
        <v/>
      </c>
      <c r="W15" s="103" t="str">
        <f>IF(ISBLANK($D$5),"",IF(ISERROR(ETPT_CA_JUR!W15),"",IF(ETPT_CA_JUR!W15=0,"",ETPT_CA_JUR!W15)))</f>
        <v/>
      </c>
      <c r="X15" s="103" t="str">
        <f>IF(ISBLANK($D$5),"",IF(ISERROR(ETPT_CA_JUR!X15),"",IF(ETPT_CA_JUR!X15=0,"",ETPT_CA_JUR!X15)))</f>
        <v/>
      </c>
      <c r="Y15" s="79">
        <f t="shared" si="3"/>
        <v>0</v>
      </c>
      <c r="Z15" s="103" t="str">
        <f>IF(ISBLANK($D$5),"",IF(ISERROR(ETPT_CA_JUR!Z15),"",IF(ETPT_CA_JUR!Z15=0,"",ETPT_CA_JUR!Z15)))</f>
        <v/>
      </c>
      <c r="AA15" s="103" t="str">
        <f>IF(ISBLANK($D$5),"",IF(ISERROR(ETPT_CA_JUR!AA15),"",IF(ETPT_CA_JUR!AA15=0,"",ETPT_CA_JUR!AA15)))</f>
        <v/>
      </c>
      <c r="AB15" s="103" t="str">
        <f>IF(ISBLANK($D$5),"",IF(ISERROR(ETPT_CA_JUR!AB15),"",IF(ETPT_CA_JUR!AB15=0,"",ETPT_CA_JUR!AB15)))</f>
        <v/>
      </c>
      <c r="AC15" s="103" t="str">
        <f>IF(ISBLANK($D$5),"",IF(ISERROR(ETPT_CA_JUR!AC15),"",IF(ETPT_CA_JUR!AC15=0,"",ETPT_CA_JUR!AC15)))</f>
        <v/>
      </c>
      <c r="AD15" s="103" t="str">
        <f>IF(ISBLANK($D$5),"",IF(ISERROR(ETPT_CA_JUR!AD15),"",IF(ETPT_CA_JUR!AD15=0,"",ETPT_CA_JUR!AD15)))</f>
        <v/>
      </c>
      <c r="AE15" s="79">
        <f t="shared" si="4"/>
        <v>0</v>
      </c>
    </row>
    <row r="16" spans="1:31" x14ac:dyDescent="0.2">
      <c r="D16" s="39"/>
      <c r="E16" s="117" t="s">
        <v>45</v>
      </c>
      <c r="F16" s="117" t="s">
        <v>44</v>
      </c>
      <c r="G16" s="103" t="str">
        <f>IF(ISBLANK($D$5),"",IF(ISERROR(ETPT_CA_JUR!G16),"",IF(ETPT_CA_JUR!G16=0,"",ETPT_CA_JUR!G16)))</f>
        <v/>
      </c>
      <c r="H16" s="79">
        <f>SUM(G16)</f>
        <v>0</v>
      </c>
      <c r="I16" s="103" t="str">
        <f>IF(ISBLANK($D$5),"",IF(ISERROR(ETPT_CA_JUR!I16),"",IF(ETPT_CA_JUR!I16=0,"",ETPT_CA_JUR!I16)))</f>
        <v/>
      </c>
      <c r="J16" s="103" t="str">
        <f>IF(ISBLANK($D$5),"",IF(ISERROR(ETPT_CA_JUR!J16),"",IF(ETPT_CA_JUR!J16=0,"",ETPT_CA_JUR!J16)))</f>
        <v/>
      </c>
      <c r="K16" s="103" t="str">
        <f>IF(ISBLANK($D$5),"",IF(ISERROR(ETPT_CA_JUR!K16),"",IF(ETPT_CA_JUR!K16=0,"",ETPT_CA_JUR!K16)))</f>
        <v/>
      </c>
      <c r="L16" s="103" t="str">
        <f>IF(ISBLANK($D$5),"",IF(ISERROR(ETPT_CA_JUR!L16),"",IF(ETPT_CA_JUR!L16=0,"",ETPT_CA_JUR!L16)))</f>
        <v/>
      </c>
      <c r="M16" s="103" t="str">
        <f>IF(ISBLANK($D$5),"",IF(ISERROR(ETPT_CA_JUR!M16),"",IF(ETPT_CA_JUR!M16=0,"",ETPT_CA_JUR!M16)))</f>
        <v/>
      </c>
      <c r="N16" s="103" t="str">
        <f>IF(ISBLANK($D$5),"",IF(ISERROR(ETPT_CA_JUR!N16),"",IF(ETPT_CA_JUR!N16=0,"",ETPT_CA_JUR!N16)))</f>
        <v/>
      </c>
      <c r="O16" s="79">
        <f>SUM(I16:N16)</f>
        <v>0</v>
      </c>
      <c r="P16" s="103" t="str">
        <f>IF(ISBLANK($D$5),"",IF(ISERROR(ETPT_CA_JUR!P16),"",IF(ETPT_CA_JUR!P16=0,"",ETPT_CA_JUR!P16)))</f>
        <v/>
      </c>
      <c r="Q16" s="103" t="str">
        <f>IF(ISBLANK($D$5),"",IF(ISERROR(ETPT_CA_JUR!Q16),"",IF(ETPT_CA_JUR!Q16=0,"",ETPT_CA_JUR!Q16)))</f>
        <v/>
      </c>
      <c r="R16" s="103" t="str">
        <f>IF(ISBLANK($D$5),"",IF(ISERROR(ETPT_CA_JUR!R16),"",IF(ETPT_CA_JUR!R16=0,"",ETPT_CA_JUR!R16)))</f>
        <v/>
      </c>
      <c r="S16" s="79">
        <f t="shared" si="2"/>
        <v>0</v>
      </c>
      <c r="T16" s="103" t="str">
        <f>IF(ISBLANK($D$5),"",IF(ISERROR(ETPT_CA_JUR!T16),"",IF(ETPT_CA_JUR!T16=0,"",ETPT_CA_JUR!T16)))</f>
        <v/>
      </c>
      <c r="U16" s="103" t="str">
        <f>IF(ISBLANK($D$5),"",IF(ISERROR(ETPT_CA_JUR!U16),"",IF(ETPT_CA_JUR!U16=0,"",ETPT_CA_JUR!U16)))</f>
        <v/>
      </c>
      <c r="V16" s="103" t="str">
        <f>IF(ISBLANK($D$5),"",IF(ISERROR(ETPT_CA_JUR!V16),"",IF(ETPT_CA_JUR!V16=0,"",ETPT_CA_JUR!V16)))</f>
        <v/>
      </c>
      <c r="W16" s="103" t="str">
        <f>IF(ISBLANK($D$5),"",IF(ISERROR(ETPT_CA_JUR!W16),"",IF(ETPT_CA_JUR!W16=0,"",ETPT_CA_JUR!W16)))</f>
        <v/>
      </c>
      <c r="X16" s="103" t="str">
        <f>IF(ISBLANK($D$5),"",IF(ISERROR(ETPT_CA_JUR!X16),"",IF(ETPT_CA_JUR!X16=0,"",ETPT_CA_JUR!X16)))</f>
        <v/>
      </c>
      <c r="Y16" s="79">
        <f t="shared" si="3"/>
        <v>0</v>
      </c>
      <c r="Z16" s="103" t="str">
        <f>IF(ISBLANK($D$5),"",IF(ISERROR(ETPT_CA_JUR!Z16),"",IF(ETPT_CA_JUR!Z16=0,"",ETPT_CA_JUR!Z16)))</f>
        <v/>
      </c>
      <c r="AA16" s="103" t="str">
        <f>IF(ISBLANK($D$5),"",IF(ISERROR(ETPT_CA_JUR!AA16),"",IF(ETPT_CA_JUR!AA16=0,"",ETPT_CA_JUR!AA16)))</f>
        <v/>
      </c>
      <c r="AB16" s="103" t="str">
        <f>IF(ISBLANK($D$5),"",IF(ISERROR(ETPT_CA_JUR!AB16),"",IF(ETPT_CA_JUR!AB16=0,"",ETPT_CA_JUR!AB16)))</f>
        <v/>
      </c>
      <c r="AC16" s="103" t="str">
        <f>IF(ISBLANK($D$5),"",IF(ISERROR(ETPT_CA_JUR!AC16),"",IF(ETPT_CA_JUR!AC16=0,"",ETPT_CA_JUR!AC16)))</f>
        <v/>
      </c>
      <c r="AD16" s="103" t="str">
        <f>IF(ISBLANK($D$5),"",IF(ISERROR(ETPT_CA_JUR!AD16),"",IF(ETPT_CA_JUR!AD16=0,"",ETPT_CA_JUR!AD16)))</f>
        <v/>
      </c>
      <c r="AE16" s="79">
        <f>SUM(Z16:AD16)</f>
        <v>0</v>
      </c>
    </row>
    <row r="17" spans="1:31" x14ac:dyDescent="0.2">
      <c r="D17" s="39"/>
      <c r="E17" s="118"/>
      <c r="F17" s="119" t="s">
        <v>43</v>
      </c>
      <c r="G17" s="79">
        <f>SUM(G5:G16)</f>
        <v>0</v>
      </c>
      <c r="H17" s="79">
        <f t="shared" ref="H17:AD17" si="6">SUM(H5:H16)</f>
        <v>0</v>
      </c>
      <c r="I17" s="79">
        <f t="shared" si="6"/>
        <v>0</v>
      </c>
      <c r="J17" s="79">
        <f t="shared" si="6"/>
        <v>0</v>
      </c>
      <c r="K17" s="79">
        <f t="shared" si="6"/>
        <v>0</v>
      </c>
      <c r="L17" s="79">
        <f t="shared" si="6"/>
        <v>0</v>
      </c>
      <c r="M17" s="79">
        <f t="shared" si="6"/>
        <v>0</v>
      </c>
      <c r="N17" s="79">
        <f t="shared" si="6"/>
        <v>0</v>
      </c>
      <c r="O17" s="79">
        <f>SUM(O5:O16)</f>
        <v>0</v>
      </c>
      <c r="P17" s="79">
        <f t="shared" si="6"/>
        <v>0</v>
      </c>
      <c r="Q17" s="79">
        <f t="shared" si="6"/>
        <v>0</v>
      </c>
      <c r="R17" s="79">
        <f t="shared" si="6"/>
        <v>0</v>
      </c>
      <c r="S17" s="79">
        <f t="shared" si="6"/>
        <v>0</v>
      </c>
      <c r="T17" s="79">
        <f t="shared" si="6"/>
        <v>0</v>
      </c>
      <c r="U17" s="79">
        <f t="shared" si="6"/>
        <v>0</v>
      </c>
      <c r="V17" s="79">
        <f t="shared" si="6"/>
        <v>0</v>
      </c>
      <c r="W17" s="79">
        <f t="shared" si="6"/>
        <v>0</v>
      </c>
      <c r="X17" s="79">
        <f t="shared" si="6"/>
        <v>0</v>
      </c>
      <c r="Y17" s="79">
        <f t="shared" si="6"/>
        <v>0</v>
      </c>
      <c r="Z17" s="79">
        <f t="shared" si="6"/>
        <v>0</v>
      </c>
      <c r="AA17" s="79">
        <f t="shared" si="6"/>
        <v>0</v>
      </c>
      <c r="AB17" s="79">
        <f t="shared" si="6"/>
        <v>0</v>
      </c>
      <c r="AC17" s="79">
        <f t="shared" si="6"/>
        <v>0</v>
      </c>
      <c r="AD17" s="79">
        <f t="shared" si="6"/>
        <v>0</v>
      </c>
      <c r="AE17" s="79">
        <f>SUM(AE5:AE16)</f>
        <v>0</v>
      </c>
    </row>
    <row r="19" spans="1:31" ht="73" customHeight="1" x14ac:dyDescent="0.2">
      <c r="A19" s="4"/>
      <c r="B19"/>
      <c r="C19"/>
      <c r="D19"/>
      <c r="E19"/>
      <c r="F19" s="121" t="s">
        <v>255</v>
      </c>
      <c r="G19" s="81" t="e">
        <f>SUMIFS( INDEX( 'ETPT Format DDG'!$A:$FF,,MATCH("14. TOTAL INDISPONIBILITÉ",'ETPT Format DDG'!2:2,0)),'ETPT Format DDG'!$C:$C,$D$5,'ETPT Format DDG'!$FA:$FA,"Fonctionnaire CTECH placé ADD") +
SUMIFS( INDEX( 'ETPT Format DDG'!$A:$FF,,MATCH("14. TOTAL INDISPONIBILITÉ",'ETPT Format DDG'!2:2,0)),'ETPT Format DDG'!$C:$C,$D$5,'ETPT Format DDG'!$FA:$FA,"Fonctionnaire CTECH placé SUB")</f>
        <v>#N/A</v>
      </c>
      <c r="H19"/>
      <c r="I19"/>
      <c r="J19"/>
      <c r="K19"/>
      <c r="L19"/>
      <c r="M19" s="122" t="s">
        <v>256</v>
      </c>
      <c r="N19" s="81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ETPT_CA_JUR</vt:lpstr>
      <vt:lpstr>ETPT_CA_JUR_DDG</vt:lpstr>
      <vt:lpstr>ETPT_CA_JUR Corresp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2025-01-27T08:49:57Z</dcterms:modified>
  <cp:category/>
</cp:coreProperties>
</file>