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349922CB-6BA5-6B4B-AA5E-2A11874B10D7}" xr6:coauthVersionLast="47" xr6:coauthVersionMax="47" xr10:uidLastSave="{00000000-0000-0000-0000-000000000000}"/>
  <bookViews>
    <workbookView xWindow="0" yWindow="760" windowWidth="30240" windowHeight="1778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ATTACHES_JUSTICE" sheetId="41" state="hidden" r:id="rId10"/>
    <sheet name="ETPT_ATTACHES_JUSTICE_DDG" sheetId="42" r:id="rId11"/>
    <sheet name="ETPT_CA_JUR Corresp" sheetId="38" state="hidden" r:id="rId12"/>
    <sheet name="ETPT_ATTACHES_JUSTICE Corresp" sheetId="43" state="hidden" r:id="rId13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0" l="1"/>
  <c r="V6" i="10" s="1"/>
  <c r="S6" i="10"/>
  <c r="T6" i="10" s="1"/>
  <c r="R6" i="10"/>
  <c r="Q6" i="10"/>
  <c r="P6" i="10"/>
  <c r="N6" i="10"/>
  <c r="O6" i="10" s="1"/>
  <c r="L6" i="10"/>
  <c r="K6" i="10"/>
  <c r="J6" i="10"/>
  <c r="I6" i="10"/>
  <c r="G6" i="10"/>
  <c r="H6" i="10" s="1"/>
  <c r="M6" i="10" l="1"/>
  <c r="Q13" i="43"/>
  <c r="P13" i="43"/>
  <c r="O13" i="43"/>
  <c r="N13" i="43"/>
  <c r="M13" i="43"/>
  <c r="L13" i="43"/>
  <c r="K13" i="43"/>
  <c r="J13" i="43"/>
  <c r="I13" i="43"/>
  <c r="H13" i="43"/>
  <c r="G13" i="43"/>
  <c r="Q12" i="43"/>
  <c r="Q11" i="43"/>
  <c r="Q10" i="43"/>
  <c r="Q9" i="43"/>
  <c r="Q8" i="43"/>
  <c r="Q7" i="43"/>
  <c r="Q6" i="43"/>
  <c r="Q5" i="43"/>
  <c r="U17" i="38"/>
  <c r="T17" i="38"/>
  <c r="S17" i="38"/>
  <c r="R17" i="38"/>
  <c r="Q17" i="38"/>
  <c r="P17" i="38"/>
  <c r="O17" i="38"/>
  <c r="N17" i="38"/>
  <c r="M17" i="38"/>
  <c r="L17" i="38"/>
  <c r="K17" i="38"/>
  <c r="J17" i="38"/>
  <c r="I17" i="38"/>
  <c r="G17" i="38"/>
  <c r="U16" i="38"/>
  <c r="O16" i="38"/>
  <c r="U15" i="38"/>
  <c r="O15" i="38"/>
  <c r="U14" i="38"/>
  <c r="O14" i="38"/>
  <c r="U13" i="38"/>
  <c r="O13" i="38"/>
  <c r="U12" i="38"/>
  <c r="O12" i="38"/>
  <c r="U11" i="38"/>
  <c r="O11" i="38"/>
  <c r="U10" i="38"/>
  <c r="O10" i="38"/>
  <c r="U9" i="38"/>
  <c r="O9" i="38"/>
  <c r="U8" i="38"/>
  <c r="O8" i="38"/>
  <c r="U7" i="38"/>
  <c r="O7" i="38"/>
  <c r="U6" i="38"/>
  <c r="O6" i="38"/>
  <c r="U5" i="38"/>
  <c r="O5" i="38"/>
  <c r="G7" i="42"/>
  <c r="J7" i="42"/>
  <c r="K7" i="42"/>
  <c r="L7" i="42"/>
  <c r="M7" i="42"/>
  <c r="G8" i="42"/>
  <c r="J8" i="42"/>
  <c r="K8" i="42"/>
  <c r="L8" i="42"/>
  <c r="M8" i="42"/>
  <c r="G9" i="42"/>
  <c r="J9" i="42"/>
  <c r="K9" i="42"/>
  <c r="L9" i="42"/>
  <c r="M9" i="42"/>
  <c r="G10" i="42"/>
  <c r="J10" i="42"/>
  <c r="K10" i="42"/>
  <c r="L10" i="42"/>
  <c r="M10" i="42"/>
  <c r="G11" i="42"/>
  <c r="J11" i="42"/>
  <c r="K11" i="42"/>
  <c r="L11" i="42"/>
  <c r="M11" i="42"/>
  <c r="G12" i="42"/>
  <c r="J12" i="42"/>
  <c r="K12" i="42"/>
  <c r="L12" i="42"/>
  <c r="M12" i="42"/>
  <c r="G13" i="42"/>
  <c r="G14" i="42" s="1"/>
  <c r="J13" i="42"/>
  <c r="K13" i="42"/>
  <c r="L13" i="42"/>
  <c r="M13" i="42"/>
  <c r="G6" i="42"/>
  <c r="J6" i="42"/>
  <c r="K6" i="42"/>
  <c r="L6" i="42"/>
  <c r="M6" i="42"/>
  <c r="D7" i="42"/>
  <c r="I12" i="41" a="1"/>
  <c r="I12" i="41" s="1"/>
  <c r="I12" i="42" s="1"/>
  <c r="I11" i="41" a="1"/>
  <c r="I11" i="41" s="1"/>
  <c r="I11" i="42" s="1"/>
  <c r="H12" i="41"/>
  <c r="N12" i="41" s="1"/>
  <c r="H11" i="41"/>
  <c r="N11" i="41" s="1"/>
  <c r="I13" i="41" a="1"/>
  <c r="I13" i="41" s="1"/>
  <c r="I14" i="41" s="1"/>
  <c r="H13" i="41"/>
  <c r="N13" i="41" s="1"/>
  <c r="N14" i="41" s="1"/>
  <c r="F13" i="41"/>
  <c r="F14" i="41" s="1"/>
  <c r="F12" i="41"/>
  <c r="F12" i="42" s="1"/>
  <c r="F8" i="41"/>
  <c r="F8" i="42" s="1"/>
  <c r="E13" i="41" a="1"/>
  <c r="E13" i="41" s="1"/>
  <c r="E14" i="41" s="1"/>
  <c r="E12" i="41" a="1"/>
  <c r="E12" i="41" s="1"/>
  <c r="E12" i="42" s="1"/>
  <c r="D13" i="41"/>
  <c r="D14" i="41" s="1"/>
  <c r="D12" i="41"/>
  <c r="D12" i="42" s="1"/>
  <c r="E11" i="41" a="1"/>
  <c r="E11" i="41" s="1"/>
  <c r="E11" i="42" s="1"/>
  <c r="D11" i="41"/>
  <c r="D11" i="42" s="1"/>
  <c r="G12" i="30"/>
  <c r="I10" i="41" a="1"/>
  <c r="I10" i="41" s="1"/>
  <c r="I10" i="42" s="1"/>
  <c r="H10" i="41"/>
  <c r="N10" i="41" s="1"/>
  <c r="F11" i="41"/>
  <c r="F11" i="42" s="1"/>
  <c r="F10" i="41"/>
  <c r="F10" i="42" s="1"/>
  <c r="E10" i="41" a="1"/>
  <c r="E10" i="41" s="1"/>
  <c r="E10" i="42" s="1"/>
  <c r="D10" i="41"/>
  <c r="D10" i="42" s="1"/>
  <c r="G11" i="30"/>
  <c r="I9" i="41" a="1"/>
  <c r="I9" i="41" s="1"/>
  <c r="I9" i="42" s="1"/>
  <c r="H9" i="41"/>
  <c r="N9" i="41" s="1"/>
  <c r="F9" i="41"/>
  <c r="F9" i="42" s="1"/>
  <c r="E9" i="41" a="1"/>
  <c r="E9" i="41" s="1"/>
  <c r="E9" i="42" s="1"/>
  <c r="D9" i="41"/>
  <c r="D9" i="42" s="1"/>
  <c r="G10" i="30"/>
  <c r="I8" i="41" a="1"/>
  <c r="I8" i="41" s="1"/>
  <c r="I8" i="42" s="1"/>
  <c r="H8" i="41"/>
  <c r="N8" i="41" s="1"/>
  <c r="E8" i="41" a="1"/>
  <c r="E8" i="41" s="1"/>
  <c r="E8" i="42" s="1"/>
  <c r="D8" i="41"/>
  <c r="D8" i="42" s="1"/>
  <c r="G9" i="30"/>
  <c r="E7" i="41" a="1"/>
  <c r="E7" i="41" s="1"/>
  <c r="E7" i="42" s="1"/>
  <c r="F7" i="41" a="1"/>
  <c r="F7" i="41" s="1"/>
  <c r="F7" i="42" s="1"/>
  <c r="D6" i="41" a="1"/>
  <c r="D6" i="41" s="1"/>
  <c r="D6" i="42" s="1"/>
  <c r="G8" i="30"/>
  <c r="I7" i="41" a="1"/>
  <c r="I7" i="41" s="1"/>
  <c r="I7" i="42" s="1"/>
  <c r="H7" i="41" a="1"/>
  <c r="H7" i="41" s="1"/>
  <c r="N7" i="41" s="1"/>
  <c r="F6" i="41" a="1"/>
  <c r="F6" i="41" s="1"/>
  <c r="F6" i="42" s="1"/>
  <c r="E6" i="41" a="1"/>
  <c r="E6" i="41" s="1"/>
  <c r="E6" i="42" s="1"/>
  <c r="I6" i="41" a="1"/>
  <c r="I6" i="41" s="1"/>
  <c r="I6" i="42" s="1"/>
  <c r="H6" i="41" a="1"/>
  <c r="H6" i="41" s="1"/>
  <c r="N6" i="41" s="1"/>
  <c r="I16" i="30"/>
  <c r="N16" i="30" s="1"/>
  <c r="G5" i="30"/>
  <c r="G5" i="25" s="1"/>
  <c r="M14" i="42"/>
  <c r="L14" i="42"/>
  <c r="K14" i="42"/>
  <c r="J14" i="42"/>
  <c r="M14" i="41"/>
  <c r="L14" i="41"/>
  <c r="K14" i="41"/>
  <c r="J14" i="41"/>
  <c r="G14" i="41"/>
  <c r="P5" i="25"/>
  <c r="T15" i="30" a="1"/>
  <c r="T15" i="30" s="1"/>
  <c r="G19" i="30" a="1"/>
  <c r="G19" i="30" s="1"/>
  <c r="N19" i="30" a="1"/>
  <c r="N19" i="30" s="1"/>
  <c r="T14" i="30"/>
  <c r="T7" i="30"/>
  <c r="S5" i="30"/>
  <c r="T6" i="30"/>
  <c r="T5" i="30"/>
  <c r="S16" i="30"/>
  <c r="R16" i="30"/>
  <c r="Q16" i="30"/>
  <c r="P16" i="30"/>
  <c r="T16" i="30" s="1"/>
  <c r="S14" i="30"/>
  <c r="R14" i="30"/>
  <c r="Q14" i="30"/>
  <c r="P14" i="30"/>
  <c r="T13" i="30"/>
  <c r="T12" i="30"/>
  <c r="T11" i="30"/>
  <c r="T10" i="30"/>
  <c r="T9" i="30"/>
  <c r="T8" i="30"/>
  <c r="R6" i="30"/>
  <c r="Q6" i="30"/>
  <c r="P6" i="30"/>
  <c r="G16" i="30"/>
  <c r="G14" i="30"/>
  <c r="N14" i="30"/>
  <c r="M14" i="30"/>
  <c r="N13" i="30"/>
  <c r="N12" i="30"/>
  <c r="G13" i="30"/>
  <c r="N11" i="30"/>
  <c r="N10" i="30"/>
  <c r="N9" i="30"/>
  <c r="N8" i="30"/>
  <c r="N5" i="30"/>
  <c r="M5" i="30"/>
  <c r="M16" i="30"/>
  <c r="L14" i="30"/>
  <c r="K6" i="30"/>
  <c r="L16" i="30"/>
  <c r="K14" i="30"/>
  <c r="L6" i="30"/>
  <c r="K16" i="30"/>
  <c r="J14" i="30"/>
  <c r="J6" i="30"/>
  <c r="N6" i="30" s="1"/>
  <c r="J16" i="30"/>
  <c r="I14" i="30"/>
  <c r="I5" i="30"/>
  <c r="H6" i="42" l="1"/>
  <c r="F13" i="42"/>
  <c r="F14" i="42" s="1"/>
  <c r="D13" i="42"/>
  <c r="D14" i="42" s="1"/>
  <c r="E13" i="42"/>
  <c r="E14" i="42" s="1"/>
  <c r="H10" i="42"/>
  <c r="N10" i="42" s="1"/>
  <c r="N6" i="42"/>
  <c r="H11" i="42"/>
  <c r="N11" i="42" s="1"/>
  <c r="H7" i="42"/>
  <c r="N7" i="42" s="1"/>
  <c r="H12" i="42"/>
  <c r="N12" i="42" s="1"/>
  <c r="H8" i="42"/>
  <c r="N8" i="42" s="1"/>
  <c r="I13" i="42"/>
  <c r="I14" i="42" s="1"/>
  <c r="H13" i="42"/>
  <c r="H14" i="42" s="1"/>
  <c r="H9" i="42"/>
  <c r="N9" i="42" s="1"/>
  <c r="H14" i="41"/>
  <c r="G6" i="30"/>
  <c r="N13" i="42" l="1"/>
  <c r="N14" i="42" s="1"/>
  <c r="D6" i="25"/>
  <c r="D6" i="30"/>
  <c r="D14" i="25"/>
  <c r="D14" i="30"/>
  <c r="D13" i="30"/>
  <c r="W6" i="25" l="1"/>
  <c r="X6" i="25"/>
  <c r="Y6" i="25"/>
  <c r="Z6" i="25"/>
  <c r="AA6" i="25" s="1"/>
  <c r="W7" i="25"/>
  <c r="X7" i="25"/>
  <c r="Y7" i="25"/>
  <c r="Z7" i="25"/>
  <c r="W8" i="25"/>
  <c r="X8" i="25"/>
  <c r="Y8" i="25"/>
  <c r="Z8" i="25"/>
  <c r="W9" i="25"/>
  <c r="X9" i="25"/>
  <c r="Y9" i="25"/>
  <c r="Z9" i="25"/>
  <c r="W10" i="25"/>
  <c r="X10" i="25"/>
  <c r="Y10" i="25"/>
  <c r="Z10" i="25"/>
  <c r="W11" i="25"/>
  <c r="X11" i="25"/>
  <c r="Y11" i="25"/>
  <c r="Z11" i="25"/>
  <c r="W12" i="25"/>
  <c r="X12" i="25"/>
  <c r="Y12" i="25"/>
  <c r="Z12" i="25"/>
  <c r="W13" i="25"/>
  <c r="X13" i="25"/>
  <c r="Y13" i="25"/>
  <c r="Z13" i="25"/>
  <c r="W14" i="25"/>
  <c r="X14" i="25"/>
  <c r="Y14" i="25"/>
  <c r="Z14" i="25"/>
  <c r="W15" i="25"/>
  <c r="X15" i="25"/>
  <c r="Y15" i="25"/>
  <c r="Z15" i="25"/>
  <c r="W16" i="25"/>
  <c r="X16" i="25"/>
  <c r="Y16" i="25"/>
  <c r="Z16" i="25"/>
  <c r="W5" i="25"/>
  <c r="X5" i="25"/>
  <c r="Y5" i="25"/>
  <c r="Z5" i="25"/>
  <c r="V6" i="25"/>
  <c r="V7" i="25"/>
  <c r="V8" i="25"/>
  <c r="V9" i="25"/>
  <c r="V10" i="25"/>
  <c r="V11" i="25"/>
  <c r="V12" i="25"/>
  <c r="V13" i="25"/>
  <c r="V14" i="25"/>
  <c r="V15" i="25"/>
  <c r="V16" i="25"/>
  <c r="V5" i="25"/>
  <c r="S6" i="25"/>
  <c r="P7" i="25"/>
  <c r="Q7" i="25"/>
  <c r="R7" i="25"/>
  <c r="S7" i="25"/>
  <c r="P8" i="25"/>
  <c r="Q8" i="25"/>
  <c r="R8" i="25"/>
  <c r="S8" i="25"/>
  <c r="P9" i="25"/>
  <c r="Q9" i="25"/>
  <c r="R9" i="25"/>
  <c r="S9" i="25"/>
  <c r="P10" i="25"/>
  <c r="Q10" i="25"/>
  <c r="R10" i="25"/>
  <c r="S10" i="25"/>
  <c r="P11" i="25"/>
  <c r="Q11" i="25"/>
  <c r="R11" i="25"/>
  <c r="S11" i="25"/>
  <c r="P12" i="25"/>
  <c r="Q12" i="25"/>
  <c r="R12" i="25"/>
  <c r="S12" i="25"/>
  <c r="P13" i="25"/>
  <c r="Q13" i="25"/>
  <c r="R13" i="25"/>
  <c r="S13" i="25"/>
  <c r="P15" i="25"/>
  <c r="Q15" i="25"/>
  <c r="R15" i="25"/>
  <c r="S15" i="25"/>
  <c r="Q5" i="25"/>
  <c r="R5" i="25"/>
  <c r="M6" i="25"/>
  <c r="J7" i="25"/>
  <c r="K7" i="25"/>
  <c r="L7" i="25"/>
  <c r="M7" i="25"/>
  <c r="N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2" i="25"/>
  <c r="K12" i="25"/>
  <c r="L12" i="25"/>
  <c r="M12" i="25"/>
  <c r="J13" i="25"/>
  <c r="K13" i="25"/>
  <c r="L13" i="25"/>
  <c r="M13" i="25"/>
  <c r="J15" i="25"/>
  <c r="K15" i="25"/>
  <c r="L15" i="25"/>
  <c r="M15" i="25"/>
  <c r="N15" i="25"/>
  <c r="K5" i="25"/>
  <c r="L5" i="25"/>
  <c r="J5" i="25"/>
  <c r="I6" i="25"/>
  <c r="I7" i="25"/>
  <c r="I8" i="25"/>
  <c r="I9" i="25"/>
  <c r="I10" i="25"/>
  <c r="I11" i="25"/>
  <c r="I12" i="25"/>
  <c r="I13" i="25"/>
  <c r="I15" i="25"/>
  <c r="G7" i="25"/>
  <c r="H7" i="25" s="1"/>
  <c r="G15" i="25"/>
  <c r="H15" i="25" s="1"/>
  <c r="N19" i="25"/>
  <c r="G19" i="25"/>
  <c r="D15" i="25"/>
  <c r="D13" i="25"/>
  <c r="D12" i="25"/>
  <c r="D11" i="25"/>
  <c r="D10" i="25"/>
  <c r="AA9" i="25"/>
  <c r="D9" i="25"/>
  <c r="D8" i="25"/>
  <c r="D7" i="25"/>
  <c r="AA16" i="30"/>
  <c r="AA6" i="30"/>
  <c r="AA7" i="30"/>
  <c r="AA8" i="30"/>
  <c r="AA9" i="30"/>
  <c r="AA10" i="30"/>
  <c r="AA11" i="30"/>
  <c r="AA12" i="30"/>
  <c r="AA13" i="30"/>
  <c r="AA14" i="30"/>
  <c r="AA15" i="30"/>
  <c r="AA5" i="30"/>
  <c r="O7" i="30"/>
  <c r="O15" i="30"/>
  <c r="V17" i="30"/>
  <c r="W17" i="30"/>
  <c r="X17" i="30"/>
  <c r="Y17" i="30"/>
  <c r="Z17" i="30"/>
  <c r="H7" i="30"/>
  <c r="H15" i="30"/>
  <c r="T16" i="25"/>
  <c r="U15" i="30"/>
  <c r="T14" i="25"/>
  <c r="U13" i="30"/>
  <c r="U12" i="30"/>
  <c r="U11" i="30"/>
  <c r="U10" i="30"/>
  <c r="U9" i="30"/>
  <c r="U8" i="30"/>
  <c r="U7" i="30"/>
  <c r="T17" i="30"/>
  <c r="T6" i="25"/>
  <c r="S17" i="30"/>
  <c r="N17" i="30"/>
  <c r="S16" i="25"/>
  <c r="S14" i="25"/>
  <c r="R17" i="30"/>
  <c r="M17" i="30"/>
  <c r="R16" i="25"/>
  <c r="R14" i="25"/>
  <c r="Q17" i="30"/>
  <c r="L17" i="30"/>
  <c r="Q16" i="25"/>
  <c r="Q14" i="25"/>
  <c r="U6" i="30"/>
  <c r="K17" i="30"/>
  <c r="U16" i="30"/>
  <c r="U14" i="30"/>
  <c r="O6" i="30"/>
  <c r="N14" i="25"/>
  <c r="O12" i="30"/>
  <c r="O11" i="30"/>
  <c r="O10" i="30"/>
  <c r="O9" i="30"/>
  <c r="O8" i="30"/>
  <c r="H6" i="30"/>
  <c r="N6" i="25"/>
  <c r="O5" i="30"/>
  <c r="N16" i="25"/>
  <c r="O13" i="30"/>
  <c r="H13" i="30"/>
  <c r="H12" i="30"/>
  <c r="H9" i="30"/>
  <c r="M16" i="25"/>
  <c r="M14" i="25"/>
  <c r="L16" i="25"/>
  <c r="L14" i="25"/>
  <c r="G17" i="30"/>
  <c r="K16" i="25"/>
  <c r="K14" i="25"/>
  <c r="J16" i="25"/>
  <c r="J14" i="25"/>
  <c r="O16" i="30"/>
  <c r="O14" i="30"/>
  <c r="H16" i="30"/>
  <c r="H14" i="30"/>
  <c r="H11" i="30"/>
  <c r="H10" i="30"/>
  <c r="H8" i="30"/>
  <c r="D15" i="30"/>
  <c r="AA15" i="25" l="1"/>
  <c r="W17" i="25"/>
  <c r="AA12" i="25"/>
  <c r="O15" i="25"/>
  <c r="O7" i="25"/>
  <c r="O17" i="30"/>
  <c r="M5" i="25"/>
  <c r="M17" i="25" s="1"/>
  <c r="T10" i="25"/>
  <c r="U10" i="25" s="1"/>
  <c r="T7" i="25"/>
  <c r="U7" i="25" s="1"/>
  <c r="G6" i="25"/>
  <c r="H6" i="25" s="1"/>
  <c r="I5" i="25"/>
  <c r="N10" i="25"/>
  <c r="O10" i="25" s="1"/>
  <c r="J6" i="25"/>
  <c r="J17" i="25" s="1"/>
  <c r="T15" i="25"/>
  <c r="U15" i="25" s="1"/>
  <c r="Q6" i="25"/>
  <c r="Q17" i="25" s="1"/>
  <c r="H5" i="25"/>
  <c r="N5" i="25"/>
  <c r="P6" i="25"/>
  <c r="G16" i="25"/>
  <c r="H16" i="25" s="1"/>
  <c r="I16" i="25"/>
  <c r="O16" i="25" s="1"/>
  <c r="N12" i="25"/>
  <c r="O12" i="25" s="1"/>
  <c r="T5" i="25"/>
  <c r="T12" i="25"/>
  <c r="U12" i="25" s="1"/>
  <c r="G14" i="25"/>
  <c r="H14" i="25" s="1"/>
  <c r="I14" i="25"/>
  <c r="S5" i="25"/>
  <c r="G13" i="25"/>
  <c r="H13" i="25" s="1"/>
  <c r="N9" i="25"/>
  <c r="O9" i="25" s="1"/>
  <c r="G12" i="25"/>
  <c r="H12" i="25" s="1"/>
  <c r="T9" i="25"/>
  <c r="U9" i="25" s="1"/>
  <c r="G11" i="25"/>
  <c r="H11" i="25" s="1"/>
  <c r="N11" i="25"/>
  <c r="O11" i="25" s="1"/>
  <c r="G10" i="25"/>
  <c r="H10" i="25" s="1"/>
  <c r="T11" i="25"/>
  <c r="U11" i="25" s="1"/>
  <c r="G9" i="25"/>
  <c r="H9" i="25" s="1"/>
  <c r="N13" i="25"/>
  <c r="O13" i="25" s="1"/>
  <c r="P14" i="25"/>
  <c r="U14" i="25" s="1"/>
  <c r="G8" i="25"/>
  <c r="H8" i="25" s="1"/>
  <c r="N8" i="25"/>
  <c r="O8" i="25" s="1"/>
  <c r="L6" i="25"/>
  <c r="L17" i="25" s="1"/>
  <c r="T13" i="25"/>
  <c r="U13" i="25" s="1"/>
  <c r="K6" i="25"/>
  <c r="K17" i="25" s="1"/>
  <c r="P16" i="25"/>
  <c r="U16" i="25" s="1"/>
  <c r="T8" i="25"/>
  <c r="U8" i="25" s="1"/>
  <c r="R6" i="25"/>
  <c r="AA5" i="25"/>
  <c r="X17" i="25"/>
  <c r="AA8" i="25"/>
  <c r="Y17" i="25"/>
  <c r="AA7" i="25"/>
  <c r="V17" i="25"/>
  <c r="U5" i="30"/>
  <c r="U17" i="30" s="1"/>
  <c r="AA16" i="25"/>
  <c r="AA14" i="25"/>
  <c r="AA13" i="25"/>
  <c r="AA11" i="25"/>
  <c r="AA10" i="25"/>
  <c r="Z17" i="25"/>
  <c r="H5" i="30"/>
  <c r="H17" i="30" s="1"/>
  <c r="J17" i="30"/>
  <c r="I17" i="30"/>
  <c r="P17" i="30"/>
  <c r="AA17" i="30"/>
  <c r="AA17" i="25" l="1"/>
  <c r="U5" i="25"/>
  <c r="I17" i="25"/>
  <c r="P17" i="25"/>
  <c r="S17" i="25"/>
  <c r="O6" i="25"/>
  <c r="U6" i="25"/>
  <c r="U17" i="25" s="1"/>
  <c r="N17" i="25"/>
  <c r="O14" i="25"/>
  <c r="G17" i="25"/>
  <c r="T17" i="25"/>
  <c r="O5" i="25"/>
  <c r="R17" i="25"/>
  <c r="H17" i="25"/>
  <c r="O17" i="25" l="1"/>
  <c r="D7" i="30" l="1"/>
  <c r="D8" i="30"/>
  <c r="D9" i="30"/>
  <c r="D10" i="30"/>
  <c r="D11" i="30"/>
  <c r="D12" i="30"/>
  <c r="B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<sst xmlns="http://schemas.openxmlformats.org/spreadsheetml/2006/main" count="700" uniqueCount="305">
  <si>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</si>
  <si>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</si>
  <si>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</si>
  <si>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</si>
  <si>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</si>
  <si>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</si>
  <si>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</si>
  <si>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</si>
  <si>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</si>
  <si>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</si>
  <si>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</si>
  <si>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</si>
  <si>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</si>
  <si>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</si>
  <si>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</si>
  <si>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</si>
  <si>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</si>
  <si>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</si>
  <si>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</si>
  <si>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</si>
  <si>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</si>
  <si>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</si>
  <si>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</si>
  <si>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</si>
  <si>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</si>
  <si>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</si>
  <si>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</si>
  <si>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</si>
  <si>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</si>
  <si>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</si>
  <si>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</si>
  <si>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</si>
  <si>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</si>
  <si>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</si>
  <si>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</si>
  <si>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</si>
  <si>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</si>
  <si>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</si>
  <si>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</si>
  <si>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</si>
  <si>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</si>
  <si>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</si>
  <si>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</si>
  <si>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</si>
  <si>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</si>
  <si>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</si>
  <si>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</si>
  <si>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</si>
  <si>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</si>
  <si>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</si>
  <si>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</si>
  <si>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</si>
  <si>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</si>
  <si>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</si>
  <si>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</si>
  <si>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</si>
  <si>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</si>
  <si>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</si>
  <si>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</si>
  <si>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</si>
  <si>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</si>
  <si>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</si>
  <si>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</si>
  <si>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</si>
  <si>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</si>
  <si>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</si>
  <si>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</si>
  <si>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</si>
  <si>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</si>
  <si>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</si>
  <si>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</si>
  <si>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</si>
  <si>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</si>
  <si>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</si>
  <si>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</si>
  <si>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</si>
  <si>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</si>
  <si>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PQT_COUR_CRIM</t>
  </si>
  <si>
    <t>PARQUET_ASSISES</t>
  </si>
  <si>
    <t>PARQUET_ACTIVITE_CIV_COM</t>
  </si>
  <si>
    <t>AUTRES_JNS</t>
  </si>
  <si>
    <t>JNS_COUR_CRIM</t>
  </si>
  <si>
    <t>MAG_SIEGE_ASSISES</t>
  </si>
  <si>
    <t>JUR_ASS_SIEGE</t>
  </si>
  <si>
    <t>JUR_ASS_PARQUET</t>
  </si>
  <si>
    <t>FONCTIONNAIRES_HORS_FONCT_SPEC</t>
  </si>
  <si>
    <t>FONC_COUR_CRIM</t>
  </si>
  <si>
    <t>FONCTIONNAIRES_ASSISES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</si>
  <si>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</si>
  <si>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</si>
  <si>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</si>
  <si>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</si>
  <si>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</si>
  <si>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</si>
  <si>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fonctionnaires administratifs</t>
  </si>
  <si>
    <t>A-B-CBUR</t>
  </si>
  <si>
    <t>Total fonctionnaires techniques</t>
  </si>
  <si>
    <t>CTECH</t>
  </si>
  <si>
    <t xml:space="preserve">                Agrégats DDG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</si>
  <si>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</si>
  <si>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</si>
  <si>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</si>
  <si>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</si>
  <si>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</si>
  <si>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</si>
  <si>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</si>
  <si>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</si>
  <si>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</si>
  <si>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</si>
  <si>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</si>
  <si>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</si>
  <si>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</si>
  <si>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</si>
  <si>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</si>
  <si>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</si>
  <si>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</si>
  <si>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</si>
  <si>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</si>
  <si>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</si>
  <si>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</si>
  <si>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</si>
  <si>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</si>
  <si>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</si>
  <si>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</si>
  <si>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</si>
  <si>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</si>
  <si>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</si>
  <si>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</si>
  <si>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</si>
  <si>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FONCTIONNAIRES_JIRS</t>
  </si>
  <si>
    <t>FONCTIONNAIRES_CH_SOC</t>
  </si>
  <si>
    <t>JUR_ASS_CH_SOC</t>
  </si>
  <si>
    <t>MAG_SIEGE_JIRS</t>
  </si>
  <si>
    <t>MAG_SIEGE_CH_SOC</t>
  </si>
  <si>
    <t>Fonctionnaires JIRS</t>
  </si>
  <si>
    <t>Fonctionnaires chambres sociales</t>
  </si>
  <si>
    <t>Autres Magistrats du Siège JIRS</t>
  </si>
  <si>
    <t>Magistrats du Siège chambres sociales</t>
  </si>
  <si>
    <t>ETPT_CA_JUR</t>
  </si>
  <si>
    <t>166-PN-NC</t>
  </si>
  <si>
    <t>Etpt placés absents non affectés</t>
  </si>
  <si>
    <t>PARQUET_JIRS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</si>
  <si>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</si>
  <si>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</si>
  <si>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</si>
  <si>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</si>
  <si>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</si>
  <si>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=ETPT_CA_JUR_DDG!D5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</si>
  <si>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</si>
  <si>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</si>
  <si>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</si>
  <si>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</si>
  <si>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</si>
  <si>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</si>
  <si>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</si>
  <si>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</si>
  <si>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</si>
  <si>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</si>
  <si>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</si>
  <si>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</si>
  <si>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</si>
  <si>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</si>
  <si>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</si>
  <si>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</si>
  <si>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</si>
  <si>
    <t>Total ETPT AJ_JA</t>
  </si>
  <si>
    <t>JA_CONT_A_JP</t>
  </si>
  <si>
    <t>JUR_ASS_TASS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</si>
  <si>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</si>
  <si>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</si>
  <si>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</si>
  <si>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</si>
  <si>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</si>
  <si>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</si>
  <si>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</si>
  <si>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</si>
  <si>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</si>
  <si>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</si>
  <si>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</si>
  <si>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</si>
  <si>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</si>
  <si>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</si>
  <si>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</si>
  <si>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</si>
  <si>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</si>
  <si>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</si>
  <si>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 + 7.1. ACTIVITÉ CIVILE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</si>
  <si>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</si>
  <si>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</si>
  <si>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</si>
  <si>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</si>
  <si>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</si>
  <si>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</si>
  <si>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</si>
  <si>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</si>
  <si>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</si>
  <si>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</si>
  <si>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</si>
  <si>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</si>
  <si>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</si>
  <si>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</si>
  <si>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</si>
  <si>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</si>
  <si>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</si>
  <si>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</si>
  <si>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</si>
  <si>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</si>
  <si>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</si>
  <si>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</si>
  <si>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</si>
  <si>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</si>
  <si>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</si>
  <si>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</si>
  <si>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</si>
  <si>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</si>
  <si>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</si>
  <si>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</si>
  <si>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</si>
  <si>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</si>
  <si>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</si>
  <si>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14.9. MISE À DISPOSITION 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</si>
  <si>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</si>
  <si>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PARQUET + CONT A VIF PARQUET</t>
    </r>
  </si>
  <si>
    <t>=$A$6</t>
  </si>
  <si>
    <t>=$A$7</t>
  </si>
  <si>
    <t>=$A$8</t>
  </si>
  <si>
    <t>=$A$9</t>
  </si>
  <si>
    <t>=$A$10</t>
  </si>
  <si>
    <t>=$A$11</t>
  </si>
  <si>
    <t>=$A$12</t>
  </si>
  <si>
    <r>
      <t xml:space="preserve">1. TOTAL CONTENTIEUX SOCIAL + 
2. TOTAL CONTENTIEUX COMMERCIAL + 
3. TOTAL CONTENTIEUX DE LA FAMILLE + 
4. TOTAL CONTENTIEUX DE LA PROTECTION + 
5. TOTAL CONTENTIEUX CIVIL NON SPÉCIALISÉ + 
12. TOTAL ATTRIBUTIONS DU PP - 
12.5. EXTRADITIONS ET MAE - 
12.6. SAISIES ET CONFISCATIONS DES AVOIRS CRIMINELS - 
12.9. AUTRES APPELS JLD + 
7.1. ACTIVITÉ CIVILE +  
13.9. FONCTIONNAIRES / JA AFFECTÉS AUX ACTIVITÉS CIVILES ET COMMERCIALES DU PARQUET GÉNÉRAL
</t>
    </r>
    <r>
      <rPr>
        <b/>
        <sz val="10"/>
        <color rgb="FF0070C0"/>
        <rFont val="Arial"/>
        <family val="2"/>
      </rPr>
      <t xml:space="preserve">
(Pour Fonction recodée = Fonctionnaire CTECH)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</si>
  <si>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</si>
  <si>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</si>
  <si>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</si>
  <si>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</si>
  <si>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MAGISTRATS SIEGE)</t>
    </r>
  </si>
  <si>
    <r>
      <t>12.5. EXTRADITIONS ET MAE + 
12.6. SAISIES ET CONFISCATIONS DES AVOIRS CRIMINELS + 
12.9. AUTRES APPELS JLD + 
7.2. ACTIVITÉ PÉNALE + 
8. TOTAL CORRECTIONNEL + 
9. TOTAL INSTRUCTION ET ENTRAIDE + 
10. TOTAL APPLICATION DES PEINES + 
11. TOTAL CONTENTIEUX CRIMINEL + 
13.10. AUTRES FONCTIONNAIRES / JA AFFECTÉS AU PARQUET GÉNÉRAL
(</t>
    </r>
    <r>
      <rPr>
        <b/>
        <sz val="10"/>
        <color rgb="FF0070C0"/>
        <rFont val="Arial"/>
        <family val="2"/>
      </rPr>
      <t>Pour Fonction recodée = Fonctionnaire CTECH</t>
    </r>
    <r>
      <rPr>
        <sz val="10"/>
        <rFont val="Arial"/>
        <family val="2"/>
      </rPr>
      <t>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</si>
  <si>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</si>
  <si>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</si>
  <si>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</si>
  <si>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(J6:L6)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</si>
  <si>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</si>
  <si>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</si>
  <si>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</si>
  <si>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(P6:R6)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</si>
  <si>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</si>
  <si>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</si>
  <si>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</si>
  <si>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</si>
  <si>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</si>
  <si>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</si>
  <si>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</si>
  <si>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</si>
  <si>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</si>
  <si>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</si>
  <si>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</si>
  <si>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</si>
  <si>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</si>
  <si>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</si>
  <si>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</si>
  <si>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</si>
  <si>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</si>
  <si>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</si>
  <si>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</si>
  <si>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</si>
  <si>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</si>
  <si>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</si>
  <si>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</si>
  <si>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</si>
  <si>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</si>
  <si>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</si>
  <si>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</si>
  <si>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</si>
  <si>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</si>
  <si>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</si>
  <si>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</si>
  <si>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t>à reporter manuellement dans l'onglet SAR (cf infra ligne 18 = valeur de ce qui est saisi sur A-JUST CA)</t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</si>
  <si>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recodee = Magistrat placé ADD + Magistrat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</si>
  <si>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SUB)
</t>
    </r>
    <r>
      <rPr>
        <sz val="10"/>
        <color rgb="FFFF0000"/>
        <rFont val="Arial"/>
        <family val="2"/>
      </rPr>
      <t>Temps ventilé sur la période A-JUST* = l'ETPT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</si>
  <si>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</si>
  <si>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</si>
  <si>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</si>
  <si>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</si>
  <si>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</si>
  <si>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</si>
  <si>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</si>
  <si>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</si>
  <si>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</si>
  <si>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</si>
  <si>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</si>
  <si>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t>DÉCLARATION ETPT ATTACHES DE JUSTICE (JURISTES ASSISTANTS)</t>
  </si>
  <si>
    <t>ETPT_ATTACHES_JUSTICE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</si>
  <si>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</si>
  <si>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</si>
  <si>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</si>
  <si>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</si>
  <si>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</si>
  <si>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</si>
  <si>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</si>
  <si>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</si>
  <si>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</si>
  <si>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</si>
  <si>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 xml:space="preserve">                Extracteur de données d'effectifs - Format DDG (avec réintégration de l'absentéisme)</t>
  </si>
  <si>
    <t xml:space="preserve">                Extracteur de données d'effectifs</t>
  </si>
  <si>
    <t xml:space="preserve">                Déclaration des ETPT ATTACHÉS DE JUSTICE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</si>
</sst>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6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0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rgb="FF0070C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u/>
      <sz val="9"/>
      <color rgb="FF000000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323F4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7" borderId="11" xfId="4" applyFont="1" applyFill="1" applyBorder="1" applyAlignment="1" applyProtection="1">
      <alignment horizontal="left" vertical="center"/>
      <protection hidden="1"/>
    </xf>
    <xf numFmtId="0" fontId="21" fillId="7" borderId="11" xfId="4" applyFont="1" applyFill="1" applyBorder="1" applyAlignment="1" applyProtection="1">
      <alignment horizontal="left" vertical="center"/>
      <protection hidden="1"/>
    </xf>
    <xf numFmtId="0" fontId="21" fillId="7" borderId="0" xfId="4" applyFont="1" applyFill="1" applyAlignment="1" applyProtection="1">
      <alignment horizontal="center" vertical="center"/>
      <protection hidden="1"/>
    </xf>
    <xf numFmtId="49" fontId="19" fillId="7" borderId="11" xfId="4" applyNumberFormat="1" applyFont="1" applyFill="1" applyBorder="1" applyAlignment="1" applyProtection="1">
      <alignment horizontal="left" vertical="center"/>
      <protection hidden="1"/>
    </xf>
    <xf numFmtId="49" fontId="19" fillId="7" borderId="0" xfId="4" applyNumberFormat="1" applyFont="1" applyFill="1" applyAlignment="1" applyProtection="1">
      <alignment horizontal="center" vertical="center"/>
      <protection hidden="1"/>
    </xf>
    <xf numFmtId="49" fontId="20" fillId="7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7" borderId="0" xfId="4" applyNumberFormat="1" applyFont="1" applyFill="1" applyAlignment="1" applyProtection="1">
      <alignment horizontal="center" vertical="center"/>
      <protection hidden="1"/>
    </xf>
    <xf numFmtId="0" fontId="23" fillId="7" borderId="0" xfId="4" applyFont="1" applyFill="1" applyAlignment="1" applyProtection="1">
      <alignment horizontal="center" vertical="center" wrapText="1"/>
      <protection hidden="1"/>
    </xf>
    <xf numFmtId="0" fontId="22" fillId="7" borderId="0" xfId="4" applyFont="1" applyFill="1" applyAlignment="1" applyProtection="1">
      <alignment horizontal="center" vertical="center"/>
      <protection hidden="1"/>
    </xf>
    <xf numFmtId="49" fontId="24" fillId="11" borderId="11" xfId="4" applyNumberFormat="1" applyFont="1" applyFill="1" applyBorder="1" applyAlignment="1" applyProtection="1">
      <alignment horizontal="left" vertical="center"/>
      <protection hidden="1"/>
    </xf>
    <xf numFmtId="0" fontId="3" fillId="0" borderId="0" xfId="0" applyFont="1"/>
    <xf numFmtId="0" fontId="26" fillId="12" borderId="0" xfId="0" applyFont="1" applyFill="1" applyAlignment="1">
      <alignment vertical="center" wrapText="1"/>
    </xf>
    <xf numFmtId="0" fontId="26" fillId="12" borderId="0" xfId="0" applyFont="1" applyFill="1" applyAlignment="1">
      <alignment vertical="center"/>
    </xf>
    <xf numFmtId="0" fontId="26" fillId="12" borderId="0" xfId="0" applyFont="1" applyFill="1" applyAlignment="1">
      <alignment horizontal="left" vertical="center"/>
    </xf>
    <xf numFmtId="0" fontId="27" fillId="12" borderId="0" xfId="0" applyFont="1" applyFill="1" applyAlignment="1">
      <alignment horizontal="right" wrapText="1"/>
    </xf>
    <xf numFmtId="0" fontId="27" fillId="12" borderId="0" xfId="0" applyFont="1" applyFill="1"/>
    <xf numFmtId="0" fontId="27" fillId="12" borderId="0" xfId="0" applyFont="1" applyFill="1" applyAlignment="1">
      <alignment horizontal="left" vertical="center" wrapText="1"/>
    </xf>
    <xf numFmtId="0" fontId="27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5" fillId="0" borderId="0" xfId="0" applyFont="1" applyAlignment="1">
      <alignment horizontal="right" vertical="center" wrapText="1"/>
    </xf>
    <xf numFmtId="0" fontId="9" fillId="12" borderId="13" xfId="0" quotePrefix="1" applyFont="1" applyFill="1" applyBorder="1" applyAlignment="1">
      <alignment horizontal="left" vertical="center" wrapText="1" indent="1"/>
    </xf>
    <xf numFmtId="0" fontId="9" fillId="12" borderId="1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6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31" xfId="0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quotePrefix="1" applyBorder="1" applyAlignment="1">
      <alignment vertical="top" wrapText="1"/>
    </xf>
    <xf numFmtId="0" fontId="31" fillId="13" borderId="17" xfId="0" applyFont="1" applyFill="1" applyBorder="1" applyAlignment="1">
      <alignment horizontal="left" vertical="center" wrapText="1" indent="1"/>
    </xf>
    <xf numFmtId="0" fontId="31" fillId="14" borderId="19" xfId="0" applyFont="1" applyFill="1" applyBorder="1" applyAlignment="1">
      <alignment horizontal="left" vertical="center" wrapText="1" indent="1"/>
    </xf>
    <xf numFmtId="0" fontId="31" fillId="15" borderId="19" xfId="0" applyFont="1" applyFill="1" applyBorder="1" applyAlignment="1">
      <alignment horizontal="left" vertical="center" wrapText="1" indent="1"/>
    </xf>
    <xf numFmtId="0" fontId="31" fillId="16" borderId="21" xfId="0" applyFont="1" applyFill="1" applyBorder="1" applyAlignment="1">
      <alignment horizontal="left" vertical="center" wrapText="1" indent="1"/>
    </xf>
    <xf numFmtId="0" fontId="32" fillId="17" borderId="21" xfId="0" applyFont="1" applyFill="1" applyBorder="1" applyAlignment="1">
      <alignment horizontal="left" vertical="center" wrapText="1" indent="1"/>
    </xf>
    <xf numFmtId="0" fontId="32" fillId="18" borderId="28" xfId="0" applyFont="1" applyFill="1" applyBorder="1" applyAlignment="1">
      <alignment horizontal="left" vertical="center" wrapText="1" indent="1"/>
    </xf>
    <xf numFmtId="0" fontId="16" fillId="7" borderId="0" xfId="0" applyFont="1" applyFill="1" applyAlignment="1">
      <alignment horizontal="left"/>
    </xf>
    <xf numFmtId="169" fontId="17" fillId="8" borderId="11" xfId="0" applyNumberFormat="1" applyFont="1" applyFill="1" applyBorder="1"/>
    <xf numFmtId="0" fontId="33" fillId="7" borderId="11" xfId="0" applyFont="1" applyFill="1" applyBorder="1" applyAlignment="1">
      <alignment horizontal="center" vertical="center" wrapText="1"/>
    </xf>
    <xf numFmtId="169" fontId="36" fillId="10" borderId="11" xfId="0" applyNumberFormat="1" applyFont="1" applyFill="1" applyBorder="1" applyAlignment="1">
      <alignment horizontal="center" vertical="center" wrapText="1"/>
    </xf>
    <xf numFmtId="169" fontId="36" fillId="9" borderId="11" xfId="0" applyNumberFormat="1" applyFont="1" applyFill="1" applyBorder="1" applyAlignment="1">
      <alignment horizontal="center" wrapText="1"/>
    </xf>
    <xf numFmtId="169" fontId="37" fillId="9" borderId="11" xfId="0" applyNumberFormat="1" applyFont="1" applyFill="1" applyBorder="1" applyAlignment="1">
      <alignment horizontal="center" wrapText="1"/>
    </xf>
    <xf numFmtId="169" fontId="36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 wrapText="1"/>
    </xf>
    <xf numFmtId="170" fontId="38" fillId="0" borderId="0" xfId="3" applyNumberFormat="1" applyFont="1" applyBorder="1" applyAlignment="1">
      <alignment horizontal="center" vertical="center"/>
    </xf>
    <xf numFmtId="170" fontId="38" fillId="0" borderId="5" xfId="3" applyNumberFormat="1" applyFont="1" applyBorder="1" applyAlignment="1">
      <alignment horizontal="center" vertical="center"/>
    </xf>
    <xf numFmtId="166" fontId="38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40" fillId="7" borderId="0" xfId="0" applyFont="1" applyFill="1" applyAlignment="1">
      <alignment horizontal="left" wrapText="1"/>
    </xf>
    <xf numFmtId="0" fontId="39" fillId="7" borderId="0" xfId="0" applyFont="1" applyFill="1" applyAlignment="1">
      <alignment horizontal="center" vertical="center" wrapText="1"/>
    </xf>
    <xf numFmtId="49" fontId="39" fillId="7" borderId="0" xfId="0" applyNumberFormat="1" applyFont="1" applyFill="1" applyAlignment="1">
      <alignment horizontal="center" vertical="center" wrapText="1"/>
    </xf>
    <xf numFmtId="49" fontId="39" fillId="7" borderId="11" xfId="0" applyNumberFormat="1" applyFont="1" applyFill="1" applyBorder="1" applyAlignment="1">
      <alignment horizontal="center" vertical="center" wrapText="1"/>
    </xf>
    <xf numFmtId="49" fontId="41" fillId="7" borderId="12" xfId="0" applyNumberFormat="1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 wrapText="1"/>
    </xf>
    <xf numFmtId="169" fontId="19" fillId="7" borderId="11" xfId="0" applyNumberFormat="1" applyFont="1" applyFill="1" applyBorder="1"/>
    <xf numFmtId="49" fontId="43" fillId="0" borderId="11" xfId="0" applyNumberFormat="1" applyFont="1" applyBorder="1" applyAlignment="1">
      <alignment horizontal="left" vertical="center" wrapText="1"/>
    </xf>
    <xf numFmtId="169" fontId="33" fillId="0" borderId="11" xfId="0" applyNumberFormat="1" applyFont="1" applyBorder="1" applyAlignment="1">
      <alignment horizontal="center" vertical="center" wrapText="1"/>
    </xf>
    <xf numFmtId="0" fontId="41" fillId="7" borderId="12" xfId="0" applyFont="1" applyFill="1" applyBorder="1" applyAlignment="1">
      <alignment horizontal="left" vertical="center"/>
    </xf>
    <xf numFmtId="0" fontId="44" fillId="7" borderId="11" xfId="0" applyFont="1" applyFill="1" applyBorder="1" applyAlignment="1">
      <alignment horizontal="left" vertical="center"/>
    </xf>
    <xf numFmtId="49" fontId="44" fillId="7" borderId="11" xfId="0" applyNumberFormat="1" applyFont="1" applyFill="1" applyBorder="1" applyAlignment="1">
      <alignment horizontal="left" vertical="center"/>
    </xf>
    <xf numFmtId="49" fontId="45" fillId="8" borderId="11" xfId="0" applyNumberFormat="1" applyFont="1" applyFill="1" applyBorder="1" applyAlignment="1">
      <alignment horizontal="left" vertical="center" wrapText="1"/>
    </xf>
    <xf numFmtId="49" fontId="20" fillId="7" borderId="11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left" vertical="center"/>
    </xf>
    <xf numFmtId="49" fontId="18" fillId="8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169" fontId="19" fillId="7" borderId="11" xfId="0" applyNumberFormat="1" applyFont="1" applyFill="1" applyBorder="1" applyAlignment="1">
      <alignment wrapText="1"/>
    </xf>
    <xf numFmtId="0" fontId="17" fillId="7" borderId="11" xfId="1" applyFont="1" applyFill="1" applyBorder="1" applyAlignment="1">
      <alignment horizontal="center" vertical="center" wrapText="1"/>
    </xf>
    <xf numFmtId="49" fontId="46" fillId="7" borderId="11" xfId="1" applyNumberFormat="1" applyFont="1" applyFill="1" applyBorder="1" applyAlignment="1">
      <alignment horizontal="center" vertical="center" wrapText="1"/>
    </xf>
    <xf numFmtId="49" fontId="47" fillId="7" borderId="11" xfId="1" applyNumberFormat="1" applyFont="1" applyFill="1" applyBorder="1" applyAlignment="1">
      <alignment horizontal="center" vertical="center" wrapText="1"/>
    </xf>
    <xf numFmtId="0" fontId="33" fillId="7" borderId="11" xfId="1" applyFont="1" applyFill="1" applyBorder="1" applyAlignment="1">
      <alignment horizontal="center" vertical="center" wrapText="1"/>
    </xf>
    <xf numFmtId="49" fontId="19" fillId="7" borderId="11" xfId="1" applyNumberFormat="1" applyFont="1" applyFill="1" applyBorder="1" applyAlignment="1">
      <alignment horizontal="left" vertical="center"/>
    </xf>
    <xf numFmtId="49" fontId="21" fillId="7" borderId="11" xfId="1" applyNumberFormat="1" applyFont="1" applyFill="1" applyBorder="1" applyAlignment="1">
      <alignment horizontal="left" vertical="center"/>
    </xf>
    <xf numFmtId="49" fontId="2" fillId="7" borderId="11" xfId="1" applyNumberFormat="1" applyFill="1" applyBorder="1" applyAlignment="1">
      <alignment horizontal="left" vertical="center" wrapText="1"/>
    </xf>
    <xf numFmtId="169" fontId="11" fillId="19" borderId="11" xfId="0" applyNumberFormat="1" applyFont="1" applyFill="1" applyBorder="1" applyAlignment="1">
      <alignment horizontal="center" vertical="center" wrapText="1"/>
    </xf>
    <xf numFmtId="169" fontId="11" fillId="10" borderId="11" xfId="0" applyNumberFormat="1" applyFont="1" applyFill="1" applyBorder="1" applyAlignment="1">
      <alignment horizontal="center" vertical="center" wrapText="1"/>
    </xf>
    <xf numFmtId="169" fontId="48" fillId="20" borderId="11" xfId="1" applyNumberFormat="1" applyFont="1" applyFill="1" applyBorder="1" applyAlignment="1">
      <alignment vertical="center" wrapText="1"/>
    </xf>
    <xf numFmtId="169" fontId="20" fillId="21" borderId="11" xfId="1" applyNumberFormat="1" applyFont="1" applyFill="1" applyBorder="1"/>
    <xf numFmtId="169" fontId="48" fillId="19" borderId="11" xfId="1" applyNumberFormat="1" applyFont="1" applyFill="1" applyBorder="1" applyAlignment="1">
      <alignment vertical="center" wrapText="1"/>
    </xf>
    <xf numFmtId="169" fontId="11" fillId="22" borderId="11" xfId="0" applyNumberFormat="1" applyFont="1" applyFill="1" applyBorder="1" applyAlignment="1">
      <alignment horizontal="center" vertical="center" wrapText="1"/>
    </xf>
    <xf numFmtId="49" fontId="34" fillId="8" borderId="11" xfId="1" applyNumberFormat="1" applyFont="1" applyFill="1" applyBorder="1" applyAlignment="1">
      <alignment horizontal="left" vertical="center" wrapText="1"/>
    </xf>
    <xf numFmtId="49" fontId="49" fillId="7" borderId="11" xfId="0" applyNumberFormat="1" applyFont="1" applyFill="1" applyBorder="1" applyAlignment="1">
      <alignment horizontal="left" vertical="center"/>
    </xf>
    <xf numFmtId="0" fontId="19" fillId="7" borderId="11" xfId="1" applyFont="1" applyFill="1" applyBorder="1" applyAlignment="1">
      <alignment horizontal="left" vertical="center"/>
    </xf>
    <xf numFmtId="169" fontId="17" fillId="8" borderId="11" xfId="0" applyNumberFormat="1" applyFont="1" applyFill="1" applyBorder="1" applyAlignment="1">
      <alignment wrapText="1"/>
    </xf>
    <xf numFmtId="169" fontId="35" fillId="9" borderId="11" xfId="0" applyNumberFormat="1" applyFont="1" applyFill="1" applyBorder="1" applyAlignment="1">
      <alignment horizontal="center" vertical="center" wrapText="1"/>
    </xf>
    <xf numFmtId="169" fontId="37" fillId="23" borderId="11" xfId="0" applyNumberFormat="1" applyFont="1" applyFill="1" applyBorder="1" applyAlignment="1">
      <alignment horizontal="center" vertical="center" wrapText="1"/>
    </xf>
    <xf numFmtId="169" fontId="33" fillId="23" borderId="11" xfId="0" applyNumberFormat="1" applyFont="1" applyFill="1" applyBorder="1" applyAlignment="1">
      <alignment horizontal="center" vertical="center"/>
    </xf>
    <xf numFmtId="169" fontId="19" fillId="23" borderId="11" xfId="0" applyNumberFormat="1" applyFont="1" applyFill="1" applyBorder="1"/>
    <xf numFmtId="0" fontId="16" fillId="7" borderId="0" xfId="1" applyFont="1" applyFill="1" applyAlignment="1">
      <alignment horizontal="left"/>
    </xf>
    <xf numFmtId="0" fontId="53" fillId="7" borderId="0" xfId="1" applyFont="1" applyFill="1" applyAlignment="1">
      <alignment horizontal="left" wrapText="1"/>
    </xf>
    <xf numFmtId="0" fontId="47" fillId="7" borderId="0" xfId="1" applyFont="1" applyFill="1" applyAlignment="1">
      <alignment horizontal="center" vertical="center"/>
    </xf>
    <xf numFmtId="0" fontId="20" fillId="7" borderId="0" xfId="1" applyFont="1" applyFill="1" applyAlignment="1">
      <alignment horizontal="center" vertical="center" wrapText="1"/>
    </xf>
    <xf numFmtId="0" fontId="47" fillId="7" borderId="0" xfId="1" applyFont="1" applyFill="1" applyAlignment="1">
      <alignment horizontal="center" vertical="center" wrapText="1"/>
    </xf>
    <xf numFmtId="0" fontId="46" fillId="7" borderId="0" xfId="1" applyFont="1" applyFill="1" applyAlignment="1">
      <alignment horizontal="center" vertical="center" wrapText="1"/>
    </xf>
    <xf numFmtId="49" fontId="46" fillId="7" borderId="0" xfId="1" applyNumberFormat="1" applyFont="1" applyFill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0" fontId="19" fillId="7" borderId="0" xfId="1" applyFont="1" applyFill="1" applyAlignment="1">
      <alignment horizontal="center" vertical="center"/>
    </xf>
    <xf numFmtId="0" fontId="19" fillId="7" borderId="0" xfId="1" applyFont="1" applyFill="1" applyAlignment="1">
      <alignment horizontal="left" vertical="center"/>
    </xf>
    <xf numFmtId="49" fontId="19" fillId="7" borderId="0" xfId="1" applyNumberFormat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/>
    </xf>
    <xf numFmtId="169" fontId="49" fillId="7" borderId="11" xfId="0" applyNumberFormat="1" applyFont="1" applyFill="1" applyBorder="1"/>
    <xf numFmtId="169" fontId="54" fillId="8" borderId="11" xfId="0" applyNumberFormat="1" applyFont="1" applyFill="1" applyBorder="1"/>
    <xf numFmtId="169" fontId="55" fillId="10" borderId="11" xfId="0" applyNumberFormat="1" applyFont="1" applyFill="1" applyBorder="1" applyAlignment="1">
      <alignment horizontal="center" vertical="center" wrapText="1"/>
    </xf>
    <xf numFmtId="169" fontId="23" fillId="21" borderId="11" xfId="1" applyNumberFormat="1" applyFont="1" applyFill="1" applyBorder="1"/>
    <xf numFmtId="49" fontId="56" fillId="8" borderId="11" xfId="0" applyNumberFormat="1" applyFont="1" applyFill="1" applyBorder="1" applyAlignment="1">
      <alignment horizontal="left" vertical="center"/>
    </xf>
    <xf numFmtId="0" fontId="49" fillId="7" borderId="11" xfId="4" applyFont="1" applyFill="1" applyBorder="1" applyAlignment="1" applyProtection="1">
      <alignment horizontal="left" vertical="center"/>
      <protection hidden="1"/>
    </xf>
    <xf numFmtId="0" fontId="54" fillId="7" borderId="11" xfId="0" applyFont="1" applyFill="1" applyBorder="1" applyAlignment="1">
      <alignment horizontal="left" vertical="center"/>
    </xf>
    <xf numFmtId="0" fontId="49" fillId="7" borderId="11" xfId="1" applyFont="1" applyFill="1" applyBorder="1" applyAlignment="1">
      <alignment horizontal="left" vertical="center"/>
    </xf>
    <xf numFmtId="0" fontId="58" fillId="0" borderId="0" xfId="0" applyFont="1"/>
    <xf numFmtId="49" fontId="56" fillId="8" borderId="11" xfId="1" applyNumberFormat="1" applyFont="1" applyFill="1" applyBorder="1" applyAlignment="1">
      <alignment horizontal="left" vertical="center" wrapText="1"/>
    </xf>
    <xf numFmtId="0" fontId="59" fillId="0" borderId="0" xfId="0" applyFont="1"/>
    <xf numFmtId="49" fontId="20" fillId="7" borderId="11" xfId="1" applyNumberFormat="1" applyFont="1" applyFill="1" applyBorder="1" applyAlignment="1">
      <alignment horizontal="center" vertical="center" wrapText="1"/>
    </xf>
    <xf numFmtId="0" fontId="20" fillId="7" borderId="0" xfId="4" applyFont="1" applyFill="1" applyAlignment="1" applyProtection="1">
      <alignment horizontal="center" vertical="center" wrapText="1"/>
      <protection hidden="1"/>
    </xf>
    <xf numFmtId="0" fontId="57" fillId="11" borderId="11" xfId="4" applyFont="1" applyFill="1" applyBorder="1" applyAlignment="1" applyProtection="1">
      <alignment horizontal="left" vertical="center"/>
      <protection hidden="1"/>
    </xf>
    <xf numFmtId="0" fontId="0" fillId="24" borderId="0" xfId="0" applyFill="1"/>
    <xf numFmtId="0" fontId="26" fillId="24" borderId="0" xfId="0" applyFont="1" applyFill="1" applyAlignment="1">
      <alignment vertical="center"/>
    </xf>
    <xf numFmtId="0" fontId="26" fillId="12" borderId="0" xfId="0" applyFont="1" applyFill="1" applyAlignment="1">
      <alignment horizontal="center"/>
    </xf>
    <xf numFmtId="0" fontId="28" fillId="1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9" fillId="12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2" borderId="15" xfId="0" applyFont="1" applyFill="1" applyBorder="1" applyAlignment="1">
      <alignment horizontal="left" vertical="center" wrapText="1" indent="1"/>
    </xf>
    <xf numFmtId="0" fontId="9" fillId="12" borderId="16" xfId="0" applyFont="1" applyFill="1" applyBorder="1" applyAlignment="1">
      <alignment horizontal="left" vertical="center" wrapText="1" indent="1"/>
    </xf>
    <xf numFmtId="0" fontId="29" fillId="0" borderId="10" xfId="0" applyFont="1" applyBorder="1" applyAlignment="1">
      <alignment horizontal="left" vertical="center" wrapText="1"/>
    </xf>
    <xf numFmtId="0" fontId="29" fillId="0" borderId="24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25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26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8" fillId="8" borderId="11" xfId="1" applyFont="1" applyFill="1" applyBorder="1" applyAlignment="1">
      <alignment horizontal="center" vertical="center" wrapText="1"/>
    </xf>
    <xf numFmtId="0" fontId="18" fillId="8" borderId="34" xfId="1" applyFont="1" applyFill="1" applyBorder="1" applyAlignment="1">
      <alignment horizontal="center" vertical="center" wrapText="1"/>
    </xf>
    <xf numFmtId="0" fontId="18" fillId="8" borderId="35" xfId="1" applyFont="1" applyFill="1" applyBorder="1" applyAlignment="1">
      <alignment horizontal="center" vertical="center" wrapText="1"/>
    </xf>
    <xf numFmtId="0" fontId="18" fillId="8" borderId="36" xfId="1" applyFont="1" applyFill="1" applyBorder="1" applyAlignment="1">
      <alignment horizontal="center" vertical="center" wrapText="1"/>
    </xf>
    <xf numFmtId="49" fontId="39" fillId="7" borderId="0" xfId="0" applyNumberFormat="1" applyFont="1" applyFill="1" applyAlignment="1">
      <alignment horizontal="left"/>
    </xf>
    <xf numFmtId="0" fontId="34" fillId="8" borderId="11" xfId="0" applyFont="1" applyFill="1" applyBorder="1" applyAlignment="1">
      <alignment horizontal="center" vertical="center" wrapText="1"/>
    </xf>
    <xf numFmtId="49" fontId="47" fillId="7" borderId="0" xfId="1" applyNumberFormat="1" applyFont="1" applyFill="1" applyAlignment="1">
      <alignment horizontal="left" vertical="top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</dxfs>
  <tableStyles count="0" defaultTableStyle="TableStyleMedium2" defaultPivotStyle="PivotStyleLight16"/>
  <colors>
    <mruColors>
      <color rgb="FF323F4F"/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0CB949-2C41-BC40-9E1C-48016E97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184150</xdr:colOff>
      <xdr:row>0</xdr:row>
      <xdr:rowOff>114300</xdr:rowOff>
    </xdr:from>
    <xdr:to>
      <xdr:col>4</xdr:col>
      <xdr:colOff>127000</xdr:colOff>
      <xdr:row>0</xdr:row>
      <xdr:rowOff>991755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E8107687-4D43-7C45-8E7C-9C39DEC0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536700" cy="877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7C828F4-E4EA-0F4C-9C9B-2B93696D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131888</xdr:colOff>
      <xdr:row>0</xdr:row>
      <xdr:rowOff>877455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33C59A2-B67D-014C-B49A-4D10C7C6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388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21BD4C-AAD0-2340-A0BA-39B3221B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tabSelected="1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7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49"/>
      <c r="B1" s="50" t="s">
        <v>100</v>
      </c>
      <c r="C1" s="169" t="s">
        <v>101</v>
      </c>
      <c r="D1" s="169"/>
      <c r="E1" s="169"/>
      <c r="F1" s="51"/>
      <c r="H1" s="26" t="s">
        <v>0</v>
      </c>
    </row>
    <row r="2" spans="1:8" s="55" customFormat="1" ht="20" customHeight="1" x14ac:dyDescent="0.2">
      <c r="A2" s="52"/>
      <c r="B2" s="53"/>
      <c r="C2" s="170" t="s">
        <v>127</v>
      </c>
      <c r="D2" s="170"/>
      <c r="E2" s="170"/>
      <c r="F2" s="54"/>
      <c r="H2" s="26" t="s">
        <v>0</v>
      </c>
    </row>
    <row r="3" spans="1:8" s="26" customFormat="1" ht="6.5" customHeight="1" thickBot="1" x14ac:dyDescent="0.25">
      <c r="A3" s="56"/>
      <c r="F3" s="57"/>
      <c r="H3" s="26" t="s">
        <v>0</v>
      </c>
    </row>
    <row r="4" spans="1:8" s="61" customFormat="1" ht="32.25" customHeight="1" thickBot="1" x14ac:dyDescent="0.25">
      <c r="A4" s="58"/>
      <c r="B4" s="59" t="s">
        <v>102</v>
      </c>
      <c r="C4" s="60" t="s">
        <v>103</v>
      </c>
      <c r="D4" s="60" t="s">
        <v>104</v>
      </c>
      <c r="E4" s="176" t="s">
        <v>105</v>
      </c>
      <c r="F4" s="177"/>
      <c r="G4" s="67"/>
      <c r="H4" s="26" t="s">
        <v>0</v>
      </c>
    </row>
    <row r="5" spans="1:8" s="26" customFormat="1" ht="48" customHeight="1" x14ac:dyDescent="0.2">
      <c r="A5" s="56"/>
      <c r="B5" s="71" t="s">
        <v>106</v>
      </c>
      <c r="C5" s="64" t="s">
        <v>107</v>
      </c>
      <c r="D5" s="64" t="s">
        <v>108</v>
      </c>
      <c r="E5" s="178" t="s">
        <v>121</v>
      </c>
      <c r="F5" s="179"/>
      <c r="G5" s="66"/>
      <c r="H5" s="26" t="s">
        <v>0</v>
      </c>
    </row>
    <row r="6" spans="1:8" s="26" customFormat="1" ht="48" customHeight="1" x14ac:dyDescent="0.2">
      <c r="A6" s="56"/>
      <c r="B6" s="72" t="s">
        <v>109</v>
      </c>
      <c r="C6" s="65" t="s">
        <v>110</v>
      </c>
      <c r="D6" s="65" t="s">
        <v>111</v>
      </c>
      <c r="E6" s="180" t="s">
        <v>122</v>
      </c>
      <c r="F6" s="181"/>
      <c r="G6" s="66"/>
      <c r="H6" s="26" t="s">
        <v>0</v>
      </c>
    </row>
    <row r="7" spans="1:8" s="26" customFormat="1" ht="48" customHeight="1" x14ac:dyDescent="0.2">
      <c r="A7" s="56"/>
      <c r="B7" s="73" t="s">
        <v>112</v>
      </c>
      <c r="C7" s="65" t="s">
        <v>113</v>
      </c>
      <c r="D7" s="65" t="s">
        <v>114</v>
      </c>
      <c r="E7" s="180" t="s">
        <v>121</v>
      </c>
      <c r="F7" s="181"/>
      <c r="G7" s="66"/>
      <c r="H7" s="26" t="s">
        <v>0</v>
      </c>
    </row>
    <row r="8" spans="1:8" s="26" customFormat="1" ht="23" customHeight="1" x14ac:dyDescent="0.2">
      <c r="A8" s="56"/>
      <c r="B8" s="74" t="s">
        <v>115</v>
      </c>
      <c r="C8" s="171" t="s">
        <v>116</v>
      </c>
      <c r="D8" s="171" t="s">
        <v>117</v>
      </c>
      <c r="E8" s="182" t="s">
        <v>123</v>
      </c>
      <c r="F8" s="183"/>
      <c r="G8" s="66"/>
      <c r="H8" s="26" t="s">
        <v>0</v>
      </c>
    </row>
    <row r="9" spans="1:8" s="26" customFormat="1" ht="23" customHeight="1" x14ac:dyDescent="0.2">
      <c r="A9" s="56"/>
      <c r="B9" s="75" t="s">
        <v>118</v>
      </c>
      <c r="C9" s="171"/>
      <c r="D9" s="171"/>
      <c r="E9" s="184"/>
      <c r="F9" s="185"/>
      <c r="G9" s="66"/>
      <c r="H9" s="26" t="s">
        <v>0</v>
      </c>
    </row>
    <row r="10" spans="1:8" s="26" customFormat="1" ht="23" customHeight="1" thickBot="1" x14ac:dyDescent="0.25">
      <c r="A10" s="56"/>
      <c r="B10" s="76" t="s">
        <v>119</v>
      </c>
      <c r="C10" s="172"/>
      <c r="D10" s="172"/>
      <c r="E10" s="186"/>
      <c r="F10" s="187"/>
      <c r="G10" s="66"/>
      <c r="H10" s="26" t="s">
        <v>0</v>
      </c>
    </row>
    <row r="11" spans="1:8" s="26" customFormat="1" ht="5" customHeight="1" thickBot="1" x14ac:dyDescent="0.25">
      <c r="A11" s="56"/>
      <c r="B11" s="70"/>
      <c r="C11" s="70"/>
      <c r="D11" s="70"/>
      <c r="E11" s="70"/>
      <c r="F11" s="70"/>
      <c r="H11" s="26" t="s">
        <v>0</v>
      </c>
    </row>
    <row r="12" spans="1:8" s="26" customFormat="1" ht="72" customHeight="1" thickBot="1" x14ac:dyDescent="0.25">
      <c r="A12" s="56"/>
      <c r="B12" s="68"/>
      <c r="C12" s="175" t="s">
        <v>120</v>
      </c>
      <c r="D12" s="175"/>
      <c r="E12" s="175"/>
      <c r="F12" s="69"/>
      <c r="H12" s="26" t="s">
        <v>0</v>
      </c>
    </row>
    <row r="13" spans="1:8" s="26" customFormat="1" ht="6" customHeight="1" x14ac:dyDescent="0.2">
      <c r="A13" s="62"/>
      <c r="F13" s="57"/>
      <c r="H13" s="26" t="s">
        <v>0</v>
      </c>
    </row>
    <row r="14" spans="1:8" s="26" customFormat="1" ht="27" customHeight="1" x14ac:dyDescent="0.2">
      <c r="A14" s="173" t="s">
        <v>25</v>
      </c>
      <c r="B14" s="173"/>
      <c r="C14" s="173"/>
      <c r="D14" s="173"/>
      <c r="E14" s="173"/>
      <c r="F14" s="174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7" customHeight="1" x14ac:dyDescent="0.25">
      <c r="A1" s="3" t="s">
        <v>303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B4"/>
  <sheetViews>
    <sheetView showFormulas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2" sqref="A2"/>
    </sheetView>
  </sheetViews>
  <sheetFormatPr baseColWidth="10" defaultRowHeight="15" x14ac:dyDescent="0.2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7" customHeight="1" x14ac:dyDescent="0.25">
      <c r="A1" s="167"/>
      <c r="B1" s="167"/>
      <c r="C1" s="167"/>
      <c r="D1" s="168" t="s">
        <v>302</v>
      </c>
      <c r="E1" s="167"/>
      <c r="F1" s="167"/>
      <c r="G1" s="6" t="s">
        <v>157</v>
      </c>
      <c r="FA1" s="8" t="s">
        <v>0</v>
      </c>
      <c r="FB1" s="8" t="s">
        <v>0</v>
      </c>
    </row>
    <row r="2" spans="1:158" ht="66" customHeight="1" x14ac:dyDescent="0.2">
      <c r="A2" s="22" t="s">
        <v>8</v>
      </c>
      <c r="B2" t="s">
        <v>9</v>
      </c>
    </row>
    <row r="3" spans="1:158" x14ac:dyDescent="0.2">
      <c r="A3" s="25" t="s">
        <v>11</v>
      </c>
      <c r="B3" t="s">
        <v>10</v>
      </c>
    </row>
    <row r="4" spans="1:158" x14ac:dyDescent="0.2">
      <c r="B4" s="27" t="s">
        <v>7</v>
      </c>
      <c r="FA4" s="21"/>
    </row>
  </sheetData>
  <autoFilter ref="A2:DT2" xr:uid="{3B89445B-6ECC-4440-B85C-E593AE209933}"/>
  <conditionalFormatting sqref="G1:EZ1 A2:EZ2 A3:FB1048576">
    <cfRule type="expression" dxfId="1" priority="2" stopIfTrue="1">
      <formula>AND(OR($R1&lt;&gt;"-",$S1&lt;&gt;0,$T1&lt;&gt;0),ROW()&gt;2,$A1&lt;&gt;"")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D1" zoomScaleNormal="90" workbookViewId="0">
      <selection activeCell="D124" sqref="D124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81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7" customHeight="1" x14ac:dyDescent="0.25">
      <c r="A1" s="3"/>
      <c r="B1" s="5"/>
      <c r="C1" s="63" t="s">
        <v>112</v>
      </c>
      <c r="D1" s="63" t="s">
        <v>98</v>
      </c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85"/>
      <c r="C4" s="84"/>
      <c r="D4" s="84"/>
      <c r="E4" s="84"/>
      <c r="F4" s="84"/>
      <c r="G4" s="188" t="s">
        <v>26</v>
      </c>
      <c r="H4" s="189"/>
      <c r="I4" s="189"/>
      <c r="J4" s="189"/>
      <c r="K4" s="189"/>
      <c r="L4" s="190"/>
      <c r="M4" s="191"/>
      <c r="N4" s="192" t="s">
        <v>27</v>
      </c>
      <c r="O4" s="190"/>
      <c r="P4" s="190"/>
      <c r="Q4" s="190"/>
      <c r="R4" s="190"/>
      <c r="S4" s="190"/>
      <c r="T4" s="193"/>
      <c r="U4" s="188" t="s">
        <v>28</v>
      </c>
      <c r="V4" s="191"/>
      <c r="W4" s="91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90" t="s">
        <v>124</v>
      </c>
      <c r="I5" s="12" t="s">
        <v>14</v>
      </c>
      <c r="J5" s="12" t="s">
        <v>15</v>
      </c>
      <c r="K5" s="28" t="s">
        <v>29</v>
      </c>
      <c r="L5" s="86" t="s">
        <v>30</v>
      </c>
      <c r="M5" s="87" t="s">
        <v>124</v>
      </c>
      <c r="N5" s="12" t="s">
        <v>16</v>
      </c>
      <c r="O5" s="90" t="s">
        <v>124</v>
      </c>
      <c r="P5" s="12" t="s">
        <v>17</v>
      </c>
      <c r="Q5" s="12" t="s">
        <v>18</v>
      </c>
      <c r="R5" s="28" t="s">
        <v>29</v>
      </c>
      <c r="S5" s="86" t="s">
        <v>31</v>
      </c>
      <c r="T5" s="90" t="s">
        <v>124</v>
      </c>
      <c r="U5" s="86" t="s">
        <v>29</v>
      </c>
      <c r="V5" s="87" t="s">
        <v>124</v>
      </c>
      <c r="W5" t="s">
        <v>20</v>
      </c>
    </row>
    <row r="6" spans="1:24" ht="16" x14ac:dyDescent="0.2">
      <c r="A6" s="13"/>
      <c r="C6" s="17" t="s">
        <v>23</v>
      </c>
      <c r="D6" s="17" t="s">
        <v>125</v>
      </c>
      <c r="E6" s="16" t="s">
        <v>22</v>
      </c>
      <c r="F6" s="116" t="s">
        <v>126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88" t="str">
        <f>IF(AND(OR(LEFT(C6,3)="14.",LEFT(E6,3)="14.",LEFT(E6,5)="CET &gt;", IFERROR(G6/$G$6,"")=0),NOT(AND(LEFT(E6,4)="14.4",IFERROR(G6/$G$6,"")&lt;&gt;0)),NOT(AND(LEFT(E6,4)="14.5",IFERROR(G6/$G$6,"")&lt;&gt;0)),NOT(AND(LEFT(E6,5)="14.14",IFERROR(G6/$G$6,"")&lt;&gt;0))),"",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89" t="str">
        <f>IF(AND(OR(LEFT(C6,3)="14.",LEFT(E6,3)="14.",LEFT(E6,5)="CET &gt;", IFERROR(L6/$L$6,"")=0),NOT(AND(LEFT(E6,4)="14.4",IFERROR(L6/$G$6,"")&lt;&gt;0)),NOT(AND(LEFT(E6,4)="14.5",IFERROR(L6/$G$6,"")&lt;&gt;0)),NOT(AND(LEFT(E6,5)="14.14",IFERROR(L6/$G$6,"")&lt;&gt;0))),"",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88" t="str">
        <f>IF(AND(OR(LEFT(C6,3)="14.",LEFT(E6,3)="14.",LEFT(E6,5)="CET &gt;", IFERROR(N6/$N$6,"")=0),NOT(AND(LEFT(E6,4)="14.4",IFERROR(N6/$N$6,"")&lt;&gt;0)),NOT(AND(LEFT(E6,4)="14.5",IFERROR(N6/$N$6,"")&lt;&gt;0)),NOT(AND(LEFT(E6,5)="14.14",IFERROR(N6/$N$6,"")&lt;&gt;0))),"", 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88" t="str">
        <f>IF(AND(OR(LEFT(C6,3)="14.",LEFT(E6,3)="14.",LEFT(E6,5)="CET &gt;", IFERROR(S6/$S$6,"")=0),NOT(AND(LEFT(E6,4)="14.4",IFERROR(S6/$S$6,"")&lt;&gt;0)),NOT(AND(LEFT(E6,4)="14.5",IFERROR(S6/$S$6,"")&lt;&gt;0)),NOT(AND(LEFT(E6,5)="14.14",IFERROR(S6/$S$6,"")&lt;&gt;0))),"",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89" t="str">
        <f>IF(AND(OR(LEFT(C6,3)="14.",LEFT(E6,3)="14.",LEFT(E6,5)="CET &gt;", IFERROR(U6/$U$6,"")=0),NOT(AND(LEFT(E6,4)="14.4",IFERROR(U6/$U$6,"")&lt;&gt;0)),NOT(AND(LEFT(E6,4)="14.5",IFERROR(U6/$U$6,"")&lt;&gt;0)),NOT(AND(LEFT(E6,5)="14.14",IFERROR(U6/$U$6,"")&lt;&gt;0))),"", IFERROR(U6/$U$6,""))</f>
        <v/>
      </c>
      <c r="W6" t="s">
        <v>21</v>
      </c>
    </row>
    <row r="7" spans="1:24" x14ac:dyDescent="0.2"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22" priority="20">
      <formula>IF(LEFT($A$3,2)&lt;&gt;"TJ",TRUE,FALSE)</formula>
    </cfRule>
  </conditionalFormatting>
  <conditionalFormatting sqref="C6:F6 C7:V151">
    <cfRule type="expression" dxfId="21" priority="22">
      <formula>AND(ISBLANK($C6)=FALSE,ISBLANK($E6)=TRUE)</formula>
    </cfRule>
  </conditionalFormatting>
  <conditionalFormatting sqref="D1:F1048576">
    <cfRule type="expression" dxfId="20" priority="18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9" priority="19">
      <formula>AND($D1="7. TOTAL CONTENTIEUX DES MINEURS",OR(_xlfn.NUMBERVALUE($L1)-(_xlfn.NUMBERVALUE($L2)+_xlfn.NUMBERVALUE($L3))&lt;&gt;0,_xlfn.NUMBERVALUE($S1)-(_xlfn.NUMBERVALUE($S2)+_xlfn.NUMBERVALUE($S3))&lt;&gt;0,_xlfn.NUMBERVALUE($U1)-(_xlfn.NUMBERVALUE($U2)+_xlfn.NUMBERVALUE($U3))&lt;&gt;0))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18" priority="17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6">
    <cfRule type="expression" dxfId="17" priority="3" stopIfTrue="1">
      <formula>AND($D1="8. TOTAL JUGES D'INSTRUCTION",_xlfn.NUMBERVALUE($L1)-(_xlfn.NUMBERVALUE($L2)+_xlfn.NUMBERVALUE($L3)+_xlfn.NUMBERVALUE($L4)+_xlfn.NUMBERVALUE($L5)+_xlfn.NUMBERVALUE($L6))&lt;&gt;0)</formula>
    </cfRule>
  </conditionalFormatting>
  <conditionalFormatting sqref="G6:M6">
    <cfRule type="expression" dxfId="16" priority="6">
      <formula>AND($D6="6. TOTAL JUGES DES ENFANTS",_xlfn.NUMBERVALUE($L6)-(_xlfn.NUMBERVALUE($L7)+_xlfn.NUMBERVALUE($L8))&lt;&gt;0)</formula>
    </cfRule>
  </conditionalFormatting>
  <conditionalFormatting sqref="G7:M7">
    <cfRule type="expression" dxfId="15" priority="14" stopIfTrue="1">
      <formula>_xlfn.NUMBERVALUE($L7)&lt;&gt;_xlfn.NUMBERVALUE($L6)</formula>
    </cfRule>
  </conditionalFormatting>
  <conditionalFormatting sqref="G7:M1048576 G1:M5">
    <cfRule type="expression" dxfId="14" priority="16">
      <formula>AND($D1="7. TOTAL CONTENTIEUX DES MINEURS",_xlfn.NUMBERVALUE($L1)-(_xlfn.NUMBERVALUE($L2)+_xlfn.NUMBERVALUE($L3))&lt;&gt;0)</formula>
    </cfRule>
  </conditionalFormatting>
  <conditionalFormatting sqref="G7:M1048576">
    <cfRule type="expression" dxfId="13" priority="15" stopIfTrue="1">
      <formula>AND($D7="8. TOTAL JUGES D'INSTRUCTION",_xlfn.NUMBERVALUE($L7)-(_xlfn.NUMBERVALUE($L8)+_xlfn.NUMBERVALUE($L9)+_xlfn.NUMBERVALUE($L10)+_xlfn.NUMBERVALUE($L11)+_xlfn.NUMBERVALUE($L12))&lt;&gt;0)</formula>
    </cfRule>
  </conditionalFormatting>
  <conditionalFormatting sqref="G6:V6">
    <cfRule type="expression" dxfId="12" priority="7">
      <formula>AND(ISBLANK($C6)=FALSE,ISBLANK($E6)=TRUE)</formula>
    </cfRule>
  </conditionalFormatting>
  <conditionalFormatting sqref="N1:T6">
    <cfRule type="expression" dxfId="11" priority="2" stopIfTrue="1">
      <formula>AND($D1="8. TOTAL JUGES D'INSTRUCTION",_xlfn.NUMBERVALUE($S1)-(_xlfn.NUMBERVALUE($S2)+_xlfn.NUMBERVALUE($S3)+_xlfn.NUMBERVALUE($S4)+_xlfn.NUMBERVALUE($S5)+_xlfn.NUMBERVALUE($S6))&lt;&gt;0)</formula>
    </cfRule>
  </conditionalFormatting>
  <conditionalFormatting sqref="N6:T6">
    <cfRule type="expression" dxfId="10" priority="5">
      <formula>AND($D6="6. TOTAL JUGES DES ENFANTS",_xlfn.NUMBERVALUE($S6)-(_xlfn.NUMBERVALUE($S7)+_xlfn.NUMBERVALUE($S8))&lt;&gt;0)</formula>
    </cfRule>
  </conditionalFormatting>
  <conditionalFormatting sqref="N7:T7">
    <cfRule type="expression" dxfId="9" priority="11" stopIfTrue="1">
      <formula>_xlfn.NUMBERVALUE($S7)&lt;&gt;_xlfn.NUMBERVALUE($S6)</formula>
    </cfRule>
  </conditionalFormatting>
  <conditionalFormatting sqref="N7:T1048576 N1:T5">
    <cfRule type="expression" dxfId="8" priority="13" stopIfTrue="1">
      <formula>AND($D1="7. TOTAL CONTENTIEUX DES MINEURS",_xlfn.NUMBERVALUE($S1)-(_xlfn.NUMBERVALUE($S2)+_xlfn.NUMBERVALUE($S3))&lt;&gt;0)</formula>
    </cfRule>
  </conditionalFormatting>
  <conditionalFormatting sqref="N7:T1048576">
    <cfRule type="expression" dxfId="7" priority="12" stopIfTrue="1">
      <formula>AND($D7="8. TOTAL JUGES D'INSTRUCTION",_xlfn.NUMBERVALUE($S7)-(_xlfn.NUMBERVALUE($S8)+_xlfn.NUMBERVALUE($S9)+_xlfn.NUMBERVALUE($S10)+_xlfn.NUMBERVALUE($S11)+_xlfn.NUMBERVALUE($S12))&lt;&gt;0)</formula>
    </cfRule>
  </conditionalFormatting>
  <conditionalFormatting sqref="U1:V5 U7:V1048576">
    <cfRule type="expression" dxfId="6" priority="10">
      <formula>AND($D1="7. TOTAL CONTENTIEUX DES MINEURS",_xlfn.NUMBERVALUE($U1)-(_xlfn.NUMBERVALUE($U2)+_xlfn.NUMBERVALUE($U3))&lt;&gt;0)</formula>
    </cfRule>
  </conditionalFormatting>
  <conditionalFormatting sqref="U6:V6">
    <cfRule type="expression" dxfId="5" priority="1">
      <formula>AND($D6="8. TOTAL JUGES D'INSTRUCTION",_xlfn.NUMBERVALUE($U6)-(_xlfn.NUMBERVALUE($U7)+_xlfn.NUMBERVALUE($U8)+_xlfn.NUMBERVALUE($U9)+_xlfn.NUMBERVALUE($U10)+_xlfn.NUMBERVALUE($U11))&lt;&gt;0)</formula>
    </cfRule>
    <cfRule type="expression" dxfId="4" priority="4">
      <formula>AND($D6="6. TOTAL JUGES DES ENFANTS",_xlfn.NUMBERVALUE($U6)-(_xlfn.NUMBERVALUE($U7)+_xlfn.NUMBERVALUE($U8))&lt;&gt;0)</formula>
    </cfRule>
  </conditionalFormatting>
  <conditionalFormatting sqref="U7:V7">
    <cfRule type="expression" dxfId="3" priority="8">
      <formula>_xlfn.NUMBERVALUE($U7)&lt;&gt;_xlfn.NUMBERVALUE($U6)</formula>
    </cfRule>
  </conditionalFormatting>
  <conditionalFormatting sqref="U7:V1048576 U1:V5">
    <cfRule type="expression" dxfId="2" priority="9" stopIfTrue="1">
      <formula>AND($D1="8. TOTAL JUGES D'INSTRUCTION",_xlfn.NUMBERVALUE($U1)-(_xlfn.NUMBERVALUE($U2)+_xlfn.NUMBERVALUE($U3)+_xlfn.NUMBERVALUE($U4)+_xlfn.NUMBERVALUE($U5)+_xlfn.NUMBERVALUE($U6))&lt;&gt;0)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33</v>
      </c>
      <c r="B1"/>
      <c r="D1" s="34" t="s">
        <v>35</v>
      </c>
      <c r="E1"/>
      <c r="G1" s="34" t="s">
        <v>34</v>
      </c>
      <c r="H1"/>
      <c r="I1" s="48" t="s">
        <v>99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topLeftCell="B1" zoomScale="94" zoomScaleNormal="80" workbookViewId="0">
      <selection activeCell="H3" sqref="A1:H3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 x14ac:dyDescent="0.2">
      <c r="A1" s="117" t="s">
        <v>158</v>
      </c>
      <c r="B1" s="118" t="s">
        <v>159</v>
      </c>
      <c r="C1" s="118" t="s">
        <v>160</v>
      </c>
      <c r="D1" s="118" t="s">
        <v>161</v>
      </c>
      <c r="E1" s="118" t="s">
        <v>19</v>
      </c>
      <c r="F1" s="118" t="s">
        <v>162</v>
      </c>
      <c r="G1" s="118" t="s">
        <v>163</v>
      </c>
      <c r="H1" t="s">
        <v>155</v>
      </c>
    </row>
    <row r="2" spans="1:8" ht="16" x14ac:dyDescent="0.2">
      <c r="A2" s="35" t="s">
        <v>164</v>
      </c>
      <c r="B2" s="35" t="s">
        <v>148</v>
      </c>
      <c r="C2" s="35" t="s">
        <v>149</v>
      </c>
      <c r="D2" s="115" t="s">
        <v>151</v>
      </c>
      <c r="E2" s="35" t="s">
        <v>150</v>
      </c>
      <c r="F2" s="115" t="s">
        <v>153</v>
      </c>
      <c r="G2" s="115" t="s">
        <v>152</v>
      </c>
      <c r="H2" t="s">
        <v>154</v>
      </c>
    </row>
    <row r="3" spans="1:8" x14ac:dyDescent="0.2">
      <c r="H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F19"/>
  <sheetViews>
    <sheetView topLeftCell="D1" zoomScale="135" zoomScaleNormal="100" workbookViewId="0">
      <pane xSplit="3" topLeftCell="G1" activePane="topRight" state="frozen"/>
      <selection activeCell="D1" sqref="D1"/>
      <selection pane="topRight" activeCell="G12" sqref="G12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45.5" style="37" customWidth="1"/>
    <col min="7" max="16384" width="11" style="37"/>
  </cols>
  <sheetData>
    <row r="1" spans="1:58" s="4" customFormat="1" ht="80" customHeight="1" x14ac:dyDescent="0.25">
      <c r="A1" s="3" t="s">
        <v>98</v>
      </c>
      <c r="B1" s="5"/>
      <c r="C1" s="5"/>
      <c r="D1" s="3" t="s">
        <v>143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44" customHeight="1" x14ac:dyDescent="0.2">
      <c r="A2" s="46"/>
      <c r="B2" s="45"/>
      <c r="C2" s="45"/>
      <c r="D2" s="45"/>
      <c r="E2" s="45"/>
      <c r="F2" s="45"/>
      <c r="G2" s="111" t="s">
        <v>97</v>
      </c>
      <c r="H2" s="114" t="s">
        <v>96</v>
      </c>
      <c r="I2" s="111" t="s">
        <v>95</v>
      </c>
      <c r="J2" s="111" t="s">
        <v>95</v>
      </c>
      <c r="K2" s="111" t="s">
        <v>95</v>
      </c>
      <c r="L2" s="111" t="s">
        <v>95</v>
      </c>
      <c r="M2" s="111" t="s">
        <v>95</v>
      </c>
      <c r="N2" s="111" t="s">
        <v>95</v>
      </c>
      <c r="O2" s="114" t="s">
        <v>94</v>
      </c>
      <c r="P2" s="111" t="s">
        <v>93</v>
      </c>
      <c r="Q2" s="111" t="s">
        <v>93</v>
      </c>
      <c r="R2" s="111" t="s">
        <v>93</v>
      </c>
      <c r="S2" s="111" t="s">
        <v>93</v>
      </c>
      <c r="T2" s="111" t="s">
        <v>93</v>
      </c>
      <c r="U2" s="114" t="s">
        <v>92</v>
      </c>
      <c r="V2" s="111" t="s">
        <v>91</v>
      </c>
      <c r="W2" s="111" t="s">
        <v>91</v>
      </c>
      <c r="X2" s="111" t="s">
        <v>91</v>
      </c>
      <c r="Y2" s="111" t="s">
        <v>91</v>
      </c>
      <c r="Z2" s="111" t="s">
        <v>91</v>
      </c>
      <c r="AA2" s="114" t="s">
        <v>90</v>
      </c>
    </row>
    <row r="3" spans="1:58" ht="36" x14ac:dyDescent="0.2">
      <c r="A3" s="46"/>
      <c r="B3" s="45"/>
      <c r="C3" s="45"/>
      <c r="D3" s="45"/>
      <c r="E3" s="45"/>
      <c r="F3" s="45"/>
      <c r="G3" s="111" t="s">
        <v>89</v>
      </c>
      <c r="H3" s="114"/>
      <c r="I3" s="111" t="s">
        <v>88</v>
      </c>
      <c r="J3" s="111" t="s">
        <v>87</v>
      </c>
      <c r="K3" s="111" t="s">
        <v>86</v>
      </c>
      <c r="L3" s="111" t="s">
        <v>129</v>
      </c>
      <c r="M3" s="111" t="s">
        <v>130</v>
      </c>
      <c r="N3" s="111" t="s">
        <v>85</v>
      </c>
      <c r="O3" s="114"/>
      <c r="P3" s="111" t="s">
        <v>82</v>
      </c>
      <c r="Q3" s="111" t="s">
        <v>81</v>
      </c>
      <c r="R3" s="111" t="s">
        <v>132</v>
      </c>
      <c r="S3" s="111" t="s">
        <v>133</v>
      </c>
      <c r="T3" s="111" t="s">
        <v>80</v>
      </c>
      <c r="U3" s="114"/>
      <c r="V3" s="111" t="s">
        <v>79</v>
      </c>
      <c r="W3" s="111" t="s">
        <v>141</v>
      </c>
      <c r="X3" s="111" t="s">
        <v>78</v>
      </c>
      <c r="Y3" s="111" t="s">
        <v>77</v>
      </c>
      <c r="Z3" s="111" t="s">
        <v>76</v>
      </c>
      <c r="AA3" s="114"/>
    </row>
    <row r="4" spans="1:58" ht="48" x14ac:dyDescent="0.2">
      <c r="A4" s="44"/>
      <c r="B4" s="43" t="s">
        <v>75</v>
      </c>
      <c r="C4" s="43" t="s">
        <v>74</v>
      </c>
      <c r="D4" s="43" t="s">
        <v>32</v>
      </c>
      <c r="E4" s="107" t="s">
        <v>73</v>
      </c>
      <c r="F4" s="107" t="s">
        <v>72</v>
      </c>
      <c r="G4" s="111" t="s">
        <v>71</v>
      </c>
      <c r="H4" s="114"/>
      <c r="I4" s="111" t="s">
        <v>70</v>
      </c>
      <c r="J4" s="111" t="s">
        <v>69</v>
      </c>
      <c r="K4" s="111" t="s">
        <v>68</v>
      </c>
      <c r="L4" s="111" t="s">
        <v>134</v>
      </c>
      <c r="M4" s="111" t="s">
        <v>135</v>
      </c>
      <c r="N4" s="111" t="s">
        <v>67</v>
      </c>
      <c r="O4" s="114"/>
      <c r="P4" s="111" t="s">
        <v>66</v>
      </c>
      <c r="Q4" s="111" t="s">
        <v>65</v>
      </c>
      <c r="R4" s="111" t="s">
        <v>136</v>
      </c>
      <c r="S4" s="111" t="s">
        <v>137</v>
      </c>
      <c r="T4" s="111" t="s">
        <v>64</v>
      </c>
      <c r="U4" s="114"/>
      <c r="V4" s="111" t="s">
        <v>63</v>
      </c>
      <c r="W4" s="111" t="s">
        <v>142</v>
      </c>
      <c r="X4" s="111" t="s">
        <v>62</v>
      </c>
      <c r="Y4" s="111" t="s">
        <v>61</v>
      </c>
      <c r="Z4" s="111" t="s">
        <v>60</v>
      </c>
      <c r="AA4" s="114"/>
    </row>
    <row r="5" spans="1:58" x14ac:dyDescent="0.2">
      <c r="A5" s="42"/>
      <c r="B5" s="41"/>
      <c r="C5" s="41"/>
      <c r="D5" s="47" t="s">
        <v>147</v>
      </c>
      <c r="E5" s="108" t="s">
        <v>59</v>
      </c>
      <c r="F5" s="108" t="s">
        <v>58</v>
      </c>
      <c r="G5" s="100" t="e">
        <f>SUM(SUMIFS(
INDEX( 'ETPT Format DDG'!$A:$ZZ,,MATCH("1. TOTAL CONTENTIEUX SOCIAL",'ETPT Format DDG'!2:2,0)),
INDEX( 'ETPT Format DDG'!$A:$ZZ,,MATCH("Fonction recodée",'ETPT Format DDG'!2:2,0)),"Fonctionnaire CTECH"))+
SUM(SUMIFS(
INDEX( 'ETPT Format DDG'!$A:$ZZ,,MATCH("2. TOTAL CONTENTIEUX COMMERCIAL",'ETPT Format DDG'!2:2,0)),
INDEX( 'ETPT Format DDG'!$A:$ZZ,,MATCH("Fonction recodée",'ETPT Format DDG'!2:2,0)),"Fonctionnaire CTECH"))+
SUM(SUMIFS(
INDEX( 'ETPT Format DDG'!$A:$ZZ,,MATCH("3. TOTAL CONTENTIEUX DE LA FAMILLE",'ETPT Format DDG'!2:2,0)),
INDEX( 'ETPT Format DDG'!$A:$ZZ,,MATCH("Fonction recodée",'ETPT Format DDG'!2:2,0)),"Fonctionnaire CTECH"))+
SUM(SUMIFS(
INDEX( 'ETPT Format DDG'!$A:$ZZ,,MATCH("4. TOTAL CONTENTIEUX DE LA PROTECTION",'ETPT Format DDG'!2:2,0)),
INDEX( 'ETPT Format DDG'!$A:$ZZ,,MATCH("Fonction recodée",'ETPT Format DDG'!2:2,0)),"Fonctionnaire CTECH"))+
SUM(SUMIFS(
INDEX( 'ETPT Format DDG'!$A:$ZZ,,MATCH("5. TOTAL CONTENTIEUX CIVIL NON SPÉCIALISÉ",'ETPT Format DDG'!2:2,0)),
INDEX( 'ETPT Format DDG'!$A:$ZZ,,MATCH("Fonction recodée",'ETPT Format DDG'!2:2,0)),"Fonctionnaire CTECH"))+
SUM(SUMIFS(
INDEX( 'ETPT Format DDG'!$A:$ZZ,,MATCH("12. TOTAL ATTRIBUTIONS DU PP",'ETPT Format DDG'!2:2,0)),
INDEX( 'ETPT Format DDG'!$A:$ZZ,,MATCH("Fonction recodée",'ETPT Format DDG'!2:2,0)),"Fonctionnaire CTECH"))-
SUM(SUMIFS(
INDEX( 'ETPT Format DDG'!$A:$ZZ,,MATCH("12.5. EXTRADITIONS ET MAE",'ETPT Format DDG'!2:2,0)),
INDEX( 'ETPT Format DDG'!$A:$ZZ,,MATCH("Fonction recodée",'ETPT Format DDG'!2:2,0)),"Fonctionnaire CTECH"))-
SUM(SUMIFS(
INDEX( 'ETPT Format DDG'!$A:$ZZ,,MATCH("12.6. SAISIES ET CONFISCATIONS DES AVOIRS CRIMINELS",'ETPT Format DDG'!2:2,0)),
INDEX( 'ETPT Format DDG'!$A:$ZZ,,MATCH("Fonction recodée",'ETPT Format DDG'!2:2,0)),"Fonctionnaire CTECH"))-
SUM(SUMIFS(
INDEX( 'ETPT Format DDG'!$A:$ZZ,,MATCH("12.9. AUTRES APPELS JLD",'ETPT Format DDG'!2:2,0)),
INDEX( 'ETPT Format DDG'!$A:$ZZ,,MATCH("Fonction recodée",'ETPT Format DDG'!2:2,0)),"Fonctionnaire CTECH"))+
SUM(SUMIFS(
INDEX( 'ETPT Format DDG'!$A:$ZZ,,MATCH("7.1. ACTIVITÉ CIVILE",'ETPT Format DDG'!2:2,0)),
INDEX( 'ETPT Format DDG'!$A:$ZZ,,MATCH("Fonction recodée",'ETPT Format DDG'!2:2,0)),"Fonctionnaire CTECH"))+
SUM(SUMIFS(
INDEX( 'ETPT Format DDG'!$A:$ZZ,,MATCH("13.9. FONCTIONNAIRES / JA AFFECTÉS AUX ACTIVITÉS CIVILES ET COMMERCIALES DU PARQUET GÉNÉRAL",'ETPT Format DDG'!2:2,0)),
INDEX( 'ETPT Format DDG'!$A:$ZZ,,MATCH("Fonction recodée",'ETPT Format DDG'!2:2,0)),"Fonctionnaire CTECH"))</f>
        <v>#N/A</v>
      </c>
      <c r="H5" s="78" t="e">
        <f>SUM(G5)</f>
        <v>#N/A</v>
      </c>
      <c r="I5" s="119" t="e">
        <f>SUM(SUMIFS(
INDEX( 'ETPT Format DDG'!$A:$ZZ,,MATCH("13.9. FONCTIONNAIRES / JA AFFECTÉS AUX ACTIVITÉS CIVILES ET COMMERCIALES DU PARQUET GÉNÉRAL",'ETPT Format DDG'!2:2,0)),
INDEX( 'ETPT Format DDG'!$A:$ZZ,,MATCH("Fonction recodée",'ETPT Format DDG'!2:2,0)),"Fonctionnaire A-B-CBUR"))</f>
        <v>#N/A</v>
      </c>
      <c r="J5" s="100"/>
      <c r="K5" s="100"/>
      <c r="L5" s="100"/>
      <c r="M5" s="100" t="e">
        <f>SUM(SUMIFS(
INDEX( 'ETPT Format DDG'!$A:$ZZ,,MATCH("1. TOTAL CONTENTIEUX SOCIAL",'ETPT Format DDG'!2:2,0)),
INDEX( 'ETPT Format DDG'!$A:$ZZ,,MATCH("Fonction recodée",'ETPT Format DDG'!2:2,0)),"Fonctionnaire A-B-CBUR"))</f>
        <v>#N/A</v>
      </c>
      <c r="N5" s="119" t="e">
        <f>SUM(SUMIFS(
INDEX( 'ETPT Format DDG'!$A:$ZZ,,MATCH("2. TOTAL CONTENTIEUX COMMERCIAL",'ETPT Format DDG'!2:2,0)),
INDEX( 'ETPT Format DDG'!$A:$ZZ,,MATCH("Fonction recodée",'ETPT Format DDG'!2:2,0)),"Fonctionnaire A-B-CBUR"))+
SUM(SUMIFS(
INDEX( 'ETPT Format DDG'!$A:$ZZ,,MATCH("3. TOTAL CONTENTIEUX DE LA FAMILLE",'ETPT Format DDG'!2:2,0)),
INDEX( 'ETPT Format DDG'!$A:$ZZ,,MATCH("Fonction recodée",'ETPT Format DDG'!2:2,0)),"Fonctionnaire A-B-CBUR"))+
SUM(SUMIFS(
INDEX( 'ETPT Format DDG'!$A:$ZZ,,MATCH("4. TOTAL CONTENTIEUX DE LA PROTECTION",'ETPT Format DDG'!2:2,0)),
INDEX( 'ETPT Format DDG'!$A:$ZZ,,MATCH("Fonction recodée",'ETPT Format DDG'!2:2,0)),"Fonctionnaire A-B-CBUR"))+
SUM(SUMIFS(
INDEX( 'ETPT Format DDG'!$A:$ZZ,,MATCH("5. TOTAL CONTENTIEUX CIVIL NON SPÉCIALISÉ",'ETPT Format DDG'!2:2,0)),
INDEX( 'ETPT Format DDG'!$A:$ZZ,,MATCH("Fonction recodée",'ETPT Format DDG'!2:2,0)),"Fonctionnaire A-B-CBUR"))+
SUM(SUMIFS(
INDEX( 'ETPT Format DDG'!$A:$ZZ,,MATCH("12. TOTAL ATTRIBUTIONS DU PP",'ETPT Format DDG'!2:2,0)),
INDEX( 'ETPT Format DDG'!$A:$ZZ,,MATCH("Fonction recodée",'ETPT Format DDG'!2:2,0)),"Fonctionnaire A-B-CBUR"))-
SUM(SUMIFS(
INDEX( 'ETPT Format DDG'!$A:$ZZ,,MATCH("12.5. EXTRADITIONS ET MAE",'ETPT Format DDG'!2:2,0)),
INDEX( 'ETPT Format DDG'!$A:$ZZ,,MATCH("Fonction recodée",'ETPT Format DDG'!2:2,0)),"Fonctionnaire A-B-CBUR"))-
SUM(SUMIFS(
INDEX( 'ETPT Format DDG'!$A:$ZZ,,MATCH("12.6. SAISIES ET CONFISCATIONS DES AVOIRS CRIMINELS",'ETPT Format DDG'!2:2,0)),
INDEX( 'ETPT Format DDG'!$A:$ZZ,,MATCH("Fonction recodée",'ETPT Format DDG'!2:2,0)),"Fonctionnaire A-B-CBUR"))-
SUM(SUMIFS(
INDEX( 'ETPT Format DDG'!$A:$ZZ,,MATCH("12.9. AUTRES APPELS JLD",'ETPT Format DDG'!2:2,0)),
INDEX( 'ETPT Format DDG'!$A:$ZZ,,MATCH("Fonction recodée",'ETPT Format DDG'!2:2,0)),"Fonctionnaire A-B-CBUR"))+
SUM(SUMIFS(
INDEX( 'ETPT Format DDG'!$A:$ZZ,,MATCH("7.1. ACTIVITÉ CIVILE",'ETPT Format DDG'!2:2,0)),
INDEX( 'ETPT Format DDG'!$A:$ZZ,,MATCH("Fonction recodée",'ETPT Format DDG'!2:2,0)),"Fonctionnaire A-B-CBUR"))</f>
        <v>#N/A</v>
      </c>
      <c r="O5" s="78" t="e">
        <f>SUM(I5:N5)</f>
        <v>#N/A</v>
      </c>
      <c r="P5" s="100"/>
      <c r="Q5" s="100"/>
      <c r="R5" s="100"/>
      <c r="S5" s="100" t="e">
        <f>SUM(SUMIFS(
INDEX( 'ETPT Format DDG'!$A:$ZZ,,MATCH("1. TOTAL CONTENTIEUX SOCIAL",'ETPT Format DDG'!2:2,0)),
INDEX( 'ETPT Format DDG'!$A:$ZZ,,MATCH("Fonction recodée",'ETPT Format DDG'!2:2,0)),"Magistrat SIEGE"))</f>
        <v>#N/A</v>
      </c>
      <c r="T5" s="119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5" s="78" t="e">
        <f>SUM(P5:T5)</f>
        <v>#N/A</v>
      </c>
      <c r="V5" s="100"/>
      <c r="W5" s="100"/>
      <c r="X5" s="100"/>
      <c r="Y5" s="100"/>
      <c r="Z5" s="100"/>
      <c r="AA5" s="78">
        <f>SUM(V5:Z5)</f>
        <v>0</v>
      </c>
    </row>
    <row r="6" spans="1:58" x14ac:dyDescent="0.2">
      <c r="A6" s="42"/>
      <c r="B6" s="41"/>
      <c r="C6" s="41"/>
      <c r="D6" s="38" t="str">
        <f>IF(ISBLANK($D$5),"",$D$5)</f>
        <v>=ETPT_CA_JUR_DDG!D5</v>
      </c>
      <c r="E6" s="108" t="s">
        <v>57</v>
      </c>
      <c r="F6" s="108" t="s">
        <v>56</v>
      </c>
      <c r="G6" s="100" t="e">
        <f>SUM(SUMIFS(
INDEX( 'ETPT Format DDG'!$A:$ZZ,,MATCH("12.5. EXTRADITIONS ET MAE",'ETPT Format DDG'!2:2,0)),
INDEX( 'ETPT Format DDG'!$A:$ZZ,,MATCH("Fonction recodée",'ETPT Format DDG'!2:2,0)),"Fonctionnaire CTECH"))+
SUM(SUMIFS(
INDEX( 'ETPT Format DDG'!$A:$ZZ,,MATCH("12.6. SAISIES ET CONFISCATIONS DES AVOIRS CRIMINELS",'ETPT Format DDG'!2:2,0)),
INDEX( 'ETPT Format DDG'!$A:$ZZ,,MATCH("Fonction recodée",'ETPT Format DDG'!2:2,0)),"Fonctionnaire CTECH"))+
SUM(SUMIFS(
INDEX( 'ETPT Format DDG'!$A:$ZZ,,MATCH("12.9. AUTRES APPELS JLD",'ETPT Format DDG'!2:2,0)),
INDEX( 'ETPT Format DDG'!$A:$ZZ,,MATCH("Fonction recodée",'ETPT Format DDG'!2:2,0)),"Fonctionnaire CTECH"))+
SUM(SUMIFS(
INDEX( 'ETPT Format DDG'!$A:$ZZ,,MATCH("7.2. ACTIVITÉ PÉNALE",'ETPT Format DDG'!2:2,0)),
INDEX( 'ETPT Format DDG'!$A:$ZZ,,MATCH("Fonction recodée",'ETPT Format DDG'!2:2,0)),"Fonctionnaire CTECH"))+
SUM(SUMIFS(
INDEX( 'ETPT Format DDG'!$A:$ZZ,,MATCH("8. TOTAL CORRECTIONNEL",'ETPT Format DDG'!2:2,0)),
INDEX( 'ETPT Format DDG'!$A:$ZZ,,MATCH("Fonction recodée",'ETPT Format DDG'!2:2,0)),"Fonctionnaire CTECH"))+
SUM(SUMIFS(
INDEX( 'ETPT Format DDG'!$A:$ZZ,,MATCH("9. TOTAL INSTRUCTION ET ENTRAIDE",'ETPT Format DDG'!2:2,0)),
INDEX( 'ETPT Format DDG'!$A:$ZZ,,MATCH("Fonction recodée",'ETPT Format DDG'!2:2,0)),"Fonctionnaire CTECH"))+
SUM(SUMIFS(
INDEX( 'ETPT Format DDG'!$A:$ZZ,,MATCH("10. TOTAL APPLICATION DES PEINES",'ETPT Format DDG'!2:2,0)),
INDEX( 'ETPT Format DDG'!$A:$ZZ,,MATCH("Fonction recodée",'ETPT Format DDG'!2:2,0)),"Fonctionnaire CTECH"))+
SUM(SUMIFS(
INDEX( 'ETPT Format DDG'!$A:$ZZ,,MATCH("11. TOTAL CONTENTIEUX CRIMINEL",'ETPT Format DDG'!2:2,0)),
INDEX( 'ETPT Format DDG'!$A:$ZZ,,MATCH("Fonction recodée",'ETPT Format DDG'!2:2,0)),"Fonctionnaire CTECH"))+
SUM(SUMIFS(
INDEX( 'ETPT Format DDG'!$A:$ZZ,,MATCH("13.10. AUTRES FONCTIONNAIRES / JA AFFECTÉS AU PARQUET GÉNÉRAL",'ETPT Format DDG'!2:2,0)),
INDEX( 'ETPT Format DDG'!$A:$ZZ,,MATCH("Fonction recodée",'ETPT Format DDG'!2:2,0)),"Fonctionnaire CTECH"))</f>
        <v>#N/A</v>
      </c>
      <c r="H6" s="78" t="e">
        <f>SUM(G6)</f>
        <v>#N/A</v>
      </c>
      <c r="I6" s="119"/>
      <c r="J6" s="100" t="e">
        <f>SUM(SUMIFS(
INDEX( 'ETPT Format DDG'!$A:$ZZ,,MATCH("11.1. ASSISES HORS JIRS",'ETPT Format DDG'!2:2,0)),
INDEX( 'ETPT Format DDG'!$A:$ZZ,,MATCH("Fonction recodée",'ETPT Format DDG'!2:2,0)),"Fonctionnaire A-B-CBUR"))+
SUM(SUMIFS(
INDEX( 'ETPT Format DDG'!$A:$ZZ,,MATCH("11.2 ASSISES JIRS",'ETPT Format DDG'!2:2,0)),
INDEX( 'ETPT Format DDG'!$A:$ZZ,,MATCH("Fonction recodée",'ETPT Format DDG'!2:2,0)),"Fonctionnaire A-B-CBUR"))</f>
        <v>#N/A</v>
      </c>
      <c r="K6" s="100" t="e">
        <f>SUM(SUMIFS(
INDEX( 'ETPT Format DDG'!$A:$ZZ,,MATCH("11.3. COUR CRIMINELLE DÉPARTEMENTALE",'ETPT Format DDG'!2:2,0)),
INDEX( 'ETPT Format DDG'!$A:$ZZ,,MATCH("Fonction recodée",'ETPT Format DDG'!2:2,0)),"Fonctionnaire A-B-CBUR"))</f>
        <v>#N/A</v>
      </c>
      <c r="L6" s="100" t="e">
        <f>SUM(SUMIFS(
INDEX( 'ETPT Format DDG'!$A:$ZZ,,MATCH("8.4. CONTENTIEUX JIRS CRIM-ORG",'ETPT Format DDG'!2:2,0)),
INDEX( 'ETPT Format DDG'!$A:$ZZ,,MATCH("Fonction recodée",'ETPT Format DDG'!2:2,0)),"Fonctionnaire A-B-CBUR"))+
SUM(SUMIFS(
INDEX( 'ETPT Format DDG'!$A:$ZZ,,MATCH("8.7. CONTENTIEUX JIRS ÉCO-FI",'ETPT Format DDG'!2:2,0)),
INDEX( 'ETPT Format DDG'!$A:$ZZ,,MATCH("Fonction recodée",'ETPT Format DDG'!2:2,0)),"Fonctionnaire A-B-CBUR"))+
SUM(SUMIFS(
INDEX( 'ETPT Format DDG'!$A:$ZZ,,MATCH("9.3. CONTENTIEUX DE LA DÉTENTION JIRS",'ETPT Format DDG'!2:2,0)),
INDEX( 'ETPT Format DDG'!$A:$ZZ,,MATCH("Fonction recodée",'ETPT Format DDG'!2:2,0)),"Fonctionnaire A-B-CBUR"))+
SUM(SUMIFS(
INDEX( 'ETPT Format DDG'!$A:$ZZ,,MATCH("9.5. CONTENTIEUX DU CONTRÔLE JUDICIAIRE JIRS",'ETPT Format DDG'!2:2,0)),
INDEX( 'ETPT Format DDG'!$A:$ZZ,,MATCH("Fonction recodée",'ETPT Format DDG'!2:2,0)),"Fonctionnaire A-B-CBUR"))+
SUM(SUMIFS(
INDEX( 'ETPT Format DDG'!$A:$ZZ,,MATCH("9.7. CONTENTIEUX DE FOND JIRS",'ETPT Format DDG'!2:2,0)),
INDEX( 'ETPT Format DDG'!$A:$ZZ,,MATCH("Fonction recodée",'ETPT Format DDG'!2:2,0)),"Fonctionnaire A-B-CBUR"))</f>
        <v>#N/A</v>
      </c>
      <c r="M6" s="100"/>
      <c r="N6" s="119" t="e">
        <f>SUM(SUMIFS(
INDEX( 'ETPT Format DDG'!$A:$ZZ,,MATCH("12.5. EXTRADITIONS ET MAE",'ETPT Format DDG'!2:2,0)),
INDEX( 'ETPT Format DDG'!$A:$ZZ,,MATCH("Fonction recodée",'ETPT Format DDG'!2:2,0)),"Fonctionnaire A-B-CBUR"))+
SUM(SUMIFS(
INDEX( 'ETPT Format DDG'!$A:$ZZ,,MATCH("12.6. SAISIES ET CONFISCATIONS DES AVOIRS CRIMINELS",'ETPT Format DDG'!2:2,0)),
INDEX( 'ETPT Format DDG'!$A:$ZZ,,MATCH("Fonction recodée",'ETPT Format DDG'!2:2,0)),"Fonctionnaire A-B-CBUR"))+
SUM(SUMIFS(
INDEX( 'ETPT Format DDG'!$A:$ZZ,,MATCH("12.9. AUTRES APPELS JLD",'ETPT Format DDG'!2:2,0)),
INDEX( 'ETPT Format DDG'!$A:$ZZ,,MATCH("Fonction recodée",'ETPT Format DDG'!2:2,0)),"Fonctionnaire A-B-CBUR"))+
SUM(SUMIFS(
INDEX( 'ETPT Format DDG'!$A:$ZZ,,MATCH("7.2. ACTIVITÉ PÉNALE",'ETPT Format DDG'!2:2,0)),
INDEX( 'ETPT Format DDG'!$A:$ZZ,,MATCH("Fonction recodée",'ETPT Format DDG'!2:2,0)),"Fonctionnaire A-B-CBUR"))+
SUM(SUMIFS(
INDEX( 'ETPT Format DDG'!$A:$ZZ,,MATCH("8. TOTAL CORRECTIONNEL",'ETPT Format DDG'!2:2,0)),
INDEX( 'ETPT Format DDG'!$A:$ZZ,,MATCH("Fonction recodée",'ETPT Format DDG'!2:2,0)),"Fonctionnaire A-B-CBUR"))+
SUM(SUMIFS(
INDEX( 'ETPT Format DDG'!$A:$ZZ,,MATCH("9. TOTAL INSTRUCTION ET ENTRAIDE",'ETPT Format DDG'!2:2,0)),
INDEX( 'ETPT Format DDG'!$A:$ZZ,,MATCH("Fonction recodée",'ETPT Format DDG'!2:2,0)),"Fonctionnaire A-B-CBUR"))+
SUM(SUMIFS(
INDEX( 'ETPT Format DDG'!$A:$ZZ,,MATCH("10. TOTAL APPLICATION DES PEINES",'ETPT Format DDG'!2:2,0)),
INDEX( 'ETPT Format DDG'!$A:$ZZ,,MATCH("Fonction recodée",'ETPT Format DDG'!2:2,0)),"Fonctionnaire A-B-CBUR"))+
SUM(SUMIFS(
INDEX( 'ETPT Format DDG'!$A:$ZZ,,MATCH("11. TOTAL CONTENTIEUX CRIMINEL",'ETPT Format DDG'!2:2,0)),
INDEX( 'ETPT Format DDG'!$A:$ZZ,,MATCH("Fonction recodée",'ETPT Format DDG'!2:2,0)),"Fonctionnaire A-B-CBUR"))+
SUM(SUMIFS(
INDEX( 'ETPT Format DDG'!$A:$ZZ,,MATCH("13.10. AUTRES FONCTIONNAIRES / JA AFFECTÉS AU PARQUET GÉNÉRAL",'ETPT Format DDG'!2:2,0)),
INDEX( 'ETPT Format DDG'!$A:$ZZ,,MATCH("Fonction recodée",'ETPT Format DDG'!2:2,0)),"Fonctionnaire A-B-CBUR"))-
SUM(J6:L6)</f>
        <v>#N/A</v>
      </c>
      <c r="O6" s="78" t="e">
        <f t="shared" ref="O6:O15" si="0">SUM(I6:N6)</f>
        <v>#N/A</v>
      </c>
      <c r="P6" s="100" t="e">
        <f>SUM(SUMIFS(
INDEX( 'ETPT Format DDG'!$A:$ZZ,,MATCH("11.1. ASSISES HORS JIRS",'ETPT Format DDG'!2:2,0)),
INDEX( 'ETPT Format DDG'!$A:$ZZ,,MATCH("Fonction recodée",'ETPT Format DDG'!2:2,0)),"Magistrat SIEGE"))+
SUM(SUMIFS(
INDEX( 'ETPT Format DDG'!$A:$ZZ,,MATCH("11.2 ASSISES JIRS",'ETPT Format DDG'!2:2,0)),
INDEX( 'ETPT Format DDG'!$A:$ZZ,,MATCH("Fonction recodée",'ETPT Format DDG'!2:2,0)),"Magistrat SIEGE"))</f>
        <v>#N/A</v>
      </c>
      <c r="Q6" s="100" t="e">
        <f>SUM(SUMIFS(
INDEX( 'ETPT Format DDG'!$A:$ZZ,,MATCH("11.3. COUR CRIMINELLE DÉPARTEMENTALE",'ETPT Format DDG'!2:2,0)),
INDEX( 'ETPT Format DDG'!$A:$ZZ,,MATCH("Fonction recodée",'ETPT Format DDG'!2:2,0)),"Magistrat SIEGE"))</f>
        <v>#N/A</v>
      </c>
      <c r="R6" s="100" t="e">
        <f>SUM(SUMIFS(
INDEX( 'ETPT Format DDG'!$A:$ZZ,,MATCH("8.4. CONTENTIEUX JIRS CRIM-ORG",'ETPT Format DDG'!2:2,0)),
INDEX( 'ETPT Format DDG'!$A:$ZZ,,MATCH("Fonction recodée",'ETPT Format DDG'!2:2,0)),"Magistrat SIEGE"))+
SUM(SUMIFS(
INDEX( 'ETPT Format DDG'!$A:$ZZ,,MATCH("8.7. CONTENTIEUX JIRS ÉCO-FI",'ETPT Format DDG'!2:2,0)),
INDEX( 'ETPT Format DDG'!$A:$ZZ,,MATCH("Fonction recodée",'ETPT Format DDG'!2:2,0)),"Magistrat SIEGE"))+
SUM(SUMIFS(
INDEX( 'ETPT Format DDG'!$A:$ZZ,,MATCH("9.3. CONTENTIEUX DE LA DÉTENTION JIRS",'ETPT Format DDG'!2:2,0)),
INDEX( 'ETPT Format DDG'!$A:$ZZ,,MATCH("Fonction recodée",'ETPT Format DDG'!2:2,0)),"Magistrat SIEGE"))+
SUM(SUMIFS(
INDEX( 'ETPT Format DDG'!$A:$ZZ,,MATCH("9.5. CONTENTIEUX DU CONTRÔLE JUDICIAIRE JIRS",'ETPT Format DDG'!2:2,0)),
INDEX( 'ETPT Format DDG'!$A:$ZZ,,MATCH("Fonction recodée",'ETPT Format DDG'!2:2,0)),"Magistrat SIEGE"))+
SUM(SUMIFS(
INDEX( 'ETPT Format DDG'!$A:$ZZ,,MATCH("9.7. CONTENTIEUX DE FOND JIRS",'ETPT Format DDG'!2:2,0)),
INDEX( 'ETPT Format DDG'!$A:$ZZ,,MATCH("Fonction recodée",'ETPT Format DDG'!2:2,0)),"Magistrat SIEGE"))</f>
        <v>#N/A</v>
      </c>
      <c r="S6" s="100"/>
      <c r="T6" s="119" t="e">
        <f>SUM(SUMIFS(
INDEX( 'ETPT Format DDG'!$A:$ZZ,,MATCH("12.5. EXTRADITIONS ET MAE",'ETPT Format DDG'!2:2,0)),
INDEX( 'ETPT Format DDG'!$A:$ZZ,,MATCH("Fonction recodée",'ETPT Format DDG'!2:2,0)),"Magistrat SIEGE"))+
SUM(SUMIFS(
INDEX( 'ETPT Format DDG'!$A:$ZZ,,MATCH("12.6. SAISIES ET CONFISCATIONS DES AVOIRS CRIMINELS",'ETPT Format DDG'!2:2,0)),
INDEX( 'ETPT Format DDG'!$A:$ZZ,,MATCH("Fonction recodée",'ETPT Format DDG'!2:2,0)),"Magistrat SIEGE"))+
SUM(SUMIFS(
INDEX( 'ETPT Format DDG'!$A:$ZZ,,MATCH("12.9. AUTRES APPELS JLD",'ETPT Format DDG'!2:2,0)),
INDEX( 'ETPT Format DDG'!$A:$ZZ,,MATCH("Fonction recodée",'ETPT Format DDG'!2:2,0)),"Magistrat SIEGE"))+
SUM(SUMIFS(
INDEX( 'ETPT Format DDG'!$A:$ZZ,,MATCH("7.2. ACTIVITÉ PÉNALE",'ETPT Format DDG'!2:2,0)),
INDEX( 'ETPT Format DDG'!$A:$ZZ,,MATCH("Fonction recodée",'ETPT Format DDG'!2:2,0)),"Magistrat SIEGE"))+
SUM(SUMIFS(
INDEX( 'ETPT Format DDG'!$A:$ZZ,,MATCH("8. TOTAL CORRECTIONNEL",'ETPT Format DDG'!2:2,0)),
INDEX( 'ETPT Format DDG'!$A:$ZZ,,MATCH("Fonction recodée",'ETPT Format DDG'!2:2,0)),"Magistrat SIEGE"))+
SUM(SUMIFS(
INDEX( 'ETPT Format DDG'!$A:$ZZ,,MATCH("9. TOTAL INSTRUCTION ET ENTRAIDE",'ETPT Format DDG'!2:2,0)),
INDEX( 'ETPT Format DDG'!$A:$ZZ,,MATCH("Fonction recodée",'ETPT Format DDG'!2:2,0)),"Magistrat SIEGE"))+
SUM(SUMIFS(
INDEX( 'ETPT Format DDG'!$A:$ZZ,,MATCH("10. TOTAL APPLICATION DES PEINES",'ETPT Format DDG'!2:2,0)),
INDEX( 'ETPT Format DDG'!$A:$ZZ,,MATCH("Fonction recodée",'ETPT Format DDG'!2:2,0)),"Magistrat SIEGE"))+
SUM(SUMIFS(
INDEX( 'ETPT Format DDG'!$A:$ZZ,,MATCH("11. TOTAL CONTENTIEUX CRIMINEL",'ETPT Format DDG'!2:2,0)),
INDEX( 'ETPT Format DDG'!$A:$ZZ,,MATCH("Fonction recodée",'ETPT Format DDG'!2:2,0)),"Magistrat SIEGE"))+
SUM(SUMIFS(
INDEX( 'ETPT Format DDG'!$A:$ZZ,,MATCH("13.10. AUTRES FONCTIONNAIRES / JA AFFECTÉS AU PARQUET GÉNÉRAL",'ETPT Format DDG'!2:2,0)),
INDEX( 'ETPT Format DDG'!$A:$ZZ,,MATCH("Fonction recodée",'ETPT Format DDG'!2:2,0)),"Magistrat SIEGE"))-
SUM(P6:R6)</f>
        <v>#N/A</v>
      </c>
      <c r="U6" s="78" t="e">
        <f t="shared" ref="U6:U16" si="1">SUM(P6:T6)</f>
        <v>#N/A</v>
      </c>
      <c r="V6" s="100"/>
      <c r="W6" s="100"/>
      <c r="X6" s="100"/>
      <c r="Y6" s="100"/>
      <c r="Z6" s="100"/>
      <c r="AA6" s="78">
        <f t="shared" ref="AA6:AA15" si="2">SUM(V6:Z6)</f>
        <v>0</v>
      </c>
    </row>
    <row r="7" spans="1:58" x14ac:dyDescent="0.2">
      <c r="A7" s="42"/>
      <c r="B7" s="41"/>
      <c r="C7" s="41"/>
      <c r="D7" s="38" t="str">
        <f t="shared" ref="D7:D15" si="3">IF(ISBLANK($D$5),"",$D$5)</f>
        <v>=ETPT_CA_JUR_DDG!D5</v>
      </c>
      <c r="E7" s="108" t="s">
        <v>55</v>
      </c>
      <c r="F7" s="108" t="s">
        <v>54</v>
      </c>
      <c r="G7" s="100"/>
      <c r="H7" s="78">
        <f>SUM(G7)</f>
        <v>0</v>
      </c>
      <c r="I7" s="100"/>
      <c r="J7" s="100"/>
      <c r="K7" s="100"/>
      <c r="L7" s="100"/>
      <c r="M7" s="100"/>
      <c r="N7" s="100"/>
      <c r="O7" s="78">
        <f t="shared" si="0"/>
        <v>0</v>
      </c>
      <c r="P7" s="100"/>
      <c r="Q7" s="100"/>
      <c r="R7" s="100"/>
      <c r="S7" s="100"/>
      <c r="T7" s="100" t="e">
        <f>SUM(SUMIFS(
INDEX( 'ETPT Format DDG'!$A:$ZZ,,MATCH("13.4 CSM",'ETPT Format DDG'!2:2,0)),
INDEX( 'ETPT Format DDG'!$A:$ZZ,,MATCH("Fonction recodée",'ETPT Format DDG'!2:2,0)),"Magistrat SIEGE"))</f>
        <v>#N/A</v>
      </c>
      <c r="U7" s="78" t="e">
        <f t="shared" si="1"/>
        <v>#N/A</v>
      </c>
      <c r="V7" s="100"/>
      <c r="W7" s="100"/>
      <c r="X7" s="100"/>
      <c r="Y7" s="100"/>
      <c r="Z7" s="100"/>
      <c r="AA7" s="78">
        <f t="shared" si="2"/>
        <v>0</v>
      </c>
    </row>
    <row r="8" spans="1:58" x14ac:dyDescent="0.2">
      <c r="A8" s="42"/>
      <c r="B8" s="41"/>
      <c r="C8" s="41"/>
      <c r="D8" s="38" t="str">
        <f t="shared" si="3"/>
        <v>=ETPT_CA_JUR_DDG!D5</v>
      </c>
      <c r="E8" s="108" t="s">
        <v>53</v>
      </c>
      <c r="F8" s="108" t="s">
        <v>52</v>
      </c>
      <c r="G8" s="100" t="e">
        <f>SUM(SUMIFS(
INDEX( 'ETPT Format DDG'!$A:$ZZ,,MATCH("13.8. ACCUEIL DU JUSTICIABLE",'ETPT Format DDG'!2:2,0)),
INDEX( 'ETPT Format DDG'!$A:$ZZ,,MATCH("Fonction recodée",'ETPT Format DDG'!2:2,0)),"Fonctionnaire CTECH"))</f>
        <v>#N/A</v>
      </c>
      <c r="H8" s="78" t="e">
        <f>SUM(G8)</f>
        <v>#N/A</v>
      </c>
      <c r="I8" s="100"/>
      <c r="J8" s="100"/>
      <c r="K8" s="100"/>
      <c r="L8" s="100"/>
      <c r="M8" s="100"/>
      <c r="N8" s="100" t="e">
        <f>SUM(SUMIFS(
INDEX( 'ETPT Format DDG'!$A:$ZZ,,MATCH("13.8. ACCUEIL DU JUSTICIABLE",'ETPT Format DDG'!2:2,0)),
INDEX( 'ETPT Format DDG'!$A:$ZZ,,MATCH("Fonction recodée",'ETPT Format DDG'!2:2,0)),"Fonctionnaire A-B-CBUR"))</f>
        <v>#N/A</v>
      </c>
      <c r="O8" s="78" t="e">
        <f t="shared" si="0"/>
        <v>#N/A</v>
      </c>
      <c r="P8" s="100"/>
      <c r="Q8" s="100"/>
      <c r="R8" s="100"/>
      <c r="S8" s="100"/>
      <c r="T8" s="100" t="e">
        <f>SUM(SUMIFS(
INDEX( 'ETPT Format DDG'!$A:$ZZ,,MATCH("13.8. ACCUEIL DU JUSTICIABLE",'ETPT Format DDG'!2:2,0)),
INDEX( 'ETPT Format DDG'!$A:$ZZ,,MATCH("Fonction recodée",'ETPT Format DDG'!2:2,0)),"Magistrat SIEGE"))</f>
        <v>#N/A</v>
      </c>
      <c r="U8" s="78" t="e">
        <f t="shared" si="1"/>
        <v>#N/A</v>
      </c>
      <c r="V8" s="100"/>
      <c r="W8" s="100"/>
      <c r="X8" s="100"/>
      <c r="Y8" s="100"/>
      <c r="Z8" s="100"/>
      <c r="AA8" s="78">
        <f t="shared" si="2"/>
        <v>0</v>
      </c>
    </row>
    <row r="9" spans="1:58" x14ac:dyDescent="0.2">
      <c r="A9" s="42"/>
      <c r="B9" s="41"/>
      <c r="C9" s="41"/>
      <c r="D9" s="38" t="str">
        <f t="shared" si="3"/>
        <v>=ETPT_CA_JUR_DDG!D5</v>
      </c>
      <c r="E9" s="108" t="s">
        <v>51</v>
      </c>
      <c r="F9" s="108" t="s">
        <v>50</v>
      </c>
      <c r="G9" s="100" t="e">
        <f>SUM(SUMIFS(
INDEX( 'ETPT Format DDG'!$A:$ZZ,,MATCH("13.11. ACTIVITÉS EXTÉRIEURES ET PARTENARIATS",'ETPT Format DDG'!2:2,0)),
INDEX( 'ETPT Format DDG'!$A:$ZZ,,MATCH("Fonction recodée",'ETPT Format DDG'!2:2,0)),"Fonctionnaire CTECH"))+
SUM(SUMIFS(
INDEX( 'ETPT Format DDG'!$A:$ZZ,,MATCH("13.13. COMMUNICATION",'ETPT Format DDG'!2:2,0)),
INDEX( 'ETPT Format DDG'!$A:$ZZ,,MATCH("Fonction recodée",'ETPT Format DDG'!2:2,0)),"Fonctionnaire CTECH"))+
SUM(SUMIFS(
INDEX( 'ETPT Format DDG'!$A:$ZZ,,MATCH("13.12. ÉQUIPEMENT",'ETPT Format DDG'!2:2,0)),
INDEX( 'ETPT Format DDG'!$A:$ZZ,,MATCH("Fonction recodée",'ETPT Format DDG'!2:2,0)),"Fonctionnaire CTECH"))+
SUM(SUMIFS(
INDEX( 'ETPT Format DDG'!$A:$ZZ,,MATCH("13.5. EXPERTISES (SUIVI ET LISTES)",'ETPT Format DDG'!2:2,0)),
INDEX( 'ETPT Format DDG'!$A:$ZZ,,MATCH("Fonction recodée",'ETPT Format DDG'!2:2,0)),"Fonctionnaire CTECH"))+
SUM(SUMIFS(
INDEX( 'ETPT Format DDG'!$A:$ZZ,,MATCH("13.2. FORMATIONS SUIVIES",'ETPT Format DDG'!2:2,0)),
INDEX( 'ETPT Format DDG'!$A:$ZZ,,MATCH("Fonction recodée",'ETPT Format DDG'!2:2,0)),"Fonctionnaire CTECH"))+
SUM(SUMIFS(
INDEX( 'ETPT Format DDG'!$A:$ZZ,,MATCH("13.6. MÉDIATION / CONCILIATION (SUIVI ET LISTES)",'ETPT Format DDG'!2:2,0)),
INDEX( 'ETPT Format DDG'!$A:$ZZ,,MATCH("Fonction recodée",'ETPT Format DDG'!2:2,0)),"Fonctionnaire CTECH"))+
SUM(SUMIFS(
INDEX( 'ETPT Format DDG'!$A:$ZZ,,MATCH("13.14. POLITIQUE ASSOCIATIVE ET AIDE AUX VICTIMES",'ETPT Format DDG'!2:2,0)),
INDEX( 'ETPT Format DDG'!$A:$ZZ,,MATCH("Fonction recodée",'ETPT Format DDG'!2:2,0)),"Fonctionnaire CTECH"))+
SUM(SUMIFS(
INDEX( 'ETPT Format DDG'!$A:$ZZ,,MATCH("13.1. SOUTIEN (AUTRES)",'ETPT Format DDG'!2:2,0)),
INDEX( 'ETPT Format DDG'!$A:$ZZ,,MATCH("Fonction recodée",'ETPT Format DDG'!2:2,0)),"Fonctionnaire CTECH"))+
SUM(SUMIFS(
INDEX( 'ETPT Format DDG'!$A:$ZZ,,MATCH("13.15. AUTRES ACTIVITÉS NON JURIDICTIONNELLES",'ETPT Format DDG'!2:2,0)),
INDEX( 'ETPT Format DDG'!$A:$ZZ,,MATCH("Fonction recodée",'ETPT Format DDG'!2:2,0)),"Fonctionnaire CTECH"))</f>
        <v>#N/A</v>
      </c>
      <c r="H9" s="78" t="e">
        <f>SUM(G9)</f>
        <v>#N/A</v>
      </c>
      <c r="I9" s="119"/>
      <c r="J9" s="100"/>
      <c r="K9" s="100"/>
      <c r="L9" s="100"/>
      <c r="M9" s="100"/>
      <c r="N9" s="100" t="e">
        <f>SUM(SUMIFS(
INDEX( 'ETPT Format DDG'!$A:$ZZ,,MATCH("13.11. ACTIVITÉS EXTÉRIEURES ET PARTENARIATS",'ETPT Format DDG'!2:2,0)),
INDEX( 'ETPT Format DDG'!$A:$ZZ,,MATCH("Fonction recodée",'ETPT Format DDG'!2:2,0)),"Fonctionnaire A-B-CBUR"))+
SUM(SUMIFS(
INDEX( 'ETPT Format DDG'!$A:$ZZ,,MATCH("13.13. COMMUNICATION",'ETPT Format DDG'!2:2,0)),
INDEX( 'ETPT Format DDG'!$A:$ZZ,,MATCH("Fonction recodée",'ETPT Format DDG'!2:2,0)),"Fonctionnaire A-B-CBUR"))+
SUM(SUMIFS(
INDEX( 'ETPT Format DDG'!$A:$ZZ,,MATCH("13.12. ÉQUIPEMENT",'ETPT Format DDG'!2:2,0)),
INDEX( 'ETPT Format DDG'!$A:$ZZ,,MATCH("Fonction recodée",'ETPT Format DDG'!2:2,0)),"Fonctionnaire A-B-CBUR"))+
SUM(SUMIFS(
INDEX( 'ETPT Format DDG'!$A:$ZZ,,MATCH("13.5. EXPERTISES (SUIVI ET LISTES)",'ETPT Format DDG'!2:2,0)),
INDEX( 'ETPT Format DDG'!$A:$ZZ,,MATCH("Fonction recodée",'ETPT Format DDG'!2:2,0)),"Fonctionnaire A-B-CBUR"))+
SUM(SUMIFS(
INDEX( 'ETPT Format DDG'!$A:$ZZ,,MATCH("13.2. FORMATIONS SUIVIES",'ETPT Format DDG'!2:2,0)),
INDEX( 'ETPT Format DDG'!$A:$ZZ,,MATCH("Fonction recodée",'ETPT Format DDG'!2:2,0)),"Fonctionnaire A-B-CBUR"))+
SUM(SUMIFS(
INDEX( 'ETPT Format DDG'!$A:$ZZ,,MATCH("13.6. MÉDIATION / CONCILIATION (SUIVI ET LISTES)",'ETPT Format DDG'!2:2,0)),
INDEX( 'ETPT Format DDG'!$A:$ZZ,,MATCH("Fonction recodée",'ETPT Format DDG'!2:2,0)),"Fonctionnaire A-B-CBUR"))+
SUM(SUMIFS(
INDEX( 'ETPT Format DDG'!$A:$ZZ,,MATCH("13.14. POLITIQUE ASSOCIATIVE ET AIDE AUX VICTIMES",'ETPT Format DDG'!2:2,0)),
INDEX( 'ETPT Format DDG'!$A:$ZZ,,MATCH("Fonction recodée",'ETPT Format DDG'!2:2,0)),"Fonctionnaire A-B-CBUR"))+
SUM(SUMIFS(
INDEX( 'ETPT Format DDG'!$A:$ZZ,,MATCH("13.1. SOUTIEN (AUTRES)",'ETPT Format DDG'!2:2,0)),
INDEX( 'ETPT Format DDG'!$A:$ZZ,,MATCH("Fonction recodée",'ETPT Format DDG'!2:2,0)),"Fonctionnaire A-B-CBUR"))+
SUM(SUMIFS(
INDEX( 'ETPT Format DDG'!$A:$ZZ,,MATCH("13.15. AUTRES ACTIVITÉS NON JURIDICTIONNELLES",'ETPT Format DDG'!2:2,0)),
INDEX( 'ETPT Format DDG'!$A:$ZZ,,MATCH("Fonction recodée",'ETPT Format DDG'!2:2,0)),"Fonctionnaire A-B-CBUR"))</f>
        <v>#N/A</v>
      </c>
      <c r="O9" s="78" t="e">
        <f t="shared" si="0"/>
        <v>#N/A</v>
      </c>
      <c r="P9" s="100"/>
      <c r="Q9" s="100"/>
      <c r="R9" s="100"/>
      <c r="S9" s="100"/>
      <c r="T9" s="100" t="e">
        <f>SUM(SUMIFS(
INDEX( 'ETPT Format DDG'!$A:$ZZ,,MATCH("13.11. ACTIVITÉS EXTÉRIEURES ET PARTENARIATS",'ETPT Format DDG'!2:2,0)),
INDEX( 'ETPT Format DDG'!$A:$ZZ,,MATCH("Fonction recodée",'ETPT Format DDG'!2:2,0)),"Magistrat SIEGE"))+
SUM(SUMIFS(
INDEX( 'ETPT Format DDG'!$A:$ZZ,,MATCH("13.13. COMMUNICATION",'ETPT Format DDG'!2:2,0)),
INDEX( 'ETPT Format DDG'!$A:$ZZ,,MATCH("Fonction recodée",'ETPT Format DDG'!2:2,0)),"Magistrat SIEGE"))+
SUM(SUMIFS(
INDEX( 'ETPT Format DDG'!$A:$ZZ,,MATCH("13.12. ÉQUIPEMENT",'ETPT Format DDG'!2:2,0)),
INDEX( 'ETPT Format DDG'!$A:$ZZ,,MATCH("Fonction recodée",'ETPT Format DDG'!2:2,0)),"Magistrat SIEGE"))+
SUM(SUMIFS(
INDEX( 'ETPT Format DDG'!$A:$ZZ,,MATCH("13.5. EXPERTISES (SUIVI ET LISTES)",'ETPT Format DDG'!2:2,0)),
INDEX( 'ETPT Format DDG'!$A:$ZZ,,MATCH("Fonction recodée",'ETPT Format DDG'!2:2,0)),"Magistrat SIEGE"))+
SUM(SUMIFS(
INDEX( 'ETPT Format DDG'!$A:$ZZ,,MATCH("13.2. FORMATIONS SUIVIES",'ETPT Format DDG'!2:2,0)),
INDEX( 'ETPT Format DDG'!$A:$ZZ,,MATCH("Fonction recodée",'ETPT Format DDG'!2:2,0)),"Magistrat SIEGE"))+
SUM(SUMIFS(
INDEX( 'ETPT Format DDG'!$A:$ZZ,,MATCH("13.6. MÉDIATION / CONCILIATION (SUIVI ET LISTES)",'ETPT Format DDG'!2:2,0)),
INDEX( 'ETPT Format DDG'!$A:$ZZ,,MATCH("Fonction recodée",'ETPT Format DDG'!2:2,0)),"Magistrat SIEGE"))+
SUM(SUMIFS(
INDEX( 'ETPT Format DDG'!$A:$ZZ,,MATCH("13.14. POLITIQUE ASSOCIATIVE ET AIDE AUX VICTIMES",'ETPT Format DDG'!2:2,0)),
INDEX( 'ETPT Format DDG'!$A:$ZZ,,MATCH("Fonction recodée",'ETPT Format DDG'!2:2,0)),"Magistrat SIEGE"))+
SUM(SUMIFS(
INDEX( 'ETPT Format DDG'!$A:$ZZ,,MATCH("13.1. SOUTIEN (AUTRES)",'ETPT Format DDG'!2:2,0)),
INDEX( 'ETPT Format DDG'!$A:$ZZ,,MATCH("Fonction recodée",'ETPT Format DDG'!2:2,0)),"Magistrat SIEGE"))+
SUM(SUMIFS(
INDEX( 'ETPT Format DDG'!$A:$ZZ,,MATCH("13.15. AUTRES ACTIVITÉS NON JURIDICTIONNELLES",'ETPT Format DDG'!2:2,0)),
INDEX( 'ETPT Format DDG'!$A:$ZZ,,MATCH("Fonction recodée",'ETPT Format DDG'!2:2,0)),"Magistrat SIEGE"))</f>
        <v>#N/A</v>
      </c>
      <c r="U9" s="78" t="e">
        <f t="shared" si="1"/>
        <v>#N/A</v>
      </c>
      <c r="V9" s="100"/>
      <c r="W9" s="100"/>
      <c r="X9" s="100"/>
      <c r="Y9" s="100"/>
      <c r="Z9" s="100"/>
      <c r="AA9" s="78">
        <f t="shared" si="2"/>
        <v>0</v>
      </c>
    </row>
    <row r="10" spans="1:58" x14ac:dyDescent="0.2">
      <c r="A10" s="42"/>
      <c r="B10" s="41"/>
      <c r="C10" s="41"/>
      <c r="D10" s="38" t="str">
        <f t="shared" si="3"/>
        <v>=ETPT_CA_JUR_DDG!D5</v>
      </c>
      <c r="E10" s="108" t="s">
        <v>49</v>
      </c>
      <c r="F10" s="108" t="s">
        <v>48</v>
      </c>
      <c r="G10" s="100" t="e">
        <f>SUM(SUMIFS(
INDEX( 'ETPT Format DDG'!$A:$ZZ,,MATCH("13.3. FORMATIONS DISPENSÉES",'ETPT Format DDG'!2:2,0)),
INDEX( 'ETPT Format DDG'!$A:$ZZ,,MATCH("Fonction recodée",'ETPT Format DDG'!2:2,0)),"Fonctionnaire CTECH"))</f>
        <v>#N/A</v>
      </c>
      <c r="H10" s="78" t="e">
        <f t="shared" ref="H10:H15" si="4">SUM(G10)</f>
        <v>#N/A</v>
      </c>
      <c r="I10" s="100"/>
      <c r="J10" s="100"/>
      <c r="K10" s="100"/>
      <c r="L10" s="100"/>
      <c r="M10" s="100"/>
      <c r="N10" s="100" t="e">
        <f>SUM(SUMIFS(
INDEX( 'ETPT Format DDG'!$A:$ZZ,,MATCH("13.3. FORMATIONS DISPENSÉES",'ETPT Format DDG'!2:2,0)),
INDEX( 'ETPT Format DDG'!$A:$ZZ,,MATCH("Fonction recodée",'ETPT Format DDG'!2:2,0)),"Fonctionnaire A-B-CBUR"))</f>
        <v>#N/A</v>
      </c>
      <c r="O10" s="78" t="e">
        <f t="shared" si="0"/>
        <v>#N/A</v>
      </c>
      <c r="P10" s="100"/>
      <c r="Q10" s="100"/>
      <c r="R10" s="100"/>
      <c r="S10" s="100"/>
      <c r="T10" s="100" t="e">
        <f>SUM(SUMIFS(
INDEX( 'ETPT Format DDG'!$A:$ZZ,,MATCH("13.3. FORMATIONS DISPENSÉES",'ETPT Format DDG'!2:2,0)),
INDEX( 'ETPT Format DDG'!$A:$ZZ,,MATCH("Fonction recodée",'ETPT Format DDG'!2:2,0)),"Magistrat SIEGE"))</f>
        <v>#N/A</v>
      </c>
      <c r="U10" s="78" t="e">
        <f t="shared" si="1"/>
        <v>#N/A</v>
      </c>
      <c r="V10" s="100"/>
      <c r="W10" s="100"/>
      <c r="X10" s="100"/>
      <c r="Y10" s="100"/>
      <c r="Z10" s="100"/>
      <c r="AA10" s="78">
        <f t="shared" si="2"/>
        <v>0</v>
      </c>
    </row>
    <row r="11" spans="1:58" x14ac:dyDescent="0.2">
      <c r="A11" s="42"/>
      <c r="B11" s="41"/>
      <c r="C11" s="41"/>
      <c r="D11" s="38" t="str">
        <f t="shared" si="3"/>
        <v>=ETPT_CA_JUR_DDG!D5</v>
      </c>
      <c r="E11" s="108" t="s">
        <v>47</v>
      </c>
      <c r="F11" s="108" t="s">
        <v>46</v>
      </c>
      <c r="G11" s="100" t="e">
        <f>SUM(SUMIFS(
INDEX( 'ETPT Format DDG'!$A:$ZZ,,MATCH("13.7. ACCÈS AU DROIT ET À LA JUSTICE",'ETPT Format DDG'!2:2,0)),
INDEX( 'ETPT Format DDG'!$A:$ZZ,,MATCH("Fonction recodée",'ETPT Format DDG'!2:2,0)),"Fonctionnaire CTECH"))</f>
        <v>#N/A</v>
      </c>
      <c r="H11" s="78" t="e">
        <f t="shared" si="4"/>
        <v>#N/A</v>
      </c>
      <c r="I11" s="100"/>
      <c r="J11" s="100"/>
      <c r="K11" s="100"/>
      <c r="L11" s="100"/>
      <c r="M11" s="100"/>
      <c r="N11" s="100" t="e">
        <f>SUM(SUMIFS(
INDEX( 'ETPT Format DDG'!$A:$ZZ,,MATCH("13.7. ACCÈS AU DROIT ET À LA JUSTICE",'ETPT Format DDG'!2:2,0)),
INDEX( 'ETPT Format DDG'!$A:$ZZ,,MATCH("Fonction recodée",'ETPT Format DDG'!2:2,0)),"Fonctionnaire A-B-CBUR"))</f>
        <v>#N/A</v>
      </c>
      <c r="O11" s="78" t="e">
        <f t="shared" si="0"/>
        <v>#N/A</v>
      </c>
      <c r="P11" s="100"/>
      <c r="Q11" s="100"/>
      <c r="R11" s="100"/>
      <c r="S11" s="100"/>
      <c r="T11" s="100" t="e">
        <f>SUM(SUMIFS(
INDEX( 'ETPT Format DDG'!$A:$ZZ,,MATCH("13.7. ACCÈS AU DROIT ET À LA JUSTICE",'ETPT Format DDG'!2:2,0)),
INDEX( 'ETPT Format DDG'!$A:$ZZ,,MATCH("Fonction recodée",'ETPT Format DDG'!2:2,0)),"Magistrat SIEGE"))</f>
        <v>#N/A</v>
      </c>
      <c r="U11" s="78" t="e">
        <f t="shared" si="1"/>
        <v>#N/A</v>
      </c>
      <c r="V11" s="100"/>
      <c r="W11" s="100"/>
      <c r="X11" s="100"/>
      <c r="Y11" s="100"/>
      <c r="Z11" s="100"/>
      <c r="AA11" s="78">
        <f t="shared" si="2"/>
        <v>0</v>
      </c>
    </row>
    <row r="12" spans="1:58" x14ac:dyDescent="0.2">
      <c r="A12" s="42"/>
      <c r="B12" s="41"/>
      <c r="C12" s="41"/>
      <c r="D12" s="38" t="str">
        <f t="shared" si="3"/>
        <v>=ETPT_CA_JUR_DDG!D5</v>
      </c>
      <c r="E12" s="108" t="s">
        <v>45</v>
      </c>
      <c r="F12" s="108" t="s">
        <v>44</v>
      </c>
      <c r="G12" s="100" t="e">
        <f>SUM(SUMIFS(
INDEX( 'ETPT Format DDG'!$A:$ZZ,,MATCH("14. TOTAL des INDISPONIBILITÉS relevant de l'action 99",'ETPT Format DDG'!2:2,0)),
INDEX( 'ETPT Format DDG'!$A:$ZZ,,MATCH("Fonction recodée",'ETPT Format DDG'!2:2,0)),"Fonctionnaire CTECH"))-
SUM(SUMIFS(
INDEX( 'ETPT Format DDG'!$A:$ZZ,,MATCH("14.9. MISE À DISPOSITION",'ETPT Format DDG'!2:2,0)),
INDEX( 'ETPT Format DDG'!$A:$ZZ,,MATCH("Fonction recodée",'ETPT Format DDG'!2:2,0)),"Fonctionnaire CTECH"))</f>
        <v>#N/A</v>
      </c>
      <c r="H12" s="78" t="e">
        <f t="shared" si="4"/>
        <v>#N/A</v>
      </c>
      <c r="I12" s="100"/>
      <c r="J12" s="100"/>
      <c r="K12" s="100"/>
      <c r="L12" s="100"/>
      <c r="M12" s="100"/>
      <c r="N12" s="100" t="e">
        <f>SUM(SUMIFS(
INDEX( 'ETPT Format DDG'!$A:$ZZ,,MATCH("14. TOTAL des INDISPONIBILITÉS relevant de l'action 99",'ETPT Format DDG'!2:2,0)),
INDEX( 'ETPT Format DDG'!$A:$ZZ,,MATCH("Fonction recodée",'ETPT Format DDG'!2:2,0)),"Fonctionnaire A-B-CBUR"))-
SUM(SUMIFS(
INDEX( 'ETPT Format DDG'!$A:$ZZ,,MATCH("14.9. MISE À DISPOSITION",'ETPT Format DDG'!2:2,0)),
INDEX( 'ETPT Format DDG'!$A:$ZZ,,MATCH("Fonction recodée",'ETPT Format DDG'!2:2,0)),"Fonctionnaire A-B-CBUR"))</f>
        <v>#N/A</v>
      </c>
      <c r="O12" s="78" t="e">
        <f t="shared" si="0"/>
        <v>#N/A</v>
      </c>
      <c r="P12" s="100"/>
      <c r="Q12" s="100"/>
      <c r="R12" s="100"/>
      <c r="S12" s="100"/>
      <c r="T12" s="100" t="e">
        <f>SUM(SUMIFS(
INDEX( 'ETPT Format DDG'!$A:$ZZ,,MATCH("14. TOTAL des INDISPONIBILITÉS relevant de l'action 99",'ETPT Format DDG'!2:2,0)),
INDEX( 'ETPT Format DDG'!$A:$ZZ,,MATCH("Fonction recodée",'ETPT Format DDG'!2:2,0)),"Magistrat SIEGE"))-
SUM(SUMIFS(
INDEX( 'ETPT Format DDG'!$A:$ZZ,,MATCH("14.9. MISE À DISPOSITION",'ETPT Format DDG'!2:2,0)),
INDEX( 'ETPT Format DDG'!$A:$ZZ,,MATCH("Fonction recodée",'ETPT Format DDG'!2:2,0)),"Magistrat SIEGE"))</f>
        <v>#N/A</v>
      </c>
      <c r="U12" s="78" t="e">
        <f t="shared" si="1"/>
        <v>#N/A</v>
      </c>
      <c r="V12" s="100"/>
      <c r="W12" s="100"/>
      <c r="X12" s="100"/>
      <c r="Y12" s="100"/>
      <c r="Z12" s="100"/>
      <c r="AA12" s="78">
        <f t="shared" si="2"/>
        <v>0</v>
      </c>
    </row>
    <row r="13" spans="1:58" x14ac:dyDescent="0.2">
      <c r="A13" s="42"/>
      <c r="B13" s="41"/>
      <c r="C13" s="41"/>
      <c r="D13" s="38" t="str">
        <f>IF(ISBLANK($D$5),"",$D$5)</f>
        <v>=ETPT_CA_JUR_DDG!D5</v>
      </c>
      <c r="E13" s="108" t="s">
        <v>43</v>
      </c>
      <c r="F13" s="108" t="s">
        <v>42</v>
      </c>
      <c r="G13" s="100" t="e">
        <f>SUM(SUMIFS(
INDEX( 'ETPT Format DDG'!$A:$ZZ,,MATCH("14.9. MISE À DISPOSITION",'ETPT Format DDG'!2:2,0)),
INDEX( 'ETPT Format DDG'!$A:$ZZ,,MATCH("Fonction recodée",'ETPT Format DDG'!2:2,0)),"Fonctionnaire CTECH"))</f>
        <v>#N/A</v>
      </c>
      <c r="H13" s="78" t="e">
        <f t="shared" si="4"/>
        <v>#N/A</v>
      </c>
      <c r="I13" s="100"/>
      <c r="J13" s="100"/>
      <c r="K13" s="100"/>
      <c r="L13" s="100"/>
      <c r="M13" s="100"/>
      <c r="N13" s="100" t="e">
        <f>SUM(SUMIFS(
INDEX( 'ETPT Format DDG'!$A:$ZZ,,MATCH("14.9. MISE À DISPOSITION",'ETPT Format DDG'!2:2,0)),
INDEX( 'ETPT Format DDG'!$A:$ZZ,,MATCH("Fonction recodée",'ETPT Format DDG'!2:2,0)),"Fonctionnaire A-B-CBUR"))</f>
        <v>#N/A</v>
      </c>
      <c r="O13" s="78" t="e">
        <f t="shared" si="0"/>
        <v>#N/A</v>
      </c>
      <c r="P13" s="100"/>
      <c r="Q13" s="100"/>
      <c r="R13" s="100"/>
      <c r="S13" s="100"/>
      <c r="T13" s="100" t="e">
        <f>SUM(SUMIFS(
INDEX( 'ETPT Format DDG'!$A:$ZZ,,MATCH("14.9. MISE À DISPOSITION",'ETPT Format DDG'!2:2,0)),
INDEX( 'ETPT Format DDG'!$A:$ZZ,,MATCH("Fonction recodée",'ETPT Format DDG'!2:2,0)),"Magistrat SIEGE"))</f>
        <v>#N/A</v>
      </c>
      <c r="U13" s="78" t="e">
        <f t="shared" si="1"/>
        <v>#N/A</v>
      </c>
      <c r="V13" s="100"/>
      <c r="W13" s="100"/>
      <c r="X13" s="100"/>
      <c r="Y13" s="100"/>
      <c r="Z13" s="100"/>
      <c r="AA13" s="78">
        <f t="shared" si="2"/>
        <v>0</v>
      </c>
    </row>
    <row r="14" spans="1:58" x14ac:dyDescent="0.2">
      <c r="A14" s="40"/>
      <c r="B14" s="39"/>
      <c r="C14" s="39"/>
      <c r="D14" s="38" t="str">
        <f>IF(ISBLANK($D$5),"",$D$5)</f>
        <v>=ETPT_CA_JUR_DDG!D5</v>
      </c>
      <c r="E14" s="108" t="s">
        <v>41</v>
      </c>
      <c r="F14" s="108" t="s">
        <v>40</v>
      </c>
      <c r="G14" s="100" t="e">
        <f>SUM(SUMIFS(
INDEX('ETPT A-JUST'!$A:$ZZ,,MATCH("Temps ventilés sur la période (absentéisme et action 99 déduits)",'ETPT A-JUST'!2:2,0)),
INDEX('ETPT A-JUST'!$A:$ZZ,,MATCH("Fonction recodée",'ETPT A-JUST'!2:2,0)),"Fonctionnaire CTECH placé ADD"))</f>
        <v>#N/A</v>
      </c>
      <c r="H14" s="78" t="e">
        <f t="shared" si="4"/>
        <v>#N/A</v>
      </c>
      <c r="I14" s="100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ADD"))</f>
        <v>#N/A</v>
      </c>
      <c r="J14" s="100" t="e">
        <f>SUM(SUMIFS(
INDEX('ETPT A-JUST'!$A:$ZZ,,MATCH("11.1. ASSISES HORS JIRS",'ETPT A-JUST'!2:2,0)),
INDEX('ETPT A-JUST'!$A:$ZZ,,MATCH("Fonction recodée",'ETPT A-JUST'!2:2,0)),"Fonctionnaire A-B-CBUR placé ADD"))+
SUM(SUMIFS(
INDEX('ETPT A-JUST'!$A:$ZZ,,MATCH("11.2 ASSISES JIRS",'ETPT A-JUST'!2:2,0)),
INDEX('ETPT A-JUST'!$A:$ZZ,,MATCH("Fonction recodée",'ETPT A-JUST'!2:2,0)),"Fonctionnaire A-B-CBUR placé ADD"))</f>
        <v>#N/A</v>
      </c>
      <c r="K14" s="100" t="e">
        <f>SUM(SUMIFS(
INDEX('ETPT A-JUST'!$A:$ZZ,,MATCH("11.3. COUR CRIMINELLE DÉPARTEMENTALE",'ETPT A-JUST'!2:2,0)),
INDEX('ETPT A-JUST'!$A:$ZZ,,MATCH("Fonction recodée",'ETPT A-JUST'!2:2,0)),"Fonctionnaire A-B-CBUR placé ADD"))</f>
        <v>#N/A</v>
      </c>
      <c r="L14" s="100" t="e">
        <f>SUM(SUMIFS(
INDEX( 'ETPT A-JUST'!$A:$ZZ,,MATCH("8.4. CONTENTIEUX JIRS CRIM-ORG",'ETPT A-JUST'!2:2,0)),
INDEX( 'ETPT A-JUST'!$A:$ZZ,,MATCH("Fonction recodée",'ETPT A-JUST'!2:2,0)),"Fonctionnaire A-B-CBUR placé ADD"))+
SUM(SUMIFS(
INDEX( 'ETPT A-JUST'!$A:$ZZ,,MATCH("8.7. CONTENTIEUX JIRS ÉCO-FI",'ETPT A-JUST'!2:2,0)),
INDEX( 'ETPT A-JUST'!$A:$ZZ,,MATCH("Fonction recodée",'ETPT A-JUST'!2:2,0)),"Fonctionnaire A-B-CBUR placé ADD"))+
SUM(SUMIFS(
INDEX( 'ETPT A-JUST'!$A:$ZZ,,MATCH("9.3. CONTENTIEUX DE LA DÉTENTION JIRS",'ETPT A-JUST'!2:2,0)),
INDEX( 'ETPT A-JUST'!$A:$ZZ,,MATCH("Fonction recodée",'ETPT A-JUST'!2:2,0)),"Fonctionnaire A-B-CBUR placé ADD"))+
SUM(SUMIFS(
INDEX( 'ETPT A-JUST'!$A:$ZZ,,MATCH("9.5. CONTENTIEUX DU CONTRÔLE JUDICIAIRE JIRS",'ETPT A-JUST'!2:2,0)),
INDEX( 'ETPT A-JUST'!$A:$ZZ,,MATCH("Fonction recodée",'ETPT A-JUST'!2:2,0)),"Fonctionnaire A-B-CBUR placé ADD"))+
SUM(SUMIFS(
INDEX( 'ETPT A-JUST'!$A:$ZZ,,MATCH("9.7. CONTENTIEUX DE FOND JIRS",'ETPT A-JUST'!2:2,0)),
INDEX( 'ETPT A-JUST'!$A:$ZZ,,MATCH("Fonction recodée",'ETPT A-JUST'!2:2,0)),"Fonctionnaire A-B-CBUR placé ADD"))</f>
        <v>#N/A</v>
      </c>
      <c r="M14" s="100" t="e">
        <f>SUM(SUMIFS(
INDEX( 'ETPT A-JUST'!$A:$ZZ,,MATCH("1. TOTAL CONTENTIEUX SOCIAL",'ETPT A-JUST'!2:2,0)),
INDEX( 'ETPT A-JUST'!$A:$ZZ,,MATCH("Fonction recodée",'ETPT A-JUST'!2:2,0)),"Fonctionnaire A-B-CBUR placé ADD"))</f>
        <v>#N/A</v>
      </c>
      <c r="N14" s="100" t="e">
        <f>SUM(SUMIFS(
INDEX('ETPT A-JUST'!$A:$ZZ,,MATCH("Temps ventilés sur la période (absentéisme et action 99 déduits)",'ETPT A-JUST'!2:2,0)),
INDEX('ETPT A-JUST'!$A:$ZZ,,MATCH("Fonction recodée",'ETPT A-JUST'!2:2,0)),"Fonctionnaire A-B-CBUR placé ADD"))-
SUM(I14:M14)</f>
        <v>#N/A</v>
      </c>
      <c r="O14" s="78" t="e">
        <f t="shared" si="0"/>
        <v>#N/A</v>
      </c>
      <c r="P14" s="100" t="e">
        <f>SUM(SUMIFS(
INDEX('ETPT A-JUST'!$A:$ZZ,,MATCH("11.1. ASSISES HORS JIRS",'ETPT A-JUST'!2:2,0)),
INDEX('ETPT A-JUST'!$A:$ZZ,,MATCH("Fonction recodée",'ETPT A-JUST'!2:2,0)),"Magistrat placé ADD"))+
SUM(SUMIFS(
INDEX('ETPT A-JUST'!$A:$ZZ,,MATCH("11.2 ASSISES JIRS",'ETPT A-JUST'!2:2,0)),
INDEX('ETPT A-JUST'!$A:$ZZ,,MATCH("Fonction recodée",'ETPT A-JUST'!2:2,0)),"Magistrat placé ADD"))</f>
        <v>#N/A</v>
      </c>
      <c r="Q14" s="100" t="e">
        <f>SUM(SUMIFS(
INDEX('ETPT A-JUST'!$A:$ZZ,,MATCH("11.3. COUR CRIMINELLE DÉPARTEMENTALE",'ETPT A-JUST'!2:2,0)),
INDEX('ETPT A-JUST'!$A:$ZZ,,MATCH("Fonction recodée",'ETPT A-JUST'!2:2,0)),"Magistrat placé ADD"))</f>
        <v>#N/A</v>
      </c>
      <c r="R14" s="100" t="e">
        <f>SUM(SUMIFS(
INDEX( 'ETPT A-JUST'!$A:$ZZ,,MATCH("8.4. CONTENTIEUX JIRS CRIM-ORG",'ETPT A-JUST'!2:2,0)),
INDEX( 'ETPT A-JUST'!$A:$ZZ,,MATCH("Fonction recodée",'ETPT A-JUST'!2:2,0)),"Magistrat placé ADD"))+
SUM(SUMIFS(
INDEX( 'ETPT A-JUST'!$A:$ZZ,,MATCH("8.7. CONTENTIEUX JIRS ÉCO-FI",'ETPT A-JUST'!2:2,0)),
INDEX( 'ETPT A-JUST'!$A:$ZZ,,MATCH("Fonction recodée",'ETPT A-JUST'!2:2,0)),"Magistrat placé ADD"))+
SUM(SUMIFS(
INDEX( 'ETPT A-JUST'!$A:$ZZ,,MATCH("9.3. CONTENTIEUX DE LA DÉTENTION JIRS",'ETPT A-JUST'!2:2,0)),
INDEX( 'ETPT A-JUST'!$A:$ZZ,,MATCH("Fonction recodée",'ETPT A-JUST'!2:2,0)),"Magistrat placé ADD"))+
SUM(SUMIFS(
INDEX( 'ETPT A-JUST'!$A:$ZZ,,MATCH("9.5. CONTENTIEUX DU CONTRÔLE JUDICIAIRE JIRS",'ETPT A-JUST'!2:2,0)),
INDEX( 'ETPT A-JUST'!$A:$ZZ,,MATCH("Fonction recodée",'ETPT A-JUST'!2:2,0)),"Magistrat placé ADD"))+
SUM(SUMIFS(
INDEX( 'ETPT A-JUST'!$A:$ZZ,,MATCH("9.7. CONTENTIEUX DE FOND JIRS",'ETPT A-JUST'!2:2,0)),
INDEX( 'ETPT A-JUST'!$A:$ZZ,,MATCH("Fonction recodée",'ETPT A-JUST'!2:2,0)),"Magistrat placé ADD"))</f>
        <v>#N/A</v>
      </c>
      <c r="S14" s="100" t="e">
        <f>SUM(SUMIFS(
INDEX( 'ETPT A-JUST'!$A:$ZZ,,MATCH("1. TOTAL CONTENTIEUX SOCIAL",'ETPT A-JUST'!2:2,0)),
INDEX( 'ETPT A-JUST'!$A:$ZZ,,MATCH("Fonction recodée",'ETPT A-JUST'!2:2,0)),"Magistrat placé ADD"))</f>
        <v>#N/A</v>
      </c>
      <c r="T14" s="100" t="e">
        <f>SUM(SUMIFS(
INDEX('ETPT A-JUST'!$A:$ZZ,,MATCH("Temps ventilés sur la période (absentéisme et action 99 déduits)",'ETPT A-JUST'!2:2,0)),
INDEX('ETPT A-JUST'!$A:$ZZ,,MATCH("Fonction recodée",'ETPT A-JUST'!2:2,0)),"Magistrat placé ADD"))-
SUM(P14:S14)</f>
        <v>#N/A</v>
      </c>
      <c r="U14" s="78" t="e">
        <f t="shared" si="1"/>
        <v>#N/A</v>
      </c>
      <c r="V14" s="100"/>
      <c r="W14" s="100"/>
      <c r="X14" s="100"/>
      <c r="Y14" s="100"/>
      <c r="Z14" s="100"/>
      <c r="AA14" s="78">
        <f t="shared" si="2"/>
        <v>0</v>
      </c>
    </row>
    <row r="15" spans="1:58" x14ac:dyDescent="0.2">
      <c r="D15" s="38" t="str">
        <f t="shared" si="3"/>
        <v>=ETPT_CA_JUR_DDG!D5</v>
      </c>
      <c r="E15" s="108" t="s">
        <v>139</v>
      </c>
      <c r="F15" s="108" t="s">
        <v>140</v>
      </c>
      <c r="G15" s="100"/>
      <c r="H15" s="78">
        <f t="shared" si="4"/>
        <v>0</v>
      </c>
      <c r="I15" s="100"/>
      <c r="J15" s="100"/>
      <c r="K15" s="100"/>
      <c r="L15" s="100"/>
      <c r="M15" s="100"/>
      <c r="N15" s="100"/>
      <c r="O15" s="78">
        <f t="shared" si="0"/>
        <v>0</v>
      </c>
      <c r="P15" s="100"/>
      <c r="Q15" s="100"/>
      <c r="R15" s="100"/>
      <c r="S15" s="100"/>
      <c r="T15" s="100" t="e" cm="1">
        <f t="array" ref="T15">SUM(SUMIFS(
INDEX( 'ETPT A-JUST'!$A:$ZZ,,MATCH("14. TOTAL INDISPONIBILITÉ",'ETPT A-JUST'!2:2,0)),
INDEX( 'ETPT A-JUST'!$A:$ZZ,,MATCH("Fonction recodée",'ETPT A-JUST'!2:2,0)),{"Magistrat placé ADD";"Magistrat placé SUB"}))</f>
        <v>#N/A</v>
      </c>
      <c r="U15" s="78" t="e">
        <f t="shared" si="1"/>
        <v>#N/A</v>
      </c>
      <c r="V15" s="100"/>
      <c r="W15" s="100"/>
      <c r="X15" s="100"/>
      <c r="Y15" s="100"/>
      <c r="Z15" s="100"/>
      <c r="AA15" s="78">
        <f t="shared" si="2"/>
        <v>0</v>
      </c>
    </row>
    <row r="16" spans="1:58" x14ac:dyDescent="0.2">
      <c r="D16" s="39"/>
      <c r="E16" s="108" t="s">
        <v>39</v>
      </c>
      <c r="F16" s="108" t="s">
        <v>38</v>
      </c>
      <c r="G16" s="100" t="e">
        <f>SUM(SUMIFS(
INDEX('ETPT A-JUST'!$A:$ZZ,,MATCH("Temps ventilés sur la période (absentéisme et action 99 déduits)",'ETPT A-JUST'!2:2,0)),
INDEX('ETPT A-JUST'!$A:$ZZ,,MATCH("Fonction recodée",'ETPT A-JUST'!2:2,0)),"Fonctionnaire CTECH placé SUB"))</f>
        <v>#N/A</v>
      </c>
      <c r="H16" s="78" t="e">
        <f>SUM(G16)</f>
        <v>#N/A</v>
      </c>
      <c r="I16" s="100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SUB"))</f>
        <v>#N/A</v>
      </c>
      <c r="J16" s="100" t="e">
        <f>SUM(SUMIFS(
INDEX('ETPT A-JUST'!$A:$ZZ,,MATCH("11.1. ASSISES HORS JIRS",'ETPT A-JUST'!2:2,0)),
INDEX('ETPT A-JUST'!$A:$ZZ,,MATCH("Fonction recodée",'ETPT A-JUST'!2:2,0)),"Fonctionnaire A-B-CBUR placé SUB"))+
SUM(SUMIFS(
INDEX('ETPT A-JUST'!$A:$ZZ,,MATCH("11.2 ASSISES JIRS",'ETPT A-JUST'!2:2,0)),
INDEX('ETPT A-JUST'!$A:$ZZ,,MATCH("Fonction recodée",'ETPT A-JUST'!2:2,0)),"Fonctionnaire A-B-CBUR placé SUB"))</f>
        <v>#N/A</v>
      </c>
      <c r="K16" s="100" t="e">
        <f>SUM(SUMIFS(
INDEX('ETPT A-JUST'!$A:$ZZ,,MATCH("11.3. COUR CRIMINELLE DÉPARTEMENTALE",'ETPT A-JUST'!2:2,0)),
INDEX('ETPT A-JUST'!$A:$ZZ,,MATCH("Fonction recodée",'ETPT A-JUST'!2:2,0)),"Fonctionnaire A-B-CBUR placé SUB"))</f>
        <v>#N/A</v>
      </c>
      <c r="L16" s="100" t="e">
        <f>SUM(SUMIFS(
INDEX( 'ETPT A-JUST'!$A:$ZZ,,MATCH("8.4. CONTENTIEUX JIRS CRIM-ORG",'ETPT A-JUST'!2:2,0)),
INDEX( 'ETPT A-JUST'!$A:$ZZ,,MATCH("Fonction recodée",'ETPT A-JUST'!2:2,0)),"Fonctionnaire A-B-CBUR placé SUB"))+
SUM(SUMIFS(
INDEX( 'ETPT A-JUST'!$A:$ZZ,,MATCH("8.7. CONTENTIEUX JIRS ÉCO-FI",'ETPT A-JUST'!2:2,0)),
INDEX( 'ETPT A-JUST'!$A:$ZZ,,MATCH("Fonction recodée",'ETPT A-JUST'!2:2,0)),"Fonctionnaire A-B-CBUR placé SUB"))+
SUM(SUMIFS(
INDEX( 'ETPT A-JUST'!$A:$ZZ,,MATCH("9.3. CONTENTIEUX DE LA DÉTENTION JIRS",'ETPT A-JUST'!2:2,0)),
INDEX( 'ETPT A-JUST'!$A:$ZZ,,MATCH("Fonction recodée",'ETPT A-JUST'!2:2,0)),"Fonctionnaire A-B-CBUR placé SUB"))+
SUM(SUMIFS(
INDEX( 'ETPT A-JUST'!$A:$ZZ,,MATCH("9.5. CONTENTIEUX DU CONTRÔLE JUDICIAIRE JIRS",'ETPT A-JUST'!2:2,0)),
INDEX( 'ETPT A-JUST'!$A:$ZZ,,MATCH("Fonction recodée",'ETPT A-JUST'!2:2,0)),"Fonctionnaire A-B-CBUR placé SUB"))+
SUM(SUMIFS(
INDEX( 'ETPT A-JUST'!$A:$ZZ,,MATCH("9.7. CONTENTIEUX DE FOND JIRS",'ETPT A-JUST'!2:2,0)),
INDEX( 'ETPT A-JUST'!$A:$ZZ,,MATCH("Fonction recodée",'ETPT A-JUST'!2:2,0)),"Fonctionnaire A-B-CBUR placé SUB"))</f>
        <v>#N/A</v>
      </c>
      <c r="M16" s="100" t="e">
        <f>SUM(SUMIFS(
INDEX( 'ETPT A-JUST'!$A:$ZZ,,MATCH("1. TOTAL CONTENTIEUX SOCIAL",'ETPT A-JUST'!2:2,0)),
INDEX( 'ETPT A-JUST'!$A:$ZZ,,MATCH("Fonction recodée",'ETPT A-JUST'!2:2,0)),"Fonctionnaire A-B-CBUR placé SUB"))</f>
        <v>#N/A</v>
      </c>
      <c r="N16" s="100" t="e">
        <f>SUM(SUMIFS(
INDEX('ETPT A-JUST'!$A:$ZZ,,MATCH("Temps ventilés sur la période (absentéisme et action 99 déduits)",'ETPT A-JUST'!2:2,0)),
INDEX('ETPT A-JUST'!$A:$ZZ,,MATCH("Fonction recodée",'ETPT A-JUST'!2:2,0)),"Fonctionnaire A-B-CBUR placé SUB"))-
SUM(I16:M16)</f>
        <v>#N/A</v>
      </c>
      <c r="O16" s="78" t="e">
        <f>SUM(I16:N16)</f>
        <v>#N/A</v>
      </c>
      <c r="P16" s="100" t="e">
        <f>SUM(SUMIFS(
INDEX('ETPT A-JUST'!$A:$ZZ,,MATCH("11.1. ASSISES HORS JIRS",'ETPT A-JUST'!2:2,0)),
INDEX('ETPT A-JUST'!$A:$ZZ,,MATCH("Fonction recodée",'ETPT A-JUST'!2:2,0)),"Magistrat placé SUB"))+
SUM(SUMIFS(
INDEX('ETPT A-JUST'!$A:$ZZ,,MATCH("11.2 ASSISES JIRS",'ETPT A-JUST'!2:2,0)),
INDEX('ETPT A-JUST'!$A:$ZZ,,MATCH("Fonction recodée",'ETPT A-JUST'!2:2,0)),"Magistrat placé SUB"))</f>
        <v>#N/A</v>
      </c>
      <c r="Q16" s="100" t="e">
        <f>SUM(SUMIFS(
INDEX('ETPT A-JUST'!$A:$ZZ,,MATCH("11.3. COUR CRIMINELLE DÉPARTEMENTALE",'ETPT A-JUST'!2:2,0)),
INDEX('ETPT A-JUST'!$A:$ZZ,,MATCH("Fonction recodée",'ETPT A-JUST'!2:2,0)),"Magistrat placé SUB"))</f>
        <v>#N/A</v>
      </c>
      <c r="R16" s="100" t="e">
        <f>SUM(SUMIFS(
INDEX( 'ETPT A-JUST'!$A:$ZZ,,MATCH("8.4. CONTENTIEUX JIRS CRIM-ORG",'ETPT A-JUST'!2:2,0)),
INDEX( 'ETPT A-JUST'!$A:$ZZ,,MATCH("Fonction recodée",'ETPT A-JUST'!2:2,0)),"Magistrat placé SUB"))+
SUM(SUMIFS(
INDEX( 'ETPT A-JUST'!$A:$ZZ,,MATCH("8.7. CONTENTIEUX JIRS ÉCO-FI",'ETPT A-JUST'!2:2,0)),
INDEX( 'ETPT A-JUST'!$A:$ZZ,,MATCH("Fonction recodée",'ETPT A-JUST'!2:2,0)),"Magistrat placé SUB"))+
SUM(SUMIFS(
INDEX( 'ETPT A-JUST'!$A:$ZZ,,MATCH("9.3. CONTENTIEUX DE LA DÉTENTION JIRS",'ETPT A-JUST'!2:2,0)),
INDEX( 'ETPT A-JUST'!$A:$ZZ,,MATCH("Fonction recodée",'ETPT A-JUST'!2:2,0)),"Magistrat placé SUB"))+
SUM(SUMIFS(
INDEX( 'ETPT A-JUST'!$A:$ZZ,,MATCH("9.5. CONTENTIEUX DU CONTRÔLE JUDICIAIRE JIRS",'ETPT A-JUST'!2:2,0)),
INDEX( 'ETPT A-JUST'!$A:$ZZ,,MATCH("Fonction recodée",'ETPT A-JUST'!2:2,0)),"Magistrat placé SUB"))+
SUM(SUMIFS(
INDEX( 'ETPT A-JUST'!$A:$ZZ,,MATCH("9.7. CONTENTIEUX DE FOND JIRS",'ETPT A-JUST'!2:2,0)),
INDEX( 'ETPT A-JUST'!$A:$ZZ,,MATCH("Fonction recodée",'ETPT A-JUST'!2:2,0)),"Magistrat placé SUB"))</f>
        <v>#N/A</v>
      </c>
      <c r="S16" s="100" t="e">
        <f>SUM(SUMIFS(
INDEX( 'ETPT A-JUST'!$A:$ZZ,,MATCH("1. TOTAL CONTENTIEUX SOCIAL",'ETPT A-JUST'!2:2,0)),
INDEX( 'ETPT A-JUST'!$A:$ZZ,,MATCH("Fonction recodée",'ETPT A-JUST'!2:2,0)),"Magistrat placé SUB"))</f>
        <v>#N/A</v>
      </c>
      <c r="T16" s="100" t="e">
        <f>SUM(SUMIFS(
INDEX('ETPT A-JUST'!$A:$ZZ,,MATCH("Temps ventilés sur la période (absentéisme et action 99 déduits)",'ETPT A-JUST'!2:2,0)),
INDEX('ETPT A-JUST'!$A:$ZZ,,MATCH("Fonction recodée",'ETPT A-JUST'!2:2,0)),"Magistrat placé SUB"))-
SUM(P16:S16)</f>
        <v>#N/A</v>
      </c>
      <c r="U16" s="78" t="e">
        <f t="shared" si="1"/>
        <v>#N/A</v>
      </c>
      <c r="V16" s="100"/>
      <c r="W16" s="100"/>
      <c r="X16" s="100"/>
      <c r="Y16" s="100"/>
      <c r="Z16" s="100"/>
      <c r="AA16" s="78">
        <f>SUM(V16:Z16)</f>
        <v>0</v>
      </c>
    </row>
    <row r="17" spans="1:27" ht="26" customHeight="1" x14ac:dyDescent="0.2">
      <c r="D17" s="39"/>
      <c r="E17" s="109"/>
      <c r="F17" s="110" t="s">
        <v>37</v>
      </c>
      <c r="G17" s="78" t="e">
        <f>SUM(G5:G16)</f>
        <v>#N/A</v>
      </c>
      <c r="H17" s="78" t="e">
        <f t="shared" ref="H17:Z17" si="5">SUM(H5:H16)</f>
        <v>#N/A</v>
      </c>
      <c r="I17" s="78" t="e">
        <f t="shared" si="5"/>
        <v>#N/A</v>
      </c>
      <c r="J17" s="78" t="e">
        <f t="shared" si="5"/>
        <v>#N/A</v>
      </c>
      <c r="K17" s="78" t="e">
        <f t="shared" si="5"/>
        <v>#N/A</v>
      </c>
      <c r="L17" s="78" t="e">
        <f t="shared" si="5"/>
        <v>#N/A</v>
      </c>
      <c r="M17" s="78" t="e">
        <f t="shared" si="5"/>
        <v>#N/A</v>
      </c>
      <c r="N17" s="78" t="e">
        <f t="shared" si="5"/>
        <v>#N/A</v>
      </c>
      <c r="O17" s="78" t="e">
        <f>SUM(O5:O16)</f>
        <v>#N/A</v>
      </c>
      <c r="P17" s="78" t="e">
        <f t="shared" si="5"/>
        <v>#N/A</v>
      </c>
      <c r="Q17" s="78" t="e">
        <f t="shared" si="5"/>
        <v>#N/A</v>
      </c>
      <c r="R17" s="78" t="e">
        <f t="shared" si="5"/>
        <v>#N/A</v>
      </c>
      <c r="S17" s="78" t="e">
        <f t="shared" si="5"/>
        <v>#N/A</v>
      </c>
      <c r="T17" s="78" t="e">
        <f t="shared" si="5"/>
        <v>#N/A</v>
      </c>
      <c r="U17" s="78" t="e">
        <f t="shared" si="5"/>
        <v>#N/A</v>
      </c>
      <c r="V17" s="78">
        <f t="shared" si="5"/>
        <v>0</v>
      </c>
      <c r="W17" s="78">
        <f t="shared" si="5"/>
        <v>0</v>
      </c>
      <c r="X17" s="78">
        <f t="shared" si="5"/>
        <v>0</v>
      </c>
      <c r="Y17" s="78">
        <f t="shared" si="5"/>
        <v>0</v>
      </c>
      <c r="Z17" s="78">
        <f t="shared" si="5"/>
        <v>0</v>
      </c>
      <c r="AA17" s="78">
        <f>SUM(AA5:AA16)</f>
        <v>0</v>
      </c>
    </row>
    <row r="19" spans="1:27" customFormat="1" ht="102.5" customHeight="1" x14ac:dyDescent="0.2">
      <c r="A19" s="4"/>
      <c r="F19" s="112" t="s">
        <v>144</v>
      </c>
      <c r="G19" s="80" t="e" cm="1">
        <f t="array" ref="G19">SUM(SUMIFS(
INDEX( 'ETPT A-JUST'!$A:$ZZ,,MATCH("14. TOTAL INDISPONIBILITÉ",'ETPT A-JUST'!2:2,0)),
INDEX( 'ETPT A-JUST'!$A:$ZZ,,MATCH("Fonction recodée",'ETPT A-JUST'!2:2,0)),{"Fonctionnaire CTECH placé ADD";"Fonctionnaire CTECH placé SUB"}))</f>
        <v>#N/A</v>
      </c>
      <c r="M19" s="113" t="s">
        <v>145</v>
      </c>
      <c r="N19" s="80" t="e" cm="1">
        <f t="array" ref="N19">SUM(SUMIFS(
INDEX( 'ETPT A-JUST'!$A:$ZZ,,MATCH("14. TOTAL INDISPONIBILITÉ",'ETPT A-JUST'!2:2,0)),
INDEX( 'ETPT A-JUST'!$A:$ZZ,,MATCH("Fonction recodée",'ETPT A-JUST'!2:2,0)),{"Fonctionnaire A-B-CBUR placé ADD";"Fonctionnaire A-B-CBUR placé SUB"}))</f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A19"/>
  <sheetViews>
    <sheetView topLeftCell="D1" zoomScaleNormal="100" workbookViewId="0">
      <selection activeCell="F17" sqref="F17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61.5" style="37" customWidth="1"/>
    <col min="7" max="8" width="9.33203125" style="37" customWidth="1"/>
    <col min="9" max="9" width="9.5" style="37" customWidth="1"/>
    <col min="10" max="10" width="9" style="37" customWidth="1"/>
    <col min="11" max="12" width="9.33203125" style="37" customWidth="1"/>
    <col min="13" max="13" width="24.33203125" style="37" customWidth="1"/>
    <col min="14" max="34" width="9.33203125" style="37" customWidth="1"/>
    <col min="35" max="35" width="8.5" style="37" bestFit="1" customWidth="1"/>
    <col min="36" max="36" width="7.33203125" style="37" bestFit="1" customWidth="1"/>
    <col min="37" max="58" width="9.33203125" style="37" customWidth="1"/>
    <col min="59" max="59" width="4" style="37" customWidth="1"/>
    <col min="60" max="16384" width="11" style="37"/>
  </cols>
  <sheetData>
    <row r="1" spans="1:27" ht="87" customHeight="1" x14ac:dyDescent="0.25">
      <c r="A1" s="3" t="s">
        <v>146</v>
      </c>
      <c r="B1" s="5"/>
      <c r="C1" s="5"/>
      <c r="D1" s="3" t="s">
        <v>146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48" x14ac:dyDescent="0.2">
      <c r="A2" s="46"/>
      <c r="B2" s="45"/>
      <c r="C2" s="45"/>
      <c r="D2" s="165"/>
      <c r="E2" s="165"/>
      <c r="F2" s="165"/>
      <c r="G2" s="111" t="s">
        <v>97</v>
      </c>
      <c r="H2" s="114" t="s">
        <v>96</v>
      </c>
      <c r="I2" s="111" t="s">
        <v>95</v>
      </c>
      <c r="J2" s="111" t="s">
        <v>95</v>
      </c>
      <c r="K2" s="111" t="s">
        <v>95</v>
      </c>
      <c r="L2" s="111" t="s">
        <v>95</v>
      </c>
      <c r="M2" s="111" t="s">
        <v>95</v>
      </c>
      <c r="N2" s="111" t="s">
        <v>95</v>
      </c>
      <c r="O2" s="114" t="s">
        <v>94</v>
      </c>
      <c r="P2" s="111" t="s">
        <v>93</v>
      </c>
      <c r="Q2" s="111" t="s">
        <v>93</v>
      </c>
      <c r="R2" s="111" t="s">
        <v>93</v>
      </c>
      <c r="S2" s="111" t="s">
        <v>93</v>
      </c>
      <c r="T2" s="111" t="s">
        <v>93</v>
      </c>
      <c r="U2" s="114" t="s">
        <v>92</v>
      </c>
      <c r="V2" s="111" t="s">
        <v>91</v>
      </c>
      <c r="W2" s="111" t="s">
        <v>91</v>
      </c>
      <c r="X2" s="111" t="s">
        <v>91</v>
      </c>
      <c r="Y2" s="111" t="s">
        <v>91</v>
      </c>
      <c r="Z2" s="111" t="s">
        <v>91</v>
      </c>
      <c r="AA2" s="114" t="s">
        <v>90</v>
      </c>
    </row>
    <row r="3" spans="1:27" ht="36" x14ac:dyDescent="0.2">
      <c r="A3" s="46"/>
      <c r="B3" s="45"/>
      <c r="C3" s="45"/>
      <c r="D3" s="165"/>
      <c r="E3" s="165"/>
      <c r="F3" s="165"/>
      <c r="G3" s="111" t="s">
        <v>89</v>
      </c>
      <c r="H3" s="114"/>
      <c r="I3" s="111" t="s">
        <v>88</v>
      </c>
      <c r="J3" s="111" t="s">
        <v>87</v>
      </c>
      <c r="K3" s="111" t="s">
        <v>86</v>
      </c>
      <c r="L3" s="111" t="s">
        <v>129</v>
      </c>
      <c r="M3" s="111" t="s">
        <v>130</v>
      </c>
      <c r="N3" s="111" t="s">
        <v>85</v>
      </c>
      <c r="O3" s="114"/>
      <c r="P3" s="111" t="s">
        <v>82</v>
      </c>
      <c r="Q3" s="111" t="s">
        <v>81</v>
      </c>
      <c r="R3" s="111" t="s">
        <v>132</v>
      </c>
      <c r="S3" s="111" t="s">
        <v>133</v>
      </c>
      <c r="T3" s="111" t="s">
        <v>80</v>
      </c>
      <c r="U3" s="114"/>
      <c r="V3" s="111" t="s">
        <v>79</v>
      </c>
      <c r="W3" s="111" t="s">
        <v>141</v>
      </c>
      <c r="X3" s="111" t="s">
        <v>78</v>
      </c>
      <c r="Y3" s="111" t="s">
        <v>77</v>
      </c>
      <c r="Z3" s="111" t="s">
        <v>76</v>
      </c>
      <c r="AA3" s="114"/>
    </row>
    <row r="4" spans="1:27" ht="48" x14ac:dyDescent="0.2">
      <c r="A4" s="44"/>
      <c r="B4" s="43" t="s">
        <v>75</v>
      </c>
      <c r="C4" s="43" t="s">
        <v>74</v>
      </c>
      <c r="D4" s="43" t="s">
        <v>32</v>
      </c>
      <c r="E4" s="107" t="s">
        <v>73</v>
      </c>
      <c r="F4" s="107" t="s">
        <v>72</v>
      </c>
      <c r="G4" s="111" t="s">
        <v>71</v>
      </c>
      <c r="H4" s="114"/>
      <c r="I4" s="111" t="s">
        <v>70</v>
      </c>
      <c r="J4" s="111" t="s">
        <v>69</v>
      </c>
      <c r="K4" s="111" t="s">
        <v>68</v>
      </c>
      <c r="L4" s="111" t="s">
        <v>134</v>
      </c>
      <c r="M4" s="111" t="s">
        <v>135</v>
      </c>
      <c r="N4" s="111" t="s">
        <v>67</v>
      </c>
      <c r="O4" s="114"/>
      <c r="P4" s="111" t="s">
        <v>66</v>
      </c>
      <c r="Q4" s="111" t="s">
        <v>65</v>
      </c>
      <c r="R4" s="111" t="s">
        <v>136</v>
      </c>
      <c r="S4" s="111" t="s">
        <v>137</v>
      </c>
      <c r="T4" s="111" t="s">
        <v>64</v>
      </c>
      <c r="U4" s="114"/>
      <c r="V4" s="111" t="s">
        <v>63</v>
      </c>
      <c r="W4" s="111" t="s">
        <v>142</v>
      </c>
      <c r="X4" s="111" t="s">
        <v>62</v>
      </c>
      <c r="Y4" s="111" t="s">
        <v>61</v>
      </c>
      <c r="Z4" s="111" t="s">
        <v>60</v>
      </c>
      <c r="AA4" s="114"/>
    </row>
    <row r="5" spans="1:27" x14ac:dyDescent="0.2">
      <c r="A5" s="42"/>
      <c r="B5" s="41"/>
      <c r="C5" s="41"/>
      <c r="D5" s="166" t="s">
        <v>156</v>
      </c>
      <c r="E5" s="134" t="s">
        <v>59</v>
      </c>
      <c r="F5" s="134" t="s">
        <v>58</v>
      </c>
      <c r="G5" s="153" t="str">
        <f>IF(ISBLANK($D$5),"",IF(ISERROR(ETPT_CA_JUR!G5),"",IF(ETPT_CA_JUR!G5=0,"",ETPT_CA_JUR!G5)))</f>
        <v/>
      </c>
      <c r="H5" s="154">
        <f>SUM(G5)</f>
        <v>0</v>
      </c>
      <c r="I5" s="153" t="str">
        <f>IF(ISBLANK($D$5),"",IF(ISERROR(ETPT_CA_JUR!I5),"",IF(ETPT_CA_JUR!I5=0,"",ETPT_CA_JUR!I5)))</f>
        <v/>
      </c>
      <c r="J5" s="153" t="str">
        <f>IF(ISBLANK($D$5),"",IF(ISERROR(ETPT_CA_JUR!J5),"",IF(ETPT_CA_JUR!J5=0,"",ETPT_CA_JUR!J5)))</f>
        <v/>
      </c>
      <c r="K5" s="153" t="str">
        <f>IF(ISBLANK($D$5),"",IF(ISERROR(ETPT_CA_JUR!K5),"",IF(ETPT_CA_JUR!K5=0,"",ETPT_CA_JUR!K5)))</f>
        <v/>
      </c>
      <c r="L5" s="153" t="str">
        <f>IF(ISBLANK($D$5),"",IF(ISERROR(ETPT_CA_JUR!L5),"",IF(ETPT_CA_JUR!L5=0,"",ETPT_CA_JUR!L5)))</f>
        <v/>
      </c>
      <c r="M5" s="153" t="str">
        <f>IF(ISBLANK($D$5),"",IF(ISERROR(ETPT_CA_JUR!M5),"",IF(ETPT_CA_JUR!M5=0,"",ETPT_CA_JUR!M5)))</f>
        <v/>
      </c>
      <c r="N5" s="153" t="str">
        <f>IF(ISBLANK($D$5),"",IF(ISERROR(ETPT_CA_JUR!N5),"",IF(ETPT_CA_JUR!N5=0,"",ETPT_CA_JUR!N5)))</f>
        <v/>
      </c>
      <c r="O5" s="154">
        <f>SUM(I5:N5)</f>
        <v>0</v>
      </c>
      <c r="P5" s="153" t="str">
        <f>IF(ISBLANK($D$5),"",IF(ISERROR(ETPT_CA_JUR!P5),"",IF(ETPT_CA_JUR!P5=0,"",ETPT_CA_JUR!P5)))</f>
        <v/>
      </c>
      <c r="Q5" s="153" t="str">
        <f>IF(ISBLANK($D$5),"",IF(ISERROR(ETPT_CA_JUR!Q5),"",IF(ETPT_CA_JUR!Q5=0,"",ETPT_CA_JUR!Q5)))</f>
        <v/>
      </c>
      <c r="R5" s="153" t="str">
        <f>IF(ISBLANK($D$5),"",IF(ISERROR(ETPT_CA_JUR!R5),"",IF(ETPT_CA_JUR!R5=0,"",ETPT_CA_JUR!R5)))</f>
        <v/>
      </c>
      <c r="S5" s="153" t="str">
        <f>IF(ISBLANK($D$5),"",IF(ISERROR(ETPT_CA_JUR!S5),"",IF(ETPT_CA_JUR!S5=0,"",ETPT_CA_JUR!S5)))</f>
        <v/>
      </c>
      <c r="T5" s="153" t="str">
        <f>IF(ISBLANK($D$5),"",IF(ISERROR(ETPT_CA_JUR!T5),"",IF(ETPT_CA_JUR!T5=0,"",ETPT_CA_JUR!T5)))</f>
        <v/>
      </c>
      <c r="U5" s="154">
        <f>SUM(P5:T5)</f>
        <v>0</v>
      </c>
      <c r="V5" s="153" t="str">
        <f>IF(ISBLANK($D$5),"",IF(ISERROR(ETPT_CA_JUR!V5),"",IF(ETPT_CA_JUR!V5=0,"",ETPT_CA_JUR!V5)))</f>
        <v/>
      </c>
      <c r="W5" s="153" t="str">
        <f>IF(ISBLANK($D$5),"",IF(ISERROR(ETPT_CA_JUR!W5),"",IF(ETPT_CA_JUR!W5=0,"",ETPT_CA_JUR!W5)))</f>
        <v/>
      </c>
      <c r="X5" s="153" t="str">
        <f>IF(ISBLANK($D$5),"",IF(ISERROR(ETPT_CA_JUR!X5),"",IF(ETPT_CA_JUR!X5=0,"",ETPT_CA_JUR!X5)))</f>
        <v/>
      </c>
      <c r="Y5" s="153" t="str">
        <f>IF(ISBLANK($D$5),"",IF(ISERROR(ETPT_CA_JUR!Y5),"",IF(ETPT_CA_JUR!Y5=0,"",ETPT_CA_JUR!Y5)))</f>
        <v/>
      </c>
      <c r="Z5" s="153" t="str">
        <f>IF(ISBLANK($D$5),"",IF(ISERROR(ETPT_CA_JUR!Z5),"",IF(ETPT_CA_JUR!Z5=0,"",ETPT_CA_JUR!Z5)))</f>
        <v/>
      </c>
      <c r="AA5" s="154">
        <f>SUM(V5:Z5)</f>
        <v>0</v>
      </c>
    </row>
    <row r="6" spans="1:27" x14ac:dyDescent="0.2">
      <c r="A6" s="42"/>
      <c r="B6" s="41"/>
      <c r="C6" s="41"/>
      <c r="D6" s="158" t="str">
        <f>IF(ISBLANK($D$5),"",$D$5)</f>
        <v>=ETPT_CA_JUR!D5</v>
      </c>
      <c r="E6" s="134" t="s">
        <v>57</v>
      </c>
      <c r="F6" s="134" t="s">
        <v>56</v>
      </c>
      <c r="G6" s="153" t="str">
        <f>IF(ISBLANK($D$5),"",IF(ISERROR(ETPT_CA_JUR!G6),"",IF(ETPT_CA_JUR!G6=0,"",ETPT_CA_JUR!G6)))</f>
        <v/>
      </c>
      <c r="H6" s="154">
        <f>SUM(G6)</f>
        <v>0</v>
      </c>
      <c r="I6" s="153" t="str">
        <f>IF(ISBLANK($D$5),"",IF(ISERROR(ETPT_CA_JUR!I6),"",IF(ETPT_CA_JUR!I6=0,"",ETPT_CA_JUR!I6)))</f>
        <v/>
      </c>
      <c r="J6" s="153" t="str">
        <f>IF(ISBLANK($D$5),"",IF(ISERROR(ETPT_CA_JUR!J6),"",IF(ETPT_CA_JUR!J6=0,"",ETPT_CA_JUR!J6)))</f>
        <v/>
      </c>
      <c r="K6" s="153" t="str">
        <f>IF(ISBLANK($D$5),"",IF(ISERROR(ETPT_CA_JUR!K6),"",IF(ETPT_CA_JUR!K6=0,"",ETPT_CA_JUR!K6)))</f>
        <v/>
      </c>
      <c r="L6" s="153" t="str">
        <f>IF(ISBLANK($D$5),"",IF(ISERROR(ETPT_CA_JUR!L6),"",IF(ETPT_CA_JUR!L6=0,"",ETPT_CA_JUR!L6)))</f>
        <v/>
      </c>
      <c r="M6" s="153" t="str">
        <f>IF(ISBLANK($D$5),"",IF(ISERROR(ETPT_CA_JUR!M6),"",IF(ETPT_CA_JUR!M6=0,"",ETPT_CA_JUR!M6)))</f>
        <v/>
      </c>
      <c r="N6" s="153" t="str">
        <f>IF(ISBLANK($D$5),"",IF(ISERROR(ETPT_CA_JUR!N6),"",IF(ETPT_CA_JUR!N6=0,"",ETPT_CA_JUR!N6)))</f>
        <v/>
      </c>
      <c r="O6" s="154">
        <f t="shared" ref="O6:O15" si="0">SUM(I6:N6)</f>
        <v>0</v>
      </c>
      <c r="P6" s="153" t="str">
        <f>IF(ISBLANK($D$5),"",IF(ISERROR(ETPT_CA_JUR!P6),"",IF(ETPT_CA_JUR!P6=0,"",ETPT_CA_JUR!P6)))</f>
        <v/>
      </c>
      <c r="Q6" s="153" t="str">
        <f>IF(ISBLANK($D$5),"",IF(ISERROR(ETPT_CA_JUR!Q6),"",IF(ETPT_CA_JUR!Q6=0,"",ETPT_CA_JUR!Q6)))</f>
        <v/>
      </c>
      <c r="R6" s="153" t="str">
        <f>IF(ISBLANK($D$5),"",IF(ISERROR(ETPT_CA_JUR!R6),"",IF(ETPT_CA_JUR!R6=0,"",ETPT_CA_JUR!R6)))</f>
        <v/>
      </c>
      <c r="S6" s="153" t="str">
        <f>IF(ISBLANK($D$5),"",IF(ISERROR(ETPT_CA_JUR!S6),"",IF(ETPT_CA_JUR!S6=0,"",ETPT_CA_JUR!S6)))</f>
        <v/>
      </c>
      <c r="T6" s="153" t="str">
        <f>IF(ISBLANK($D$5),"",IF(ISERROR(ETPT_CA_JUR!T6),"",IF(ETPT_CA_JUR!T6=0,"",ETPT_CA_JUR!T6)))</f>
        <v/>
      </c>
      <c r="U6" s="154">
        <f t="shared" ref="U6:U16" si="1">SUM(P6:T6)</f>
        <v>0</v>
      </c>
      <c r="V6" s="153" t="str">
        <f>IF(ISBLANK($D$5),"",IF(ISERROR(ETPT_CA_JUR!V6),"",IF(ETPT_CA_JUR!V6=0,"",ETPT_CA_JUR!V6)))</f>
        <v/>
      </c>
      <c r="W6" s="153" t="str">
        <f>IF(ISBLANK($D$5),"",IF(ISERROR(ETPT_CA_JUR!W6),"",IF(ETPT_CA_JUR!W6=0,"",ETPT_CA_JUR!W6)))</f>
        <v/>
      </c>
      <c r="X6" s="153" t="str">
        <f>IF(ISBLANK($D$5),"",IF(ISERROR(ETPT_CA_JUR!X6),"",IF(ETPT_CA_JUR!X6=0,"",ETPT_CA_JUR!X6)))</f>
        <v/>
      </c>
      <c r="Y6" s="153" t="str">
        <f>IF(ISBLANK($D$5),"",IF(ISERROR(ETPT_CA_JUR!Y6),"",IF(ETPT_CA_JUR!Y6=0,"",ETPT_CA_JUR!Y6)))</f>
        <v/>
      </c>
      <c r="Z6" s="153" t="str">
        <f>IF(ISBLANK($D$5),"",IF(ISERROR(ETPT_CA_JUR!Z6),"",IF(ETPT_CA_JUR!Z6=0,"",ETPT_CA_JUR!Z6)))</f>
        <v/>
      </c>
      <c r="AA6" s="154">
        <f t="shared" ref="AA6:AA15" si="2">SUM(V6:Z6)</f>
        <v>0</v>
      </c>
    </row>
    <row r="7" spans="1:27" x14ac:dyDescent="0.2">
      <c r="A7" s="42"/>
      <c r="B7" s="41"/>
      <c r="C7" s="41"/>
      <c r="D7" s="158" t="str">
        <f t="shared" ref="D7:D15" si="3">IF(ISBLANK($D$5),"",$D$5)</f>
        <v>=ETPT_CA_JUR!D5</v>
      </c>
      <c r="E7" s="134" t="s">
        <v>55</v>
      </c>
      <c r="F7" s="134" t="s">
        <v>54</v>
      </c>
      <c r="G7" s="153" t="str">
        <f>IF(ISBLANK($D$5),"",IF(ISERROR(ETPT_CA_JUR!G7),"",IF(ETPT_CA_JUR!G7=0,"",ETPT_CA_JUR!G7)))</f>
        <v/>
      </c>
      <c r="H7" s="154">
        <f>SUM(G7)</f>
        <v>0</v>
      </c>
      <c r="I7" s="153" t="str">
        <f>IF(ISBLANK($D$5),"",IF(ISERROR(ETPT_CA_JUR!I7),"",IF(ETPT_CA_JUR!I7=0,"",ETPT_CA_JUR!I7)))</f>
        <v/>
      </c>
      <c r="J7" s="153" t="str">
        <f>IF(ISBLANK($D$5),"",IF(ISERROR(ETPT_CA_JUR!J7),"",IF(ETPT_CA_JUR!J7=0,"",ETPT_CA_JUR!J7)))</f>
        <v/>
      </c>
      <c r="K7" s="153" t="str">
        <f>IF(ISBLANK($D$5),"",IF(ISERROR(ETPT_CA_JUR!K7),"",IF(ETPT_CA_JUR!K7=0,"",ETPT_CA_JUR!K7)))</f>
        <v/>
      </c>
      <c r="L7" s="153" t="str">
        <f>IF(ISBLANK($D$5),"",IF(ISERROR(ETPT_CA_JUR!L7),"",IF(ETPT_CA_JUR!L7=0,"",ETPT_CA_JUR!L7)))</f>
        <v/>
      </c>
      <c r="M7" s="153" t="str">
        <f>IF(ISBLANK($D$5),"",IF(ISERROR(ETPT_CA_JUR!M7),"",IF(ETPT_CA_JUR!M7=0,"",ETPT_CA_JUR!M7)))</f>
        <v/>
      </c>
      <c r="N7" s="153" t="str">
        <f>IF(ISBLANK($D$5),"",IF(ISERROR(ETPT_CA_JUR!N7),"",IF(ETPT_CA_JUR!N7=0,"",ETPT_CA_JUR!N7)))</f>
        <v/>
      </c>
      <c r="O7" s="154">
        <f t="shared" si="0"/>
        <v>0</v>
      </c>
      <c r="P7" s="153" t="str">
        <f>IF(ISBLANK($D$5),"",IF(ISERROR(ETPT_CA_JUR!P7),"",IF(ETPT_CA_JUR!P7=0,"",ETPT_CA_JUR!P7)))</f>
        <v/>
      </c>
      <c r="Q7" s="153" t="str">
        <f>IF(ISBLANK($D$5),"",IF(ISERROR(ETPT_CA_JUR!Q7),"",IF(ETPT_CA_JUR!Q7=0,"",ETPT_CA_JUR!Q7)))</f>
        <v/>
      </c>
      <c r="R7" s="153" t="str">
        <f>IF(ISBLANK($D$5),"",IF(ISERROR(ETPT_CA_JUR!R7),"",IF(ETPT_CA_JUR!R7=0,"",ETPT_CA_JUR!R7)))</f>
        <v/>
      </c>
      <c r="S7" s="153" t="str">
        <f>IF(ISBLANK($D$5),"",IF(ISERROR(ETPT_CA_JUR!S7),"",IF(ETPT_CA_JUR!S7=0,"",ETPT_CA_JUR!S7)))</f>
        <v/>
      </c>
      <c r="T7" s="153" t="str">
        <f>IF(ISBLANK($D$5),"",IF(ISERROR(ETPT_CA_JUR!T7),"",IF(ETPT_CA_JUR!T7=0,"",ETPT_CA_JUR!T7)))</f>
        <v/>
      </c>
      <c r="U7" s="154">
        <f t="shared" si="1"/>
        <v>0</v>
      </c>
      <c r="V7" s="153" t="str">
        <f>IF(ISBLANK($D$5),"",IF(ISERROR(ETPT_CA_JUR!V7),"",IF(ETPT_CA_JUR!V7=0,"",ETPT_CA_JUR!V7)))</f>
        <v/>
      </c>
      <c r="W7" s="153" t="str">
        <f>IF(ISBLANK($D$5),"",IF(ISERROR(ETPT_CA_JUR!W7),"",IF(ETPT_CA_JUR!W7=0,"",ETPT_CA_JUR!W7)))</f>
        <v/>
      </c>
      <c r="X7" s="153" t="str">
        <f>IF(ISBLANK($D$5),"",IF(ISERROR(ETPT_CA_JUR!X7),"",IF(ETPT_CA_JUR!X7=0,"",ETPT_CA_JUR!X7)))</f>
        <v/>
      </c>
      <c r="Y7" s="153" t="str">
        <f>IF(ISBLANK($D$5),"",IF(ISERROR(ETPT_CA_JUR!Y7),"",IF(ETPT_CA_JUR!Y7=0,"",ETPT_CA_JUR!Y7)))</f>
        <v/>
      </c>
      <c r="Z7" s="153" t="str">
        <f>IF(ISBLANK($D$5),"",IF(ISERROR(ETPT_CA_JUR!Z7),"",IF(ETPT_CA_JUR!Z7=0,"",ETPT_CA_JUR!Z7)))</f>
        <v/>
      </c>
      <c r="AA7" s="154">
        <f t="shared" si="2"/>
        <v>0</v>
      </c>
    </row>
    <row r="8" spans="1:27" x14ac:dyDescent="0.2">
      <c r="A8" s="42"/>
      <c r="B8" s="41"/>
      <c r="C8" s="41"/>
      <c r="D8" s="158" t="str">
        <f t="shared" si="3"/>
        <v>=ETPT_CA_JUR!D5</v>
      </c>
      <c r="E8" s="134" t="s">
        <v>53</v>
      </c>
      <c r="F8" s="134" t="s">
        <v>52</v>
      </c>
      <c r="G8" s="153" t="str">
        <f>IF(ISBLANK($D$5),"",IF(ISERROR(ETPT_CA_JUR!G8),"",IF(ETPT_CA_JUR!G8=0,"",ETPT_CA_JUR!G8)))</f>
        <v/>
      </c>
      <c r="H8" s="154">
        <f>SUM(G8)</f>
        <v>0</v>
      </c>
      <c r="I8" s="153" t="str">
        <f>IF(ISBLANK($D$5),"",IF(ISERROR(ETPT_CA_JUR!I8),"",IF(ETPT_CA_JUR!I8=0,"",ETPT_CA_JUR!I8)))</f>
        <v/>
      </c>
      <c r="J8" s="153" t="str">
        <f>IF(ISBLANK($D$5),"",IF(ISERROR(ETPT_CA_JUR!J8),"",IF(ETPT_CA_JUR!J8=0,"",ETPT_CA_JUR!J8)))</f>
        <v/>
      </c>
      <c r="K8" s="153" t="str">
        <f>IF(ISBLANK($D$5),"",IF(ISERROR(ETPT_CA_JUR!K8),"",IF(ETPT_CA_JUR!K8=0,"",ETPT_CA_JUR!K8)))</f>
        <v/>
      </c>
      <c r="L8" s="153" t="str">
        <f>IF(ISBLANK($D$5),"",IF(ISERROR(ETPT_CA_JUR!L8),"",IF(ETPT_CA_JUR!L8=0,"",ETPT_CA_JUR!L8)))</f>
        <v/>
      </c>
      <c r="M8" s="153" t="str">
        <f>IF(ISBLANK($D$5),"",IF(ISERROR(ETPT_CA_JUR!M8),"",IF(ETPT_CA_JUR!M8=0,"",ETPT_CA_JUR!M8)))</f>
        <v/>
      </c>
      <c r="N8" s="153" t="str">
        <f>IF(ISBLANK($D$5),"",IF(ISERROR(ETPT_CA_JUR!N8),"",IF(ETPT_CA_JUR!N8=0,"",ETPT_CA_JUR!N8)))</f>
        <v/>
      </c>
      <c r="O8" s="154">
        <f t="shared" si="0"/>
        <v>0</v>
      </c>
      <c r="P8" s="153" t="str">
        <f>IF(ISBLANK($D$5),"",IF(ISERROR(ETPT_CA_JUR!P8),"",IF(ETPT_CA_JUR!P8=0,"",ETPT_CA_JUR!P8)))</f>
        <v/>
      </c>
      <c r="Q8" s="153" t="str">
        <f>IF(ISBLANK($D$5),"",IF(ISERROR(ETPT_CA_JUR!Q8),"",IF(ETPT_CA_JUR!Q8=0,"",ETPT_CA_JUR!Q8)))</f>
        <v/>
      </c>
      <c r="R8" s="153" t="str">
        <f>IF(ISBLANK($D$5),"",IF(ISERROR(ETPT_CA_JUR!R8),"",IF(ETPT_CA_JUR!R8=0,"",ETPT_CA_JUR!R8)))</f>
        <v/>
      </c>
      <c r="S8" s="153" t="str">
        <f>IF(ISBLANK($D$5),"",IF(ISERROR(ETPT_CA_JUR!S8),"",IF(ETPT_CA_JUR!S8=0,"",ETPT_CA_JUR!S8)))</f>
        <v/>
      </c>
      <c r="T8" s="153" t="str">
        <f>IF(ISBLANK($D$5),"",IF(ISERROR(ETPT_CA_JUR!T8),"",IF(ETPT_CA_JUR!T8=0,"",ETPT_CA_JUR!T8)))</f>
        <v/>
      </c>
      <c r="U8" s="154">
        <f t="shared" si="1"/>
        <v>0</v>
      </c>
      <c r="V8" s="153" t="str">
        <f>IF(ISBLANK($D$5),"",IF(ISERROR(ETPT_CA_JUR!V8),"",IF(ETPT_CA_JUR!V8=0,"",ETPT_CA_JUR!V8)))</f>
        <v/>
      </c>
      <c r="W8" s="153" t="str">
        <f>IF(ISBLANK($D$5),"",IF(ISERROR(ETPT_CA_JUR!W8),"",IF(ETPT_CA_JUR!W8=0,"",ETPT_CA_JUR!W8)))</f>
        <v/>
      </c>
      <c r="X8" s="153" t="str">
        <f>IF(ISBLANK($D$5),"",IF(ISERROR(ETPT_CA_JUR!X8),"",IF(ETPT_CA_JUR!X8=0,"",ETPT_CA_JUR!X8)))</f>
        <v/>
      </c>
      <c r="Y8" s="153" t="str">
        <f>IF(ISBLANK($D$5),"",IF(ISERROR(ETPT_CA_JUR!Y8),"",IF(ETPT_CA_JUR!Y8=0,"",ETPT_CA_JUR!Y8)))</f>
        <v/>
      </c>
      <c r="Z8" s="153" t="str">
        <f>IF(ISBLANK($D$5),"",IF(ISERROR(ETPT_CA_JUR!Z8),"",IF(ETPT_CA_JUR!Z8=0,"",ETPT_CA_JUR!Z8)))</f>
        <v/>
      </c>
      <c r="AA8" s="154">
        <f t="shared" si="2"/>
        <v>0</v>
      </c>
    </row>
    <row r="9" spans="1:27" x14ac:dyDescent="0.2">
      <c r="A9" s="42"/>
      <c r="B9" s="41"/>
      <c r="C9" s="41"/>
      <c r="D9" s="158" t="str">
        <f t="shared" si="3"/>
        <v>=ETPT_CA_JUR!D5</v>
      </c>
      <c r="E9" s="134" t="s">
        <v>51</v>
      </c>
      <c r="F9" s="134" t="s">
        <v>50</v>
      </c>
      <c r="G9" s="153" t="str">
        <f>IF(ISBLANK($D$5),"",IF(ISERROR(ETPT_CA_JUR!G9),"",IF(ETPT_CA_JUR!G9=0,"",ETPT_CA_JUR!G9)))</f>
        <v/>
      </c>
      <c r="H9" s="154">
        <f>SUM(G9)</f>
        <v>0</v>
      </c>
      <c r="I9" s="153" t="str">
        <f>IF(ISBLANK($D$5),"",IF(ISERROR(ETPT_CA_JUR!I9),"",IF(ETPT_CA_JUR!I9=0,"",ETPT_CA_JUR!I9)))</f>
        <v/>
      </c>
      <c r="J9" s="153" t="str">
        <f>IF(ISBLANK($D$5),"",IF(ISERROR(ETPT_CA_JUR!J9),"",IF(ETPT_CA_JUR!J9=0,"",ETPT_CA_JUR!J9)))</f>
        <v/>
      </c>
      <c r="K9" s="153" t="str">
        <f>IF(ISBLANK($D$5),"",IF(ISERROR(ETPT_CA_JUR!K9),"",IF(ETPT_CA_JUR!K9=0,"",ETPT_CA_JUR!K9)))</f>
        <v/>
      </c>
      <c r="L9" s="153" t="str">
        <f>IF(ISBLANK($D$5),"",IF(ISERROR(ETPT_CA_JUR!L9),"",IF(ETPT_CA_JUR!L9=0,"",ETPT_CA_JUR!L9)))</f>
        <v/>
      </c>
      <c r="M9" s="153" t="str">
        <f>IF(ISBLANK($D$5),"",IF(ISERROR(ETPT_CA_JUR!M9),"",IF(ETPT_CA_JUR!M9=0,"",ETPT_CA_JUR!M9)))</f>
        <v/>
      </c>
      <c r="N9" s="153" t="str">
        <f>IF(ISBLANK($D$5),"",IF(ISERROR(ETPT_CA_JUR!N9),"",IF(ETPT_CA_JUR!N9=0,"",ETPT_CA_JUR!N9)))</f>
        <v/>
      </c>
      <c r="O9" s="154">
        <f t="shared" si="0"/>
        <v>0</v>
      </c>
      <c r="P9" s="153" t="str">
        <f>IF(ISBLANK($D$5),"",IF(ISERROR(ETPT_CA_JUR!P9),"",IF(ETPT_CA_JUR!P9=0,"",ETPT_CA_JUR!P9)))</f>
        <v/>
      </c>
      <c r="Q9" s="153" t="str">
        <f>IF(ISBLANK($D$5),"",IF(ISERROR(ETPT_CA_JUR!Q9),"",IF(ETPT_CA_JUR!Q9=0,"",ETPT_CA_JUR!Q9)))</f>
        <v/>
      </c>
      <c r="R9" s="153" t="str">
        <f>IF(ISBLANK($D$5),"",IF(ISERROR(ETPT_CA_JUR!R9),"",IF(ETPT_CA_JUR!R9=0,"",ETPT_CA_JUR!R9)))</f>
        <v/>
      </c>
      <c r="S9" s="153" t="str">
        <f>IF(ISBLANK($D$5),"",IF(ISERROR(ETPT_CA_JUR!S9),"",IF(ETPT_CA_JUR!S9=0,"",ETPT_CA_JUR!S9)))</f>
        <v/>
      </c>
      <c r="T9" s="153" t="str">
        <f>IF(ISBLANK($D$5),"",IF(ISERROR(ETPT_CA_JUR!T9),"",IF(ETPT_CA_JUR!T9=0,"",ETPT_CA_JUR!T9)))</f>
        <v/>
      </c>
      <c r="U9" s="154">
        <f t="shared" si="1"/>
        <v>0</v>
      </c>
      <c r="V9" s="153" t="str">
        <f>IF(ISBLANK($D$5),"",IF(ISERROR(ETPT_CA_JUR!V9),"",IF(ETPT_CA_JUR!V9=0,"",ETPT_CA_JUR!V9)))</f>
        <v/>
      </c>
      <c r="W9" s="153" t="str">
        <f>IF(ISBLANK($D$5),"",IF(ISERROR(ETPT_CA_JUR!W9),"",IF(ETPT_CA_JUR!W9=0,"",ETPT_CA_JUR!W9)))</f>
        <v/>
      </c>
      <c r="X9" s="153" t="str">
        <f>IF(ISBLANK($D$5),"",IF(ISERROR(ETPT_CA_JUR!X9),"",IF(ETPT_CA_JUR!X9=0,"",ETPT_CA_JUR!X9)))</f>
        <v/>
      </c>
      <c r="Y9" s="153" t="str">
        <f>IF(ISBLANK($D$5),"",IF(ISERROR(ETPT_CA_JUR!Y9),"",IF(ETPT_CA_JUR!Y9=0,"",ETPT_CA_JUR!Y9)))</f>
        <v/>
      </c>
      <c r="Z9" s="153" t="str">
        <f>IF(ISBLANK($D$5),"",IF(ISERROR(ETPT_CA_JUR!Z9),"",IF(ETPT_CA_JUR!Z9=0,"",ETPT_CA_JUR!Z9)))</f>
        <v/>
      </c>
      <c r="AA9" s="154">
        <f t="shared" si="2"/>
        <v>0</v>
      </c>
    </row>
    <row r="10" spans="1:27" x14ac:dyDescent="0.2">
      <c r="A10" s="42"/>
      <c r="B10" s="41"/>
      <c r="C10" s="41"/>
      <c r="D10" s="158" t="str">
        <f t="shared" si="3"/>
        <v>=ETPT_CA_JUR!D5</v>
      </c>
      <c r="E10" s="134" t="s">
        <v>49</v>
      </c>
      <c r="F10" s="134" t="s">
        <v>48</v>
      </c>
      <c r="G10" s="153" t="str">
        <f>IF(ISBLANK($D$5),"",IF(ISERROR(ETPT_CA_JUR!G10),"",IF(ETPT_CA_JUR!G10=0,"",ETPT_CA_JUR!G10)))</f>
        <v/>
      </c>
      <c r="H10" s="154">
        <f t="shared" ref="H10:H15" si="4">SUM(G10)</f>
        <v>0</v>
      </c>
      <c r="I10" s="153" t="str">
        <f>IF(ISBLANK($D$5),"",IF(ISERROR(ETPT_CA_JUR!I10),"",IF(ETPT_CA_JUR!I10=0,"",ETPT_CA_JUR!I10)))</f>
        <v/>
      </c>
      <c r="J10" s="153" t="str">
        <f>IF(ISBLANK($D$5),"",IF(ISERROR(ETPT_CA_JUR!J10),"",IF(ETPT_CA_JUR!J10=0,"",ETPT_CA_JUR!J10)))</f>
        <v/>
      </c>
      <c r="K10" s="153" t="str">
        <f>IF(ISBLANK($D$5),"",IF(ISERROR(ETPT_CA_JUR!K10),"",IF(ETPT_CA_JUR!K10=0,"",ETPT_CA_JUR!K10)))</f>
        <v/>
      </c>
      <c r="L10" s="153" t="str">
        <f>IF(ISBLANK($D$5),"",IF(ISERROR(ETPT_CA_JUR!L10),"",IF(ETPT_CA_JUR!L10=0,"",ETPT_CA_JUR!L10)))</f>
        <v/>
      </c>
      <c r="M10" s="153" t="str">
        <f>IF(ISBLANK($D$5),"",IF(ISERROR(ETPT_CA_JUR!M10),"",IF(ETPT_CA_JUR!M10=0,"",ETPT_CA_JUR!M10)))</f>
        <v/>
      </c>
      <c r="N10" s="153" t="str">
        <f>IF(ISBLANK($D$5),"",IF(ISERROR(ETPT_CA_JUR!N10),"",IF(ETPT_CA_JUR!N10=0,"",ETPT_CA_JUR!N10)))</f>
        <v/>
      </c>
      <c r="O10" s="154">
        <f t="shared" si="0"/>
        <v>0</v>
      </c>
      <c r="P10" s="153" t="str">
        <f>IF(ISBLANK($D$5),"",IF(ISERROR(ETPT_CA_JUR!P10),"",IF(ETPT_CA_JUR!P10=0,"",ETPT_CA_JUR!P10)))</f>
        <v/>
      </c>
      <c r="Q10" s="153" t="str">
        <f>IF(ISBLANK($D$5),"",IF(ISERROR(ETPT_CA_JUR!Q10),"",IF(ETPT_CA_JUR!Q10=0,"",ETPT_CA_JUR!Q10)))</f>
        <v/>
      </c>
      <c r="R10" s="153" t="str">
        <f>IF(ISBLANK($D$5),"",IF(ISERROR(ETPT_CA_JUR!R10),"",IF(ETPT_CA_JUR!R10=0,"",ETPT_CA_JUR!R10)))</f>
        <v/>
      </c>
      <c r="S10" s="153" t="str">
        <f>IF(ISBLANK($D$5),"",IF(ISERROR(ETPT_CA_JUR!S10),"",IF(ETPT_CA_JUR!S10=0,"",ETPT_CA_JUR!S10)))</f>
        <v/>
      </c>
      <c r="T10" s="153" t="str">
        <f>IF(ISBLANK($D$5),"",IF(ISERROR(ETPT_CA_JUR!T10),"",IF(ETPT_CA_JUR!T10=0,"",ETPT_CA_JUR!T10)))</f>
        <v/>
      </c>
      <c r="U10" s="154">
        <f t="shared" si="1"/>
        <v>0</v>
      </c>
      <c r="V10" s="153" t="str">
        <f>IF(ISBLANK($D$5),"",IF(ISERROR(ETPT_CA_JUR!V10),"",IF(ETPT_CA_JUR!V10=0,"",ETPT_CA_JUR!V10)))</f>
        <v/>
      </c>
      <c r="W10" s="153" t="str">
        <f>IF(ISBLANK($D$5),"",IF(ISERROR(ETPT_CA_JUR!W10),"",IF(ETPT_CA_JUR!W10=0,"",ETPT_CA_JUR!W10)))</f>
        <v/>
      </c>
      <c r="X10" s="153" t="str">
        <f>IF(ISBLANK($D$5),"",IF(ISERROR(ETPT_CA_JUR!X10),"",IF(ETPT_CA_JUR!X10=0,"",ETPT_CA_JUR!X10)))</f>
        <v/>
      </c>
      <c r="Y10" s="153" t="str">
        <f>IF(ISBLANK($D$5),"",IF(ISERROR(ETPT_CA_JUR!Y10),"",IF(ETPT_CA_JUR!Y10=0,"",ETPT_CA_JUR!Y10)))</f>
        <v/>
      </c>
      <c r="Z10" s="153" t="str">
        <f>IF(ISBLANK($D$5),"",IF(ISERROR(ETPT_CA_JUR!Z10),"",IF(ETPT_CA_JUR!Z10=0,"",ETPT_CA_JUR!Z10)))</f>
        <v/>
      </c>
      <c r="AA10" s="154">
        <f t="shared" si="2"/>
        <v>0</v>
      </c>
    </row>
    <row r="11" spans="1:27" x14ac:dyDescent="0.2">
      <c r="A11" s="42"/>
      <c r="B11" s="41"/>
      <c r="C11" s="41"/>
      <c r="D11" s="158" t="str">
        <f t="shared" si="3"/>
        <v>=ETPT_CA_JUR!D5</v>
      </c>
      <c r="E11" s="134" t="s">
        <v>47</v>
      </c>
      <c r="F11" s="134" t="s">
        <v>46</v>
      </c>
      <c r="G11" s="153" t="str">
        <f>IF(ISBLANK($D$5),"",IF(ISERROR(ETPT_CA_JUR!G11),"",IF(ETPT_CA_JUR!G11=0,"",ETPT_CA_JUR!G11)))</f>
        <v/>
      </c>
      <c r="H11" s="154">
        <f t="shared" si="4"/>
        <v>0</v>
      </c>
      <c r="I11" s="153" t="str">
        <f>IF(ISBLANK($D$5),"",IF(ISERROR(ETPT_CA_JUR!I11),"",IF(ETPT_CA_JUR!I11=0,"",ETPT_CA_JUR!I11)))</f>
        <v/>
      </c>
      <c r="J11" s="153" t="str">
        <f>IF(ISBLANK($D$5),"",IF(ISERROR(ETPT_CA_JUR!J11),"",IF(ETPT_CA_JUR!J11=0,"",ETPT_CA_JUR!J11)))</f>
        <v/>
      </c>
      <c r="K11" s="153" t="str">
        <f>IF(ISBLANK($D$5),"",IF(ISERROR(ETPT_CA_JUR!K11),"",IF(ETPT_CA_JUR!K11=0,"",ETPT_CA_JUR!K11)))</f>
        <v/>
      </c>
      <c r="L11" s="153" t="str">
        <f>IF(ISBLANK($D$5),"",IF(ISERROR(ETPT_CA_JUR!L11),"",IF(ETPT_CA_JUR!L11=0,"",ETPT_CA_JUR!L11)))</f>
        <v/>
      </c>
      <c r="M11" s="153" t="str">
        <f>IF(ISBLANK($D$5),"",IF(ISERROR(ETPT_CA_JUR!M11),"",IF(ETPT_CA_JUR!M11=0,"",ETPT_CA_JUR!M11)))</f>
        <v/>
      </c>
      <c r="N11" s="153" t="str">
        <f>IF(ISBLANK($D$5),"",IF(ISERROR(ETPT_CA_JUR!N11),"",IF(ETPT_CA_JUR!N11=0,"",ETPT_CA_JUR!N11)))</f>
        <v/>
      </c>
      <c r="O11" s="154">
        <f t="shared" si="0"/>
        <v>0</v>
      </c>
      <c r="P11" s="153" t="str">
        <f>IF(ISBLANK($D$5),"",IF(ISERROR(ETPT_CA_JUR!P11),"",IF(ETPT_CA_JUR!P11=0,"",ETPT_CA_JUR!P11)))</f>
        <v/>
      </c>
      <c r="Q11" s="153" t="str">
        <f>IF(ISBLANK($D$5),"",IF(ISERROR(ETPT_CA_JUR!Q11),"",IF(ETPT_CA_JUR!Q11=0,"",ETPT_CA_JUR!Q11)))</f>
        <v/>
      </c>
      <c r="R11" s="153" t="str">
        <f>IF(ISBLANK($D$5),"",IF(ISERROR(ETPT_CA_JUR!R11),"",IF(ETPT_CA_JUR!R11=0,"",ETPT_CA_JUR!R11)))</f>
        <v/>
      </c>
      <c r="S11" s="153" t="str">
        <f>IF(ISBLANK($D$5),"",IF(ISERROR(ETPT_CA_JUR!S11),"",IF(ETPT_CA_JUR!S11=0,"",ETPT_CA_JUR!S11)))</f>
        <v/>
      </c>
      <c r="T11" s="153" t="str">
        <f>IF(ISBLANK($D$5),"",IF(ISERROR(ETPT_CA_JUR!T11),"",IF(ETPT_CA_JUR!T11=0,"",ETPT_CA_JUR!T11)))</f>
        <v/>
      </c>
      <c r="U11" s="154">
        <f t="shared" si="1"/>
        <v>0</v>
      </c>
      <c r="V11" s="153" t="str">
        <f>IF(ISBLANK($D$5),"",IF(ISERROR(ETPT_CA_JUR!V11),"",IF(ETPT_CA_JUR!V11=0,"",ETPT_CA_JUR!V11)))</f>
        <v/>
      </c>
      <c r="W11" s="153" t="str">
        <f>IF(ISBLANK($D$5),"",IF(ISERROR(ETPT_CA_JUR!W11),"",IF(ETPT_CA_JUR!W11=0,"",ETPT_CA_JUR!W11)))</f>
        <v/>
      </c>
      <c r="X11" s="153" t="str">
        <f>IF(ISBLANK($D$5),"",IF(ISERROR(ETPT_CA_JUR!X11),"",IF(ETPT_CA_JUR!X11=0,"",ETPT_CA_JUR!X11)))</f>
        <v/>
      </c>
      <c r="Y11" s="153" t="str">
        <f>IF(ISBLANK($D$5),"",IF(ISERROR(ETPT_CA_JUR!Y11),"",IF(ETPT_CA_JUR!Y11=0,"",ETPT_CA_JUR!Y11)))</f>
        <v/>
      </c>
      <c r="Z11" s="153" t="str">
        <f>IF(ISBLANK($D$5),"",IF(ISERROR(ETPT_CA_JUR!Z11),"",IF(ETPT_CA_JUR!Z11=0,"",ETPT_CA_JUR!Z11)))</f>
        <v/>
      </c>
      <c r="AA11" s="154">
        <f t="shared" si="2"/>
        <v>0</v>
      </c>
    </row>
    <row r="12" spans="1:27" x14ac:dyDescent="0.2">
      <c r="A12" s="42"/>
      <c r="B12" s="41"/>
      <c r="C12" s="41"/>
      <c r="D12" s="158" t="str">
        <f t="shared" si="3"/>
        <v>=ETPT_CA_JUR!D5</v>
      </c>
      <c r="E12" s="134" t="s">
        <v>45</v>
      </c>
      <c r="F12" s="134" t="s">
        <v>44</v>
      </c>
      <c r="G12" s="153" t="str">
        <f>IF(ISBLANK($D$5),"",IF(ISERROR(ETPT_CA_JUR!G12),"",IF(ETPT_CA_JUR!G12=0,"",ETPT_CA_JUR!G12)))</f>
        <v/>
      </c>
      <c r="H12" s="154">
        <f t="shared" si="4"/>
        <v>0</v>
      </c>
      <c r="I12" s="153" t="str">
        <f>IF(ISBLANK($D$5),"",IF(ISERROR(ETPT_CA_JUR!I12),"",IF(ETPT_CA_JUR!I12=0,"",ETPT_CA_JUR!I12)))</f>
        <v/>
      </c>
      <c r="J12" s="153" t="str">
        <f>IF(ISBLANK($D$5),"",IF(ISERROR(ETPT_CA_JUR!J12),"",IF(ETPT_CA_JUR!J12=0,"",ETPT_CA_JUR!J12)))</f>
        <v/>
      </c>
      <c r="K12" s="153" t="str">
        <f>IF(ISBLANK($D$5),"",IF(ISERROR(ETPT_CA_JUR!K12),"",IF(ETPT_CA_JUR!K12=0,"",ETPT_CA_JUR!K12)))</f>
        <v/>
      </c>
      <c r="L12" s="153" t="str">
        <f>IF(ISBLANK($D$5),"",IF(ISERROR(ETPT_CA_JUR!L12),"",IF(ETPT_CA_JUR!L12=0,"",ETPT_CA_JUR!L12)))</f>
        <v/>
      </c>
      <c r="M12" s="153" t="str">
        <f>IF(ISBLANK($D$5),"",IF(ISERROR(ETPT_CA_JUR!M12),"",IF(ETPT_CA_JUR!M12=0,"",ETPT_CA_JUR!M12)))</f>
        <v/>
      </c>
      <c r="N12" s="153" t="str">
        <f>IF(ISBLANK($D$5),"",IF(ISERROR(ETPT_CA_JUR!N12),"",IF(ETPT_CA_JUR!N12=0,"",ETPT_CA_JUR!N12)))</f>
        <v/>
      </c>
      <c r="O12" s="154">
        <f t="shared" si="0"/>
        <v>0</v>
      </c>
      <c r="P12" s="153" t="str">
        <f>IF(ISBLANK($D$5),"",IF(ISERROR(ETPT_CA_JUR!P12),"",IF(ETPT_CA_JUR!P12=0,"",ETPT_CA_JUR!P12)))</f>
        <v/>
      </c>
      <c r="Q12" s="153" t="str">
        <f>IF(ISBLANK($D$5),"",IF(ISERROR(ETPT_CA_JUR!Q12),"",IF(ETPT_CA_JUR!Q12=0,"",ETPT_CA_JUR!Q12)))</f>
        <v/>
      </c>
      <c r="R12" s="153" t="str">
        <f>IF(ISBLANK($D$5),"",IF(ISERROR(ETPT_CA_JUR!R12),"",IF(ETPT_CA_JUR!R12=0,"",ETPT_CA_JUR!R12)))</f>
        <v/>
      </c>
      <c r="S12" s="153" t="str">
        <f>IF(ISBLANK($D$5),"",IF(ISERROR(ETPT_CA_JUR!S12),"",IF(ETPT_CA_JUR!S12=0,"",ETPT_CA_JUR!S12)))</f>
        <v/>
      </c>
      <c r="T12" s="153" t="str">
        <f>IF(ISBLANK($D$5),"",IF(ISERROR(ETPT_CA_JUR!T12),"",IF(ETPT_CA_JUR!T12=0,"",ETPT_CA_JUR!T12)))</f>
        <v/>
      </c>
      <c r="U12" s="154">
        <f t="shared" si="1"/>
        <v>0</v>
      </c>
      <c r="V12" s="153" t="str">
        <f>IF(ISBLANK($D$5),"",IF(ISERROR(ETPT_CA_JUR!V12),"",IF(ETPT_CA_JUR!V12=0,"",ETPT_CA_JUR!V12)))</f>
        <v/>
      </c>
      <c r="W12" s="153" t="str">
        <f>IF(ISBLANK($D$5),"",IF(ISERROR(ETPT_CA_JUR!W12),"",IF(ETPT_CA_JUR!W12=0,"",ETPT_CA_JUR!W12)))</f>
        <v/>
      </c>
      <c r="X12" s="153" t="str">
        <f>IF(ISBLANK($D$5),"",IF(ISERROR(ETPT_CA_JUR!X12),"",IF(ETPT_CA_JUR!X12=0,"",ETPT_CA_JUR!X12)))</f>
        <v/>
      </c>
      <c r="Y12" s="153" t="str">
        <f>IF(ISBLANK($D$5),"",IF(ISERROR(ETPT_CA_JUR!Y12),"",IF(ETPT_CA_JUR!Y12=0,"",ETPT_CA_JUR!Y12)))</f>
        <v/>
      </c>
      <c r="Z12" s="153" t="str">
        <f>IF(ISBLANK($D$5),"",IF(ISERROR(ETPT_CA_JUR!Z12),"",IF(ETPT_CA_JUR!Z12=0,"",ETPT_CA_JUR!Z12)))</f>
        <v/>
      </c>
      <c r="AA12" s="154">
        <f t="shared" si="2"/>
        <v>0</v>
      </c>
    </row>
    <row r="13" spans="1:27" x14ac:dyDescent="0.2">
      <c r="A13" s="42"/>
      <c r="B13" s="41"/>
      <c r="C13" s="41"/>
      <c r="D13" s="158" t="str">
        <f t="shared" si="3"/>
        <v>=ETPT_CA_JUR!D5</v>
      </c>
      <c r="E13" s="134" t="s">
        <v>43</v>
      </c>
      <c r="F13" s="134" t="s">
        <v>42</v>
      </c>
      <c r="G13" s="153" t="str">
        <f>IF(ISBLANK($D$5),"",IF(ISERROR(ETPT_CA_JUR!G13),"",IF(ETPT_CA_JUR!G13=0,"",ETPT_CA_JUR!G13)))</f>
        <v/>
      </c>
      <c r="H13" s="154">
        <f t="shared" si="4"/>
        <v>0</v>
      </c>
      <c r="I13" s="153" t="str">
        <f>IF(ISBLANK($D$5),"",IF(ISERROR(ETPT_CA_JUR!I13),"",IF(ETPT_CA_JUR!I13=0,"",ETPT_CA_JUR!I13)))</f>
        <v/>
      </c>
      <c r="J13" s="153" t="str">
        <f>IF(ISBLANK($D$5),"",IF(ISERROR(ETPT_CA_JUR!J13),"",IF(ETPT_CA_JUR!J13=0,"",ETPT_CA_JUR!J13)))</f>
        <v/>
      </c>
      <c r="K13" s="153" t="str">
        <f>IF(ISBLANK($D$5),"",IF(ISERROR(ETPT_CA_JUR!K13),"",IF(ETPT_CA_JUR!K13=0,"",ETPT_CA_JUR!K13)))</f>
        <v/>
      </c>
      <c r="L13" s="153" t="str">
        <f>IF(ISBLANK($D$5),"",IF(ISERROR(ETPT_CA_JUR!L13),"",IF(ETPT_CA_JUR!L13=0,"",ETPT_CA_JUR!L13)))</f>
        <v/>
      </c>
      <c r="M13" s="153" t="str">
        <f>IF(ISBLANK($D$5),"",IF(ISERROR(ETPT_CA_JUR!M13),"",IF(ETPT_CA_JUR!M13=0,"",ETPT_CA_JUR!M13)))</f>
        <v/>
      </c>
      <c r="N13" s="153" t="str">
        <f>IF(ISBLANK($D$5),"",IF(ISERROR(ETPT_CA_JUR!N13),"",IF(ETPT_CA_JUR!N13=0,"",ETPT_CA_JUR!N13)))</f>
        <v/>
      </c>
      <c r="O13" s="154">
        <f t="shared" si="0"/>
        <v>0</v>
      </c>
      <c r="P13" s="153" t="str">
        <f>IF(ISBLANK($D$5),"",IF(ISERROR(ETPT_CA_JUR!P13),"",IF(ETPT_CA_JUR!P13=0,"",ETPT_CA_JUR!P13)))</f>
        <v/>
      </c>
      <c r="Q13" s="153" t="str">
        <f>IF(ISBLANK($D$5),"",IF(ISERROR(ETPT_CA_JUR!Q13),"",IF(ETPT_CA_JUR!Q13=0,"",ETPT_CA_JUR!Q13)))</f>
        <v/>
      </c>
      <c r="R13" s="153" t="str">
        <f>IF(ISBLANK($D$5),"",IF(ISERROR(ETPT_CA_JUR!R13),"",IF(ETPT_CA_JUR!R13=0,"",ETPT_CA_JUR!R13)))</f>
        <v/>
      </c>
      <c r="S13" s="153" t="str">
        <f>IF(ISBLANK($D$5),"",IF(ISERROR(ETPT_CA_JUR!S13),"",IF(ETPT_CA_JUR!S13=0,"",ETPT_CA_JUR!S13)))</f>
        <v/>
      </c>
      <c r="T13" s="153" t="str">
        <f>IF(ISBLANK($D$5),"",IF(ISERROR(ETPT_CA_JUR!T13),"",IF(ETPT_CA_JUR!T13=0,"",ETPT_CA_JUR!T13)))</f>
        <v/>
      </c>
      <c r="U13" s="154">
        <f t="shared" si="1"/>
        <v>0</v>
      </c>
      <c r="V13" s="153" t="str">
        <f>IF(ISBLANK($D$5),"",IF(ISERROR(ETPT_CA_JUR!V13),"",IF(ETPT_CA_JUR!V13=0,"",ETPT_CA_JUR!V13)))</f>
        <v/>
      </c>
      <c r="W13" s="153" t="str">
        <f>IF(ISBLANK($D$5),"",IF(ISERROR(ETPT_CA_JUR!W13),"",IF(ETPT_CA_JUR!W13=0,"",ETPT_CA_JUR!W13)))</f>
        <v/>
      </c>
      <c r="X13" s="153" t="str">
        <f>IF(ISBLANK($D$5),"",IF(ISERROR(ETPT_CA_JUR!X13),"",IF(ETPT_CA_JUR!X13=0,"",ETPT_CA_JUR!X13)))</f>
        <v/>
      </c>
      <c r="Y13" s="153" t="str">
        <f>IF(ISBLANK($D$5),"",IF(ISERROR(ETPT_CA_JUR!Y13),"",IF(ETPT_CA_JUR!Y13=0,"",ETPT_CA_JUR!Y13)))</f>
        <v/>
      </c>
      <c r="Z13" s="153" t="str">
        <f>IF(ISBLANK($D$5),"",IF(ISERROR(ETPT_CA_JUR!Z13),"",IF(ETPT_CA_JUR!Z13=0,"",ETPT_CA_JUR!Z13)))</f>
        <v/>
      </c>
      <c r="AA13" s="154">
        <f t="shared" si="2"/>
        <v>0</v>
      </c>
    </row>
    <row r="14" spans="1:27" x14ac:dyDescent="0.2">
      <c r="A14" s="40"/>
      <c r="B14" s="39"/>
      <c r="C14" s="39"/>
      <c r="D14" s="158" t="str">
        <f t="shared" si="3"/>
        <v>=ETPT_CA_JUR!D5</v>
      </c>
      <c r="E14" s="134" t="s">
        <v>41</v>
      </c>
      <c r="F14" s="134" t="s">
        <v>40</v>
      </c>
      <c r="G14" s="153" t="str">
        <f>IF(ISBLANK($D$5),"",IF(ISERROR(ETPT_CA_JUR!G14),"",IF(ETPT_CA_JUR!G14=0,"",ETPT_CA_JUR!G14)))</f>
        <v/>
      </c>
      <c r="H14" s="154">
        <f t="shared" si="4"/>
        <v>0</v>
      </c>
      <c r="I14" s="153" t="str">
        <f>IF(ISBLANK($D$5),"",IF(ISERROR(ETPT_CA_JUR!I14),"",IF(ETPT_CA_JUR!I14=0,"",ETPT_CA_JUR!I14)))</f>
        <v/>
      </c>
      <c r="J14" s="153" t="str">
        <f>IF(ISBLANK($D$5),"",IF(ISERROR(ETPT_CA_JUR!J14),"",IF(ETPT_CA_JUR!J14=0,"",ETPT_CA_JUR!J14)))</f>
        <v/>
      </c>
      <c r="K14" s="153" t="str">
        <f>IF(ISBLANK($D$5),"",IF(ISERROR(ETPT_CA_JUR!K14),"",IF(ETPT_CA_JUR!K14=0,"",ETPT_CA_JUR!K14)))</f>
        <v/>
      </c>
      <c r="L14" s="153" t="str">
        <f>IF(ISBLANK($D$5),"",IF(ISERROR(ETPT_CA_JUR!L14),"",IF(ETPT_CA_JUR!L14=0,"",ETPT_CA_JUR!L14)))</f>
        <v/>
      </c>
      <c r="M14" s="153" t="str">
        <f>IF(ISBLANK($D$5),"",IF(ISERROR(ETPT_CA_JUR!M14),"",IF(ETPT_CA_JUR!M14=0,"",ETPT_CA_JUR!M14)))</f>
        <v/>
      </c>
      <c r="N14" s="153" t="str">
        <f>IF(ISBLANK($D$5),"",IF(ISERROR(ETPT_CA_JUR!N14),"",IF(ETPT_CA_JUR!N14=0,"",ETPT_CA_JUR!N14)))</f>
        <v/>
      </c>
      <c r="O14" s="154">
        <f t="shared" si="0"/>
        <v>0</v>
      </c>
      <c r="P14" s="153" t="str">
        <f>IF(ISBLANK($D$5),"",IF(ISERROR(ETPT_CA_JUR!P14),"",IF(ETPT_CA_JUR!P14=0,"",ETPT_CA_JUR!P14)))</f>
        <v/>
      </c>
      <c r="Q14" s="153" t="str">
        <f>IF(ISBLANK($D$5),"",IF(ISERROR(ETPT_CA_JUR!Q14),"",IF(ETPT_CA_JUR!Q14=0,"",ETPT_CA_JUR!Q14)))</f>
        <v/>
      </c>
      <c r="R14" s="153" t="str">
        <f>IF(ISBLANK($D$5),"",IF(ISERROR(ETPT_CA_JUR!R14),"",IF(ETPT_CA_JUR!R14=0,"",ETPT_CA_JUR!R14)))</f>
        <v/>
      </c>
      <c r="S14" s="153" t="str">
        <f>IF(ISBLANK($D$5),"",IF(ISERROR(ETPT_CA_JUR!S14),"",IF(ETPT_CA_JUR!S14=0,"",ETPT_CA_JUR!S14)))</f>
        <v/>
      </c>
      <c r="T14" s="153" t="str">
        <f>IF(ISBLANK($D$5),"",IF(ISERROR(ETPT_CA_JUR!T14),"",IF(ETPT_CA_JUR!T14=0,"",ETPT_CA_JUR!T14)))</f>
        <v/>
      </c>
      <c r="U14" s="154">
        <f t="shared" si="1"/>
        <v>0</v>
      </c>
      <c r="V14" s="153" t="str">
        <f>IF(ISBLANK($D$5),"",IF(ISERROR(ETPT_CA_JUR!V14),"",IF(ETPT_CA_JUR!V14=0,"",ETPT_CA_JUR!V14)))</f>
        <v/>
      </c>
      <c r="W14" s="153" t="str">
        <f>IF(ISBLANK($D$5),"",IF(ISERROR(ETPT_CA_JUR!W14),"",IF(ETPT_CA_JUR!W14=0,"",ETPT_CA_JUR!W14)))</f>
        <v/>
      </c>
      <c r="X14" s="153" t="str">
        <f>IF(ISBLANK($D$5),"",IF(ISERROR(ETPT_CA_JUR!X14),"",IF(ETPT_CA_JUR!X14=0,"",ETPT_CA_JUR!X14)))</f>
        <v/>
      </c>
      <c r="Y14" s="153" t="str">
        <f>IF(ISBLANK($D$5),"",IF(ISERROR(ETPT_CA_JUR!Y14),"",IF(ETPT_CA_JUR!Y14=0,"",ETPT_CA_JUR!Y14)))</f>
        <v/>
      </c>
      <c r="Z14" s="153" t="str">
        <f>IF(ISBLANK($D$5),"",IF(ISERROR(ETPT_CA_JUR!Z14),"",IF(ETPT_CA_JUR!Z14=0,"",ETPT_CA_JUR!Z14)))</f>
        <v/>
      </c>
      <c r="AA14" s="154">
        <f t="shared" si="2"/>
        <v>0</v>
      </c>
    </row>
    <row r="15" spans="1:27" x14ac:dyDescent="0.2">
      <c r="D15" s="158" t="str">
        <f t="shared" si="3"/>
        <v>=ETPT_CA_JUR!D5</v>
      </c>
      <c r="E15" s="134" t="s">
        <v>139</v>
      </c>
      <c r="F15" s="134" t="s">
        <v>140</v>
      </c>
      <c r="G15" s="153" t="str">
        <f>IF(ISBLANK($D$5),"",IF(ISERROR(ETPT_CA_JUR!G15),"",IF(ETPT_CA_JUR!G15=0,"",ETPT_CA_JUR!G15)))</f>
        <v/>
      </c>
      <c r="H15" s="154">
        <f t="shared" si="4"/>
        <v>0</v>
      </c>
      <c r="I15" s="153" t="str">
        <f>IF(ISBLANK($D$5),"",IF(ISERROR(ETPT_CA_JUR!I15),"",IF(ETPT_CA_JUR!I15=0,"",ETPT_CA_JUR!I15)))</f>
        <v/>
      </c>
      <c r="J15" s="153" t="str">
        <f>IF(ISBLANK($D$5),"",IF(ISERROR(ETPT_CA_JUR!J15),"",IF(ETPT_CA_JUR!J15=0,"",ETPT_CA_JUR!J15)))</f>
        <v/>
      </c>
      <c r="K15" s="153" t="str">
        <f>IF(ISBLANK($D$5),"",IF(ISERROR(ETPT_CA_JUR!K15),"",IF(ETPT_CA_JUR!K15=0,"",ETPT_CA_JUR!K15)))</f>
        <v/>
      </c>
      <c r="L15" s="153" t="str">
        <f>IF(ISBLANK($D$5),"",IF(ISERROR(ETPT_CA_JUR!L15),"",IF(ETPT_CA_JUR!L15=0,"",ETPT_CA_JUR!L15)))</f>
        <v/>
      </c>
      <c r="M15" s="153" t="str">
        <f>IF(ISBLANK($D$5),"",IF(ISERROR(ETPT_CA_JUR!M15),"",IF(ETPT_CA_JUR!M15=0,"",ETPT_CA_JUR!M15)))</f>
        <v/>
      </c>
      <c r="N15" s="153" t="str">
        <f>IF(ISBLANK($D$5),"",IF(ISERROR(ETPT_CA_JUR!N15),"",IF(ETPT_CA_JUR!N15=0,"",ETPT_CA_JUR!N15)))</f>
        <v/>
      </c>
      <c r="O15" s="154">
        <f t="shared" si="0"/>
        <v>0</v>
      </c>
      <c r="P15" s="153" t="str">
        <f>IF(ISBLANK($D$5),"",IF(ISERROR(ETPT_CA_JUR!P15),"",IF(ETPT_CA_JUR!P15=0,"",ETPT_CA_JUR!P15)))</f>
        <v/>
      </c>
      <c r="Q15" s="153" t="str">
        <f>IF(ISBLANK($D$5),"",IF(ISERROR(ETPT_CA_JUR!Q15),"",IF(ETPT_CA_JUR!Q15=0,"",ETPT_CA_JUR!Q15)))</f>
        <v/>
      </c>
      <c r="R15" s="153" t="str">
        <f>IF(ISBLANK($D$5),"",IF(ISERROR(ETPT_CA_JUR!R15),"",IF(ETPT_CA_JUR!R15=0,"",ETPT_CA_JUR!R15)))</f>
        <v/>
      </c>
      <c r="S15" s="153" t="str">
        <f>IF(ISBLANK($D$5),"",IF(ISERROR(ETPT_CA_JUR!S15),"",IF(ETPT_CA_JUR!S15=0,"",ETPT_CA_JUR!S15)))</f>
        <v/>
      </c>
      <c r="T15" s="153" t="str">
        <f>IF(ISBLANK($D$5),"",IF(ISERROR(ETPT_CA_JUR!T15),"",IF(ETPT_CA_JUR!T15=0,"",ETPT_CA_JUR!T15)))</f>
        <v/>
      </c>
      <c r="U15" s="154">
        <f t="shared" si="1"/>
        <v>0</v>
      </c>
      <c r="V15" s="153" t="str">
        <f>IF(ISBLANK($D$5),"",IF(ISERROR(ETPT_CA_JUR!V15),"",IF(ETPT_CA_JUR!V15=0,"",ETPT_CA_JUR!V15)))</f>
        <v/>
      </c>
      <c r="W15" s="153" t="str">
        <f>IF(ISBLANK($D$5),"",IF(ISERROR(ETPT_CA_JUR!W15),"",IF(ETPT_CA_JUR!W15=0,"",ETPT_CA_JUR!W15)))</f>
        <v/>
      </c>
      <c r="X15" s="153" t="str">
        <f>IF(ISBLANK($D$5),"",IF(ISERROR(ETPT_CA_JUR!X15),"",IF(ETPT_CA_JUR!X15=0,"",ETPT_CA_JUR!X15)))</f>
        <v/>
      </c>
      <c r="Y15" s="153" t="str">
        <f>IF(ISBLANK($D$5),"",IF(ISERROR(ETPT_CA_JUR!Y15),"",IF(ETPT_CA_JUR!Y15=0,"",ETPT_CA_JUR!Y15)))</f>
        <v/>
      </c>
      <c r="Z15" s="153" t="str">
        <f>IF(ISBLANK($D$5),"",IF(ISERROR(ETPT_CA_JUR!Z15),"",IF(ETPT_CA_JUR!Z15=0,"",ETPT_CA_JUR!Z15)))</f>
        <v/>
      </c>
      <c r="AA15" s="154">
        <f t="shared" si="2"/>
        <v>0</v>
      </c>
    </row>
    <row r="16" spans="1:27" x14ac:dyDescent="0.2">
      <c r="D16" s="158"/>
      <c r="E16" s="134" t="s">
        <v>39</v>
      </c>
      <c r="F16" s="134" t="s">
        <v>38</v>
      </c>
      <c r="G16" s="153" t="str">
        <f>IF(ISBLANK($D$5),"",IF(ISERROR(ETPT_CA_JUR!G16),"",IF(ETPT_CA_JUR!G16=0,"",ETPT_CA_JUR!G16)))</f>
        <v/>
      </c>
      <c r="H16" s="154">
        <f>SUM(G16)</f>
        <v>0</v>
      </c>
      <c r="I16" s="153" t="str">
        <f>IF(ISBLANK($D$5),"",IF(ISERROR(ETPT_CA_JUR!I16),"",IF(ETPT_CA_JUR!I16=0,"",ETPT_CA_JUR!I16)))</f>
        <v/>
      </c>
      <c r="J16" s="153" t="str">
        <f>IF(ISBLANK($D$5),"",IF(ISERROR(ETPT_CA_JUR!J16),"",IF(ETPT_CA_JUR!J16=0,"",ETPT_CA_JUR!J16)))</f>
        <v/>
      </c>
      <c r="K16" s="153" t="str">
        <f>IF(ISBLANK($D$5),"",IF(ISERROR(ETPT_CA_JUR!K16),"",IF(ETPT_CA_JUR!K16=0,"",ETPT_CA_JUR!K16)))</f>
        <v/>
      </c>
      <c r="L16" s="153" t="str">
        <f>IF(ISBLANK($D$5),"",IF(ISERROR(ETPT_CA_JUR!L16),"",IF(ETPT_CA_JUR!L16=0,"",ETPT_CA_JUR!L16)))</f>
        <v/>
      </c>
      <c r="M16" s="153" t="str">
        <f>IF(ISBLANK($D$5),"",IF(ISERROR(ETPT_CA_JUR!M16),"",IF(ETPT_CA_JUR!M16=0,"",ETPT_CA_JUR!M16)))</f>
        <v/>
      </c>
      <c r="N16" s="153" t="str">
        <f>IF(ISBLANK($D$5),"",IF(ISERROR(ETPT_CA_JUR!N16),"",IF(ETPT_CA_JUR!N16=0,"",ETPT_CA_JUR!N16)))</f>
        <v/>
      </c>
      <c r="O16" s="154">
        <f>SUM(I16:N16)</f>
        <v>0</v>
      </c>
      <c r="P16" s="153" t="str">
        <f>IF(ISBLANK($D$5),"",IF(ISERROR(ETPT_CA_JUR!P16),"",IF(ETPT_CA_JUR!P16=0,"",ETPT_CA_JUR!P16)))</f>
        <v/>
      </c>
      <c r="Q16" s="153" t="str">
        <f>IF(ISBLANK($D$5),"",IF(ISERROR(ETPT_CA_JUR!Q16),"",IF(ETPT_CA_JUR!Q16=0,"",ETPT_CA_JUR!Q16)))</f>
        <v/>
      </c>
      <c r="R16" s="153" t="str">
        <f>IF(ISBLANK($D$5),"",IF(ISERROR(ETPT_CA_JUR!R16),"",IF(ETPT_CA_JUR!R16=0,"",ETPT_CA_JUR!R16)))</f>
        <v/>
      </c>
      <c r="S16" s="153" t="str">
        <f>IF(ISBLANK($D$5),"",IF(ISERROR(ETPT_CA_JUR!S16),"",IF(ETPT_CA_JUR!S16=0,"",ETPT_CA_JUR!S16)))</f>
        <v/>
      </c>
      <c r="T16" s="153" t="str">
        <f>IF(ISBLANK($D$5),"",IF(ISERROR(ETPT_CA_JUR!T16),"",IF(ETPT_CA_JUR!T16=0,"",ETPT_CA_JUR!T16)))</f>
        <v/>
      </c>
      <c r="U16" s="154">
        <f t="shared" si="1"/>
        <v>0</v>
      </c>
      <c r="V16" s="153" t="str">
        <f>IF(ISBLANK($D$5),"",IF(ISERROR(ETPT_CA_JUR!V16),"",IF(ETPT_CA_JUR!V16=0,"",ETPT_CA_JUR!V16)))</f>
        <v/>
      </c>
      <c r="W16" s="153" t="str">
        <f>IF(ISBLANK($D$5),"",IF(ISERROR(ETPT_CA_JUR!W16),"",IF(ETPT_CA_JUR!W16=0,"",ETPT_CA_JUR!W16)))</f>
        <v/>
      </c>
      <c r="X16" s="153" t="str">
        <f>IF(ISBLANK($D$5),"",IF(ISERROR(ETPT_CA_JUR!X16),"",IF(ETPT_CA_JUR!X16=0,"",ETPT_CA_JUR!X16)))</f>
        <v/>
      </c>
      <c r="Y16" s="153" t="str">
        <f>IF(ISBLANK($D$5),"",IF(ISERROR(ETPT_CA_JUR!Y16),"",IF(ETPT_CA_JUR!Y16=0,"",ETPT_CA_JUR!Y16)))</f>
        <v/>
      </c>
      <c r="Z16" s="153" t="str">
        <f>IF(ISBLANK($D$5),"",IF(ISERROR(ETPT_CA_JUR!Z16),"",IF(ETPT_CA_JUR!Z16=0,"",ETPT_CA_JUR!Z16)))</f>
        <v/>
      </c>
      <c r="AA16" s="154">
        <f>SUM(V16:Z16)</f>
        <v>0</v>
      </c>
    </row>
    <row r="17" spans="1:27" x14ac:dyDescent="0.2">
      <c r="D17" s="158"/>
      <c r="E17" s="159"/>
      <c r="F17" s="157" t="s">
        <v>37</v>
      </c>
      <c r="G17" s="154">
        <f>SUM(G5:G16)</f>
        <v>0</v>
      </c>
      <c r="H17" s="154">
        <f t="shared" ref="H17:Z17" si="5">SUM(H5:H16)</f>
        <v>0</v>
      </c>
      <c r="I17" s="154">
        <f t="shared" si="5"/>
        <v>0</v>
      </c>
      <c r="J17" s="154">
        <f t="shared" si="5"/>
        <v>0</v>
      </c>
      <c r="K17" s="154">
        <f t="shared" si="5"/>
        <v>0</v>
      </c>
      <c r="L17" s="154">
        <f t="shared" si="5"/>
        <v>0</v>
      </c>
      <c r="M17" s="154">
        <f t="shared" si="5"/>
        <v>0</v>
      </c>
      <c r="N17" s="154">
        <f t="shared" si="5"/>
        <v>0</v>
      </c>
      <c r="O17" s="154">
        <f>SUM(O5:O16)</f>
        <v>0</v>
      </c>
      <c r="P17" s="154">
        <f t="shared" si="5"/>
        <v>0</v>
      </c>
      <c r="Q17" s="154">
        <f t="shared" si="5"/>
        <v>0</v>
      </c>
      <c r="R17" s="154">
        <f t="shared" si="5"/>
        <v>0</v>
      </c>
      <c r="S17" s="154">
        <f t="shared" si="5"/>
        <v>0</v>
      </c>
      <c r="T17" s="154">
        <f t="shared" si="5"/>
        <v>0</v>
      </c>
      <c r="U17" s="154">
        <f t="shared" si="5"/>
        <v>0</v>
      </c>
      <c r="V17" s="154">
        <f t="shared" si="5"/>
        <v>0</v>
      </c>
      <c r="W17" s="154">
        <f t="shared" si="5"/>
        <v>0</v>
      </c>
      <c r="X17" s="154">
        <f t="shared" si="5"/>
        <v>0</v>
      </c>
      <c r="Y17" s="154">
        <f t="shared" si="5"/>
        <v>0</v>
      </c>
      <c r="Z17" s="154">
        <f t="shared" si="5"/>
        <v>0</v>
      </c>
      <c r="AA17" s="154">
        <f>SUM(AA5:AA16)</f>
        <v>0</v>
      </c>
    </row>
    <row r="19" spans="1:27" ht="73" customHeight="1" x14ac:dyDescent="0.2">
      <c r="A19" s="4"/>
      <c r="B19"/>
      <c r="C19"/>
      <c r="D19"/>
      <c r="E19"/>
      <c r="F19" s="112" t="s">
        <v>144</v>
      </c>
      <c r="G19" s="155" t="e">
        <f>SUMIFS( INDEX( 'ETPT Format DDG'!$A:$FA,,MATCH("14. TOTAL INDISPONIBILITÉ",'ETPT Format DDG'!2:2,0)),'ETPT Format DDG'!$C:$C,$D$5,'ETPT Format DDG'!$FA:$FA,"Fonctionnaire CTECH placé ADD") +
SUMIFS( INDEX( 'ETPT Format DDG'!$A:$FA,,MATCH("14. TOTAL INDISPONIBILITÉ",'ETPT Format DDG'!2:2,0)),'ETPT Format DDG'!$C:$C,$D$5,'ETPT Format DDG'!$FA:$FA,"Fonctionnaire CTECH placé SUB")</f>
        <v>#N/A</v>
      </c>
      <c r="H19"/>
      <c r="I19"/>
      <c r="J19"/>
      <c r="K19"/>
      <c r="L19"/>
      <c r="M19" s="113" t="s">
        <v>145</v>
      </c>
      <c r="N19" s="155" t="e">
        <f>SUMIFS( INDEX( 'ETPT Format DDG'!$A:$FA,,MATCH("14. TOTAL INDISPONIBILITÉ",'ETPT Format DDG'!2:2,0)),'ETPT Format DDG'!$C:$C,$D$5,'ETPT Format DDG'!$FA:$FA,"Fonctionnaire A-B-CBUR placé ADD") +
SUMIFS( INDEX( 'ETPT Format DDG'!$A:$FA,,MATCH("14. TOTAL INDISPONIBILITÉ",'ETPT Format DDG'!2:2,0)),'ETPT Format DDG'!$C:$C,$D$5,'ETPT Format DDG'!$FA:$FA,"Fonctionnaire A-B-CBUR placé SUB")</f>
        <v>#N/A</v>
      </c>
      <c r="O19"/>
      <c r="P19"/>
      <c r="Q19"/>
      <c r="R19"/>
      <c r="S19"/>
      <c r="T19"/>
      <c r="U19"/>
      <c r="V19"/>
      <c r="W19"/>
      <c r="X19"/>
      <c r="Y19"/>
      <c r="Z19"/>
      <c r="AA19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4CC5-4631-9C4D-9EF1-39CD273D3537}">
  <sheetPr>
    <tabColor rgb="FF0070C0"/>
  </sheetPr>
  <dimension ref="A1:N14"/>
  <sheetViews>
    <sheetView workbookViewId="0">
      <selection activeCell="A6" sqref="A6:A13"/>
    </sheetView>
  </sheetViews>
  <sheetFormatPr baseColWidth="10" defaultRowHeight="15" x14ac:dyDescent="0.2"/>
  <cols>
    <col min="3" max="3" width="73.83203125" customWidth="1"/>
    <col min="4" max="13" width="23.6640625" customWidth="1"/>
    <col min="14" max="14" width="15.33203125" customWidth="1"/>
  </cols>
  <sheetData>
    <row r="1" spans="1:14" ht="74" customHeight="1" x14ac:dyDescent="0.25">
      <c r="A1" s="3" t="s">
        <v>146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2">
      <c r="D3" s="120" t="s">
        <v>36</v>
      </c>
      <c r="E3" s="120" t="s">
        <v>36</v>
      </c>
      <c r="F3" s="120" t="s">
        <v>36</v>
      </c>
      <c r="G3" s="120" t="s">
        <v>36</v>
      </c>
      <c r="H3" s="120" t="s">
        <v>36</v>
      </c>
      <c r="I3" s="120" t="s">
        <v>36</v>
      </c>
      <c r="J3" s="120" t="s">
        <v>36</v>
      </c>
      <c r="K3" s="120" t="s">
        <v>36</v>
      </c>
      <c r="L3" s="120" t="s">
        <v>36</v>
      </c>
      <c r="M3" s="120" t="s">
        <v>36</v>
      </c>
      <c r="N3" s="194" t="s">
        <v>165</v>
      </c>
    </row>
    <row r="4" spans="1:14" x14ac:dyDescent="0.2">
      <c r="D4" s="120" t="s">
        <v>131</v>
      </c>
      <c r="E4" s="120" t="s">
        <v>166</v>
      </c>
      <c r="F4" s="120" t="s">
        <v>83</v>
      </c>
      <c r="G4" s="120" t="s">
        <v>167</v>
      </c>
      <c r="H4" s="120" t="s">
        <v>84</v>
      </c>
      <c r="I4" s="120" t="s">
        <v>168</v>
      </c>
      <c r="J4" s="120" t="s">
        <v>169</v>
      </c>
      <c r="K4" s="120" t="s">
        <v>170</v>
      </c>
      <c r="L4" s="120" t="s">
        <v>171</v>
      </c>
      <c r="M4" s="120" t="s">
        <v>172</v>
      </c>
      <c r="N4" s="194"/>
    </row>
    <row r="5" spans="1:14" ht="71" customHeight="1" x14ac:dyDescent="0.2">
      <c r="A5" s="123" t="s">
        <v>32</v>
      </c>
      <c r="B5" s="123" t="s">
        <v>173</v>
      </c>
      <c r="C5" s="123" t="s">
        <v>72</v>
      </c>
      <c r="D5" s="123" t="s">
        <v>174</v>
      </c>
      <c r="E5" s="123" t="s">
        <v>175</v>
      </c>
      <c r="F5" s="123" t="s">
        <v>176</v>
      </c>
      <c r="G5" s="123" t="s">
        <v>177</v>
      </c>
      <c r="H5" s="123" t="s">
        <v>178</v>
      </c>
      <c r="I5" s="123" t="s">
        <v>179</v>
      </c>
      <c r="J5" s="123" t="s">
        <v>180</v>
      </c>
      <c r="K5" s="123" t="s">
        <v>181</v>
      </c>
      <c r="L5" s="123" t="s">
        <v>182</v>
      </c>
      <c r="M5" s="123" t="s">
        <v>183</v>
      </c>
      <c r="N5" s="194"/>
    </row>
    <row r="6" spans="1:14" x14ac:dyDescent="0.2">
      <c r="A6" s="135" t="s">
        <v>156</v>
      </c>
      <c r="B6" s="134" t="s">
        <v>59</v>
      </c>
      <c r="C6" s="134" t="s">
        <v>58</v>
      </c>
      <c r="D6" s="127" t="e" cm="1">
        <f t="array" ref="D6">SUM(SUMIFS(
INDEX( 'ETPT Format DDG'!$A:$ZZ,,MATCH("1. TOTAL CONTENTIEUX SOCIAL",'ETPT Format DDG'!2:2,0)),
INDEX( 'ETPT Format DDG'!$A:$ZZ,,MATCH("Fonction recodée",'ETPT Format DDG'!2:2,0)),{"JA/AttJ Parquet";"JA/AttJ Siège autres";"JA/AttJ Social"}))</f>
        <v>#N/A</v>
      </c>
      <c r="E6" s="128" t="e" cm="1">
        <f t="array" ref="E6">SUM(SUMIFS(
INDEX( 'ETPT Format DDG'!$A:$ZZ,,MATCH("1. TOTAL CONTENTIEUX SOCIAL",'ETPT Format DDG'!2:2,0)),
INDEX( 'ETPT Format DDG'!$A:$ZZ,,MATCH("Fonction recodée",'ETPT Format DDG'!2:2,0)),{"CONT A VIF Parquet";"CONT A VIF Siège";"CONT A JP Parquet";"CONT A JP Siège"}))+
SUM(SUMIFS(
INDEX( 'ETPT Format DDG'!$A:$ZZ,,MATCH("2. TOTAL CONTENTIEUX COMMERCIAL",'ETPT Format DDG'!2:2,0)),
INDEX( 'ETPT Format DDG'!$A:$ZZ,,MATCH("Fonction recodée",'ETPT Format DDG'!2:2,0)),{"CONT A VIF Parquet";"CONT A VIF Siège";"CONT A JP Parquet";"CONT A JP Siège"}))+
SUM(SUMIFS(
INDEX( 'ETPT Format DDG'!$A:$ZZ,,MATCH("3. TOTAL CONTENTIEUX DE LA FAMILLE",'ETPT Format DDG'!2:2,0)),
INDEX( 'ETPT Format DDG'!$A:$ZZ,,MATCH("Fonction recodée",'ETPT Format DDG'!2:2,0)),{"CONT A VIF Parquet";"CONT A VIF Siège";"CONT A JP Parquet";"CONT A JP Siège"}))+
SUM(SUMIFS(
INDEX( 'ETPT Format DDG'!$A:$ZZ,,MATCH("4. TOTAL CONTENTIEUX DE LA PROTECTION",'ETPT Format DDG'!2:2,0)),
INDEX( 'ETPT Format DDG'!$A:$ZZ,,MATCH("Fonction recodée",'ETPT Format DDG'!2:2,0)),{"CONT A VIF Parquet";"CONT A VIF Siège";"CONT A JP Parquet";"CONT A JP Siège"}))+
SUM(SUMIFS(
INDEX( 'ETPT Format DDG'!$A:$ZZ,,MATCH("5. TOTAL CONTENTIEUX CIVIL NON SPÉCIALISÉ",'ETPT Format DDG'!2:2,0)),
INDEX( 'ETPT Format DDG'!$A:$ZZ,,MATCH("Fonction recodée",'ETPT Format DDG'!2:2,0)),{"CONT A VIF Parquet";"CONT A VIF Siège";"CONT A JP Parquet";"CONT A JP Siège"}))+
SUM(SUMIFS(
INDEX( 'ETPT Format DDG'!$A:$ZZ,,MATCH("12. TOTAL ATTRIBUTIONS DU PP",'ETPT Format DDG'!2:2,0)),
INDEX( 'ETPT Format DDG'!$A:$ZZ,,MATCH("Fonction recodée",'ETPT Format DDG'!2:2,0)),{"CONT A VIF Parquet";"CONT A VIF Siège";"CONT A JP Parquet";"CONT A JP Siège"}))-
SUM(SUMIFS(
INDEX( 'ETPT Format DDG'!$A:$ZZ,,MATCH("12.5. EXTRADITIONS ET MAE",'ETPT Format DDG'!2:2,0)),
INDEX( 'ETPT Format DDG'!$A:$ZZ,,MATCH("Fonction recodée",'ETPT Format DDG'!2:2,0)),{"CONT A VIF Parquet";"CONT A VIF Siège";"CONT A JP Parquet";"CONT A JP Siège"}))-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Siège"}))-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DDG'!$A:$ZZ,,MATCH("7.1. ACTIVITÉ CIVILE",'ETPT Format DDG'!2:2,0)),
INDEX( 'ETPT Format DDG'!$A:$ZZ,,MATCH("Fonction recodée",'ETPT Format DDG'!2:2,0)),{"CONT A VIF Parquet";"CONT A VIF Siège";"CONT A JP Parquet";"CONT A JP Siège"}))</f>
        <v>#N/A</v>
      </c>
      <c r="F6" s="127" t="e" cm="1">
        <f t="array" ref="F6">SUM(SUMIFS(
INDEX( 'ETPT Format DDG'!$A:$ZZ,,MATCH("2. TOTAL CONTENTIEUX COMMERCIAL",'ETPT Format DDG'!2:2,0)),
INDEX( 'ETPT Format DDG'!$A:$ZZ,,MATCH("Fonction recodée",'ETPT Format DDG'!2:2,0)),{"JA/AttJ Parquet";"JA/AttJ Siège autres";"JA/AttJ Social"}))+
SUM(SUMIFS(
INDEX( 'ETPT Format DDG'!$A:$ZZ,,MATCH("3. TOTAL CONTENTIEUX DE LA FAMILLE",'ETPT Format DDG'!2:2,0)),
INDEX( 'ETPT Format DDG'!$A:$ZZ,,MATCH("Fonction recodée",'ETPT Format DDG'!2:2,0)),{"JA/AttJ Parquet";"JA/AttJ Siège autres";"JA/AttJ Social"}))+
SUM(SUMIFS(
INDEX( 'ETPT Format DDG'!$A:$ZZ,,MATCH("4. TOTAL CONTENTIEUX DE LA PROTECTION",'ETPT Format DDG'!2:2,0)),
INDEX( 'ETPT Format DDG'!$A:$ZZ,,MATCH("Fonction recodée",'ETPT Format DDG'!2:2,0)),{"JA/AttJ Parquet";"JA/AttJ Siège autres";"JA/AttJ Social"}))+
SUM(SUMIFS(
INDEX( 'ETPT Format DDG'!$A:$ZZ,,MATCH("5. TOTAL CONTENTIEUX CIVIL NON SPÉCIALISÉ",'ETPT Format DDG'!2:2,0)),
INDEX( 'ETPT Format DDG'!$A:$ZZ,,MATCH("Fonction recodée",'ETPT Format DDG'!2:2,0)),{"JA/AttJ Parquet";"JA/AttJ Siège autres";"JA/AttJ Social"}))+
SUM(SUMIFS(
INDEX( 'ETPT Format DDG'!$A:$ZZ,,MATCH("12. TOTAL ATTRIBUTIONS DU PP",'ETPT Format DDG'!2:2,0)),
INDEX( 'ETPT Format DDG'!$A:$ZZ,,MATCH("Fonction recodée",'ETPT Format DDG'!2:2,0)),{"JA/AttJ Parquet";"JA/AttJ Siège autres";"JA/AttJ Social"}))-
SUM(SUMIFS(
INDEX( 'ETPT Format DDG'!$A:$ZZ,,MATCH("12.5. EXTRADITIONS ET MAE",'ETPT Format DDG'!2:2,0)),
INDEX( 'ETPT Format DDG'!$A:$ZZ,,MATCH("Fonction recodée",'ETPT Format DDG'!2:2,0)),{"JA/AttJ Parquet";"JA/AttJ Siège autres";"JA/AttJ Social"}))-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Social"}))-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DDG'!$A:$ZZ,,MATCH("7.1. ACTIVITÉ CIVILE",'ETPT Format DDG'!2:2,0)),
INDEX( 'ETPT Format DDG'!$A:$ZZ,,MATCH("Fonction recodée",'ETPT Format DDG'!2:2,0)),{"JA/AttJ Parquet";"JA/AttJ Siège autres";"JA/AttJ Social"}))</f>
        <v>#N/A</v>
      </c>
      <c r="G6" s="129"/>
      <c r="H6" s="127" t="e" cm="1">
        <f t="array" ref="H6">SUM(SUMIFS(
INDEX('ETPT A-JUST'!$A:$ZZ,,MATCH("13.9. FONCTIONNAIRES / JA AFFECTÉS AUX ACTIVITÉS CIVILES ET COMMERCIALES DU PARQUET GÉNÉRAL",'ETPT A-JUST'!2:2,0)),
INDEX('ETPT A-JUST'!$A:$ZZ,,MATCH("Fonction recodée",'ETPT A-JUST'!2:2,0)),{"JA/AttJ Parquet";"JA/AttJ Siège autres";"JA/AttJ Social"}))</f>
        <v>#N/A</v>
      </c>
      <c r="I6" s="128" t="e" cm="1">
        <f t="array" ref="I6">SUM(SUMIFS(
INDEX('ETPT A-JUST'!$A:$ZZ,,MATCH("13.9. FONCTIONNAIRES / JA AFFECTÉS AUX ACTIVITÉS CIVILES ET COMMERCIALES DU PARQUET GÉNÉRAL",'ETPT A-JUST'!2:2,0)),
INDEX( 'ETPT Format DDG'!$A:$ZZ,,MATCH("Fonction recodée",'ETPT Format DDG'!2:2,0)),{"CONT A VIF Parquet";"CONT A VIF Siège";"CONT A JP Parquet";"CONT A JP Siège"}))</f>
        <v>#N/A</v>
      </c>
      <c r="J6" s="127"/>
      <c r="K6" s="127"/>
      <c r="L6" s="127"/>
      <c r="M6" s="127"/>
      <c r="N6" s="130" t="e">
        <f>SUMIF($G$3:M$3,M$3,$G6:M6)</f>
        <v>#N/A</v>
      </c>
    </row>
    <row r="7" spans="1:14" x14ac:dyDescent="0.2">
      <c r="A7" s="135" t="s">
        <v>223</v>
      </c>
      <c r="B7" s="134" t="s">
        <v>57</v>
      </c>
      <c r="C7" s="134" t="s">
        <v>56</v>
      </c>
      <c r="D7" s="131"/>
      <c r="E7" s="128" t="e" cm="1">
        <f t="array" ref="E7">SUM(SUMIFS(
INDEX( 'ETPT Format DDG'!$A:$ZZ,,MATCH("12.5. EXTRADITIONS ET MAE",'ETPT Format DDG'!2:2,0)),
INDEX( 'ETPT Format DDG'!$A:$ZZ,,MATCH("Fonction recodée",'ETPT Format DDG'!2:2,0)),{"CONT A VIF Parquet";"CONT A VIF Siège";"CONT A JP Parquet";"CONT A JP Siège"}))+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Siège"}))+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DDG'!$A:$ZZ,,MATCH("7.2. ACTIVITÉ PÉNALE",'ETPT Format DDG'!2:2,0)),
INDEX( 'ETPT Format DDG'!$A:$ZZ,,MATCH("Fonction recodée",'ETPT Format DDG'!2:2,0)),{"CONT A VIF Parquet";"CONT A VIF Siège";"CONT A JP Parquet";"CONT A JP Siège"}))+
SUM(SUMIFS(
INDEX( 'ETPT Format DDG'!$A:$ZZ,,MATCH("8. TOTAL CORRECTIONNEL",'ETPT Format DDG'!2:2,0)),
INDEX( 'ETPT Format DDG'!$A:$ZZ,,MATCH("Fonction recodée",'ETPT Format DDG'!2:2,0)),{"CONT A VIF Parquet";"CONT A VIF Siège";"CONT A JP Parquet";"CONT A JP Siège"}))+
SUM(SUMIFS(
INDEX( 'ETPT Format DDG'!$A:$ZZ,,MATCH("9. TOTAL INSTRUCTION ET ENTRAIDE",'ETPT Format DDG'!2:2,0)),
INDEX( 'ETPT Format DDG'!$A:$ZZ,,MATCH("Fonction recodée",'ETPT Format DDG'!2:2,0)),{"CONT A VIF Parquet";"CONT A VIF Siège";"CONT A JP Parquet";"CONT A JP Siège"}))+
SUM(SUMIFS(
INDEX( 'ETPT Format DDG'!$A:$ZZ,,MATCH("10. TOTAL APPLICATION DES PEINES",'ETPT Format DDG'!2:2,0)),
INDEX( 'ETPT Format DDG'!$A:$ZZ,,MATCH("Fonction recodée",'ETPT Format DDG'!2:2,0)),{"CONT A VIF Parquet";"CONT A VIF Siège";"CONT A JP Parquet";"CONT A JP Siège"}))+
SUM(SUMIFS(
INDEX( 'ETPT Format DDG'!$A:$ZZ,,MATCH("11. TOTAL CONTENTIEUX CRIMINEL",'ETPT Format DDG'!2:2,0)),
INDEX( 'ETPT Format DDG'!$A:$ZZ,,MATCH("Fonction recodée",'ETPT Format DDG'!2:2,0)),{"CONT A VIF Parquet";"CONT A VIF Siège";"CONT A JP Parquet";"CONT A JP Siège"}))</f>
        <v>#N/A</v>
      </c>
      <c r="F7" s="127" t="e" cm="1">
        <f t="array" ref="F7">SUM(SUMIFS(
INDEX( 'ETPT Format DDG'!$A:$ZZ,,MATCH("12.5. EXTRADITIONS ET MAE",'ETPT Format DDG'!2:2,0)),
INDEX( 'ETPT Format DDG'!$A:$ZZ,,MATCH("Fonction recodée",'ETPT Format DDG'!2:2,0)),{"JA/AttJ Parquet";"JA/AttJ Siège autres";"JA/AttJ Social"}))+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Social"}))+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DDG'!$A:$ZZ,,MATCH("7.2. ACTIVITÉ PÉNALE",'ETPT Format DDG'!2:2,0)),
INDEX( 'ETPT Format DDG'!$A:$ZZ,,MATCH("Fonction recodée",'ETPT Format DDG'!2:2,0)),{"JA/AttJ Parquet";"JA/AttJ Siège autres";"JA/AttJ Social"}))+
SUM(SUMIFS(
INDEX( 'ETPT Format DDG'!$A:$ZZ,,MATCH("8. TOTAL CORRECTIONNEL",'ETPT Format DDG'!2:2,0)),
INDEX( 'ETPT Format DDG'!$A:$ZZ,,MATCH("Fonction recodée",'ETPT Format DDG'!2:2,0)),{"JA/AttJ Parquet";"JA/AttJ Siège autres";"JA/AttJ Social"}))+
SUM(SUMIFS(
INDEX( 'ETPT Format DDG'!$A:$ZZ,,MATCH("9. TOTAL INSTRUCTION ET ENTRAIDE",'ETPT Format DDG'!2:2,0)),
INDEX( 'ETPT Format DDG'!$A:$ZZ,,MATCH("Fonction recodée",'ETPT Format DDG'!2:2,0)),{"JA/AttJ Parquet";"JA/AttJ Siège autres";"JA/AttJ Social"}))+
SUM(SUMIFS(
INDEX( 'ETPT Format DDG'!$A:$ZZ,,MATCH("10. TOTAL APPLICATION DES PEINES",'ETPT Format DDG'!2:2,0)),
INDEX( 'ETPT Format DDG'!$A:$ZZ,,MATCH("Fonction recodée",'ETPT Format DDG'!2:2,0)),{"JA/AttJ Parquet";"JA/AttJ Siège autres";"JA/AttJ Social"}))+
SUM(SUMIFS(
INDEX( 'ETPT Format DDG'!$A:$ZZ,,MATCH("11. TOTAL CONTENTIEUX CRIMINEL",'ETPT Format DDG'!2:2,0)),
INDEX( 'ETPT Format DDG'!$A:$ZZ,,MATCH("Fonction recodée",'ETPT Format DDG'!2:2,0)),{"JA/AttJ Parquet";"JA/AttJ Siège autres";"JA/AttJ Social"}))</f>
        <v>#N/A</v>
      </c>
      <c r="G7" s="132"/>
      <c r="H7" s="127" t="e" cm="1">
        <f t="array" ref="H7">SUM(SUMIFS(
INDEX( 'ETPT Format DDG'!$A:$ZZ,,MATCH("13.10. AUTRES FONCTIONNAIRES / JA AFFECTÉS AU PARQUET GÉNÉRAL",'ETPT Format DDG'!2:2,0)),
INDEX( 'ETPT Format DDG'!$A:$ZZ,,MATCH("Fonction recodée",'ETPT Format DDG'!2:2,0)),{"JA/AttJ Parquet";"JA/AttJ Siège autres";"JA/AttJ Social"}))</f>
        <v>#N/A</v>
      </c>
      <c r="I7" s="128" t="e" cm="1">
        <f t="array" ref="I7">SUM(SUMIFS(
INDEX( 'ETPT Format DDG'!$A:$ZZ,,MATCH("13.10. AUTRES FONCTIONNAIRES / JA AFFECTÉS AU PARQUET GÉNÉRAL",'ETPT Format DDG'!2:2,0)),
INDEX( 'ETPT Format DDG'!$A:$ZZ,,MATCH("Fonction recodée",'ETPT Format DDG'!2:2,0)),{"CONT A VIF Parquet";"CONT A VIF Siège";"CONT A JP Parquet";"CONT A JP Siège"}))</f>
        <v>#N/A</v>
      </c>
      <c r="J7" s="127"/>
      <c r="K7" s="127"/>
      <c r="L7" s="127"/>
      <c r="M7" s="127"/>
      <c r="N7" s="130" t="e">
        <f>SUMIF($G$3:M$3,M$3,$G7:M7)</f>
        <v>#N/A</v>
      </c>
    </row>
    <row r="8" spans="1:14" x14ac:dyDescent="0.2">
      <c r="A8" s="135" t="s">
        <v>224</v>
      </c>
      <c r="B8" s="134" t="s">
        <v>53</v>
      </c>
      <c r="C8" s="134" t="s">
        <v>52</v>
      </c>
      <c r="D8" s="127" t="e">
        <f>SUM(SUMIFS(
INDEX( 'ETPT Format DDG'!$A:$ZZ,,MATCH("13.8. ACCUEIL DU JUSTICIABLE",'ETPT Format DDG'!2:2,0)),
INDEX( 'ETPT Format DDG'!$A:$ZZ,,MATCH("Fonction recodée",'ETPT Format DDG'!2:2,0)),"JA/AttJ Social"))</f>
        <v>#N/A</v>
      </c>
      <c r="E8" s="128" t="e" cm="1">
        <f t="array" ref="E8">SUM(SUMIFS(
INDEX( 'ETPT Format DDG'!$A:$ZZ,,MATCH("13.8. ACCUEIL DU JUSTICIABLE",'ETPT Format DDG'!2:2,0)),
INDEX( 'ETPT Format DDG'!$A:$ZZ,,MATCH("Fonction recodée",'ETPT Format DDG'!2:2,0)),{"CONT A VIF Siège";"CONT A JP Siège"}))</f>
        <v>#N/A</v>
      </c>
      <c r="F8" s="127" t="e">
        <f>SUM(SUMIFS(
INDEX( 'ETPT Format DDG'!$A:$ZZ,,MATCH("13.8. ACCUEIL DU JUSTICIABLE",'ETPT Format DDG'!2:2,0)),
INDEX( 'ETPT Format DDG'!$A:$ZZ,,MATCH("Fonction recodée",'ETPT Format DDG'!2:2,0)),"JA/AttJ Siège autres"))</f>
        <v>#N/A</v>
      </c>
      <c r="G8" s="132"/>
      <c r="H8" s="127" t="e">
        <f>SUM(SUMIFS(
INDEX( 'ETPT Format DDG'!$A:$ZZ,,MATCH("13.8. ACCUEIL DU JUSTICIABLE",'ETPT Format DDG'!2:2,0)),
INDEX( 'ETPT Format DDG'!$A:$ZZ,,MATCH("Fonction recodée",'ETPT Format DDG'!2:2,0)),"JA/AttJ Parquet"))</f>
        <v>#N/A</v>
      </c>
      <c r="I8" s="128" t="e" cm="1">
        <f t="array" ref="I8">SUM(SUMIFS(
INDEX( 'ETPT Format DDG'!$A:$ZZ,,MATCH("13.8. ACCUEIL DU JUSTICIABLE",'ETPT Format DDG'!2:2,0)),
INDEX( 'ETPT Format DDG'!$A:$ZZ,,MATCH("Fonction recodée",'ETPT Format DDG'!2:2,0)),{"CONT A VIF Parquet";"CONT A JP Parquet"}))</f>
        <v>#N/A</v>
      </c>
      <c r="J8" s="127"/>
      <c r="K8" s="127"/>
      <c r="L8" s="127"/>
      <c r="M8" s="127"/>
      <c r="N8" s="130" t="e">
        <f>SUMIF($G$3:M$3,M$3,$G8:M8)</f>
        <v>#N/A</v>
      </c>
    </row>
    <row r="9" spans="1:14" x14ac:dyDescent="0.2">
      <c r="A9" s="135" t="s">
        <v>225</v>
      </c>
      <c r="B9" s="134" t="s">
        <v>51</v>
      </c>
      <c r="C9" s="134" t="s">
        <v>50</v>
      </c>
      <c r="D9" s="127" t="e">
        <f>SUM(SUMIFS(
INDEX( 'ETPT Format DDG'!$A:$ZZ,,MATCH("13.11. ACTIVITÉS EXTÉRIEURES ET PARTENARIATS",'ETPT Format DDG'!2:2,0)),
INDEX( 'ETPT Format DDG'!$A:$ZZ,,MATCH("Fonction recodée",'ETPT Format DDG'!2:2,0)),"JA/AttJ Social"))+
SUM(SUMIFS(
INDEX( 'ETPT Format DDG'!$A:$ZZ,,MATCH("13.13. COMMUNICATION",'ETPT Format DDG'!2:2,0)),
INDEX( 'ETPT Format DDG'!$A:$ZZ,,MATCH("Fonction recodée",'ETPT Format DDG'!2:2,0)),"JA/AttJ Social"))+
SUM(SUMIFS(
INDEX( 'ETPT Format DDG'!$A:$ZZ,,MATCH("13.12. ÉQUIPEMENT",'ETPT Format DDG'!2:2,0)),
INDEX( 'ETPT Format DDG'!$A:$ZZ,,MATCH("Fonction recodée",'ETPT Format DDG'!2:2,0)),"JA/AttJ Social"))+
SUM(SUMIFS(
INDEX( 'ETPT Format DDG'!$A:$ZZ,,MATCH("13.5. EXPERTISES (SUIVI ET LISTES)",'ETPT Format DDG'!2:2,0)),
INDEX( 'ETPT Format DDG'!$A:$ZZ,,MATCH("Fonction recodée",'ETPT Format DDG'!2:2,0)),"JA/AttJ Social"))+
SUM(SUMIFS(
INDEX( 'ETPT Format DDG'!$A:$ZZ,,MATCH("13.2. FORMATIONS SUIVIES",'ETPT Format DDG'!2:2,0)),
INDEX( 'ETPT Format DDG'!$A:$ZZ,,MATCH("Fonction recodée",'ETPT Format DDG'!2:2,0)),"JA/AttJ Social"))+
SUM(SUMIFS(
INDEX( 'ETPT Format DDG'!$A:$ZZ,,MATCH("13.6. MÉDIATION / CONCILIATION (SUIVI ET LISTES)",'ETPT Format DDG'!2:2,0)),
INDEX( 'ETPT Format DDG'!$A:$ZZ,,MATCH("Fonction recodée",'ETPT Format DDG'!2:2,0)),"JA/AttJ Social"))+
SUM(SUMIFS(
INDEX( 'ETPT Format DDG'!$A:$ZZ,,MATCH("13.14. POLITIQUE ASSOCIATIVE ET AIDE AUX VICTIMES",'ETPT Format DDG'!2:2,0)),
INDEX( 'ETPT Format DDG'!$A:$ZZ,,MATCH("Fonction recodée",'ETPT Format DDG'!2:2,0)),"JA/AttJ Social"))+
SUM(SUMIFS(
INDEX( 'ETPT Format DDG'!$A:$ZZ,,MATCH("13.1. SOUTIEN (AUTRES)",'ETPT Format DDG'!2:2,0)),
INDEX( 'ETPT Format DDG'!$A:$ZZ,,MATCH("Fonction recodée",'ETPT Format DDG'!2:2,0)),"JA/AttJ Social"))+
SUM(SUMIFS(
INDEX( 'ETPT Format DDG'!$A:$ZZ,,MATCH("13.15. AUTRES ACTIVITÉS NON JURIDICTIONNELLES",'ETPT Format DDG'!2:2,0)),
INDEX( 'ETPT Format DDG'!$A:$ZZ,,MATCH("Fonction recodée",'ETPT Format DDG'!2:2,0)),"JA/AttJ Social"))</f>
        <v>#N/A</v>
      </c>
      <c r="E9" s="128" t="e" cm="1">
        <f t="array" ref="E9">SUM(SUMIFS(
INDEX( 'ETPT Format DDG'!$A:$ZZ,,MATCH("13.11. ACTIVITÉS EXTÉRIEURES ET PARTENARIATS",'ETPT Format DDG'!2:2,0)),
INDEX( 'ETPT Format DDG'!$A:$ZZ,,MATCH("Fonction recodée",'ETPT Format DDG'!2:2,0)),{"CONT A VIF Siège";"CONT A JP Siège"}))+
SUM(SUMIFS(
INDEX( 'ETPT Format DDG'!$A:$ZZ,,MATCH("13.13. COMMUNICATION",'ETPT Format DDG'!2:2,0)),
INDEX( 'ETPT Format DDG'!$A:$ZZ,,MATCH("Fonction recodée",'ETPT Format DDG'!2:2,0)),{"CONT A VIF Siège";"CONT A JP Siège"}))+
SUM(SUMIFS(
INDEX( 'ETPT Format DDG'!$A:$ZZ,,MATCH("13.12. ÉQUIPEMENT",'ETPT Format DDG'!2:2,0)),
INDEX( 'ETPT Format DDG'!$A:$ZZ,,MATCH("Fonction recodée",'ETPT Format DDG'!2:2,0)),{"CONT A VIF Siège";"CONT A JP Siège"}))+
SUM(SUMIFS(
INDEX( 'ETPT Format DDG'!$A:$ZZ,,MATCH("13.5. EXPERTISES (SUIVI ET LISTES)",'ETPT Format DDG'!2:2,0)),
INDEX( 'ETPT Format DDG'!$A:$ZZ,,MATCH("Fonction recodée",'ETPT Format DDG'!2:2,0)),{"CONT A VIF Siège";"CONT A JP Siège"}))+
SUM(SUMIFS(
INDEX( 'ETPT Format DDG'!$A:$ZZ,,MATCH("13.2. FORMATIONS SUIVIES",'ETPT Format DDG'!2:2,0)),
INDEX( 'ETPT Format DDG'!$A:$ZZ,,MATCH("Fonction recodée",'ETPT Format DDG'!2:2,0)),{"CONT A VIF Siège";"CONT A JP Siège"}))+
SUM(SUMIFS(
INDEX( 'ETPT Format DDG'!$A:$ZZ,,MATCH("13.6. MÉDIATION / CONCILIATION (SUIVI ET LISTES)",'ETPT Format DDG'!2:2,0)),
INDEX( 'ETPT Format DDG'!$A:$ZZ,,MATCH("Fonction recodée",'ETPT Format DDG'!2:2,0)),{"CONT A VIF Siège";"CONT A JP Siège"}))+
SUM(SUMIFS(
INDEX( 'ETPT Format DDG'!$A:$ZZ,,MATCH("13.14. POLITIQUE ASSOCIATIVE ET AIDE AUX VICTIMES",'ETPT Format DDG'!2:2,0)),
INDEX( 'ETPT Format DDG'!$A:$ZZ,,MATCH("Fonction recodée",'ETPT Format DDG'!2:2,0)),{"CONT A VIF Siège";"CONT A JP Siège"}))+
SUM(SUMIFS(
INDEX( 'ETPT Format DDG'!$A:$ZZ,,MATCH("13.1. SOUTIEN (AUTRES)",'ETPT Format DDG'!2:2,0)),
INDEX( 'ETPT Format DDG'!$A:$ZZ,,MATCH("Fonction recodée",'ETPT Format DDG'!2:2,0)),{"CONT A VIF Siège";"CONT A JP Siège"}))+
SUM(SUMIFS(
INDEX( 'ETPT Format DDG'!$A:$ZZ,,MATCH("13.15. AUTRES ACTIVITÉS NON JURIDICTIONNELLES",'ETPT Format DDG'!2:2,0)),
INDEX( 'ETPT Format DDG'!$A:$ZZ,,MATCH("Fonction recodée",'ETPT Format DDG'!2:2,0)),{"CONT A VIF Siège";"CONT A JP Siège"}))</f>
        <v>#N/A</v>
      </c>
      <c r="F9" s="127" t="e">
        <f>SUM(SUMIFS(
INDEX( 'ETPT Format DDG'!$A:$ZZ,,MATCH("13.11. ACTIVITÉS EXTÉRIEURES ET PARTENARIATS",'ETPT Format DDG'!2:2,0)),
INDEX( 'ETPT Format DDG'!$A:$ZZ,,MATCH("Fonction recodée",'ETPT Format DDG'!2:2,0)),"JA/AttJ Siège autres"))+
SUM(SUMIFS(
INDEX( 'ETPT Format DDG'!$A:$ZZ,,MATCH("13.13. COMMUNICATION",'ETPT Format DDG'!2:2,0)),
INDEX( 'ETPT Format DDG'!$A:$ZZ,,MATCH("Fonction recodée",'ETPT Format DDG'!2:2,0)),"JA/AttJ Siège autres"))+
SUM(SUMIFS(
INDEX( 'ETPT Format DDG'!$A:$ZZ,,MATCH("13.12. ÉQUIPEMENT",'ETPT Format DDG'!2:2,0)),
INDEX( 'ETPT Format DDG'!$A:$ZZ,,MATCH("Fonction recodée",'ETPT Format DDG'!2:2,0)),"JA/AttJ Siège autres"))+
SUM(SUMIFS(
INDEX( 'ETPT Format DDG'!$A:$ZZ,,MATCH("13.5. EXPERTISES (SUIVI ET LISTES)",'ETPT Format DDG'!2:2,0)),
INDEX( 'ETPT Format DDG'!$A:$ZZ,,MATCH("Fonction recodée",'ETPT Format DDG'!2:2,0)),"JA/AttJ Siège autres"))+
SUM(SUMIFS(
INDEX( 'ETPT Format DDG'!$A:$ZZ,,MATCH("13.2. FORMATIONS SUIVIES",'ETPT Format DDG'!2:2,0)),
INDEX( 'ETPT Format DDG'!$A:$ZZ,,MATCH("Fonction recodée",'ETPT Format DDG'!2:2,0)),"JA/AttJ Siège autres"))+
SUM(SUMIFS(
INDEX( 'ETPT Format DDG'!$A:$ZZ,,MATCH("13.6. MÉDIATION / CONCILIATION (SUIVI ET LISTES)",'ETPT Format DDG'!2:2,0)),
INDEX( 'ETPT Format DDG'!$A:$ZZ,,MATCH("Fonction recodée",'ETPT Format DDG'!2:2,0)),"JA/AttJ Siège autres"))+
SUM(SUMIFS(
INDEX( 'ETPT Format DDG'!$A:$ZZ,,MATCH("13.14. POLITIQUE ASSOCIATIVE ET AIDE AUX VICTIMES",'ETPT Format DDG'!2:2,0)),
INDEX( 'ETPT Format DDG'!$A:$ZZ,,MATCH("Fonction recodée",'ETPT Format DDG'!2:2,0)),"JA/AttJ Siège autres"))+
SUM(SUMIFS(
INDEX( 'ETPT Format DDG'!$A:$ZZ,,MATCH("13.1. SOUTIEN (AUTRES)",'ETPT Format DDG'!2:2,0)),
INDEX( 'ETPT Format DDG'!$A:$ZZ,,MATCH("Fonction recodée",'ETPT Format DDG'!2:2,0)),"JA/AttJ Siège autres"))+
SUM(SUMIFS(
INDEX( 'ETPT Format DDG'!$A:$ZZ,,MATCH("13.15. AUTRES ACTIVITÉS NON JURIDICTIONNELLES",'ETPT Format DDG'!2:2,0)),
INDEX( 'ETPT Format DDG'!$A:$ZZ,,MATCH("Fonction recodée",'ETPT Format DDG'!2:2,0)),"JA/AttJ Siège autres"))</f>
        <v>#N/A</v>
      </c>
      <c r="G9" s="132"/>
      <c r="H9" s="127" t="e">
        <f>SUM(SUMIFS(
INDEX( 'ETPT Format DDG'!$A:$ZZ,,MATCH("13.11. ACTIVITÉS EXTÉRIEURES ET PARTENARIATS",'ETPT Format DDG'!2:2,0)),
INDEX( 'ETPT Format DDG'!$A:$ZZ,,MATCH("Fonction recodée",'ETPT Format DDG'!2:2,0)),"JA/AttJ Parquet"))+
SUM(SUMIFS(
INDEX( 'ETPT Format DDG'!$A:$ZZ,,MATCH("13.13. COMMUNICATION",'ETPT Format DDG'!2:2,0)),
INDEX( 'ETPT Format DDG'!$A:$ZZ,,MATCH("Fonction recodée",'ETPT Format DDG'!2:2,0)),"JA/AttJ Parquet"))+
SUM(SUMIFS(
INDEX( 'ETPT Format DDG'!$A:$ZZ,,MATCH("13.12. ÉQUIPEMENT",'ETPT Format DDG'!2:2,0)),
INDEX( 'ETPT Format DDG'!$A:$ZZ,,MATCH("Fonction recodée",'ETPT Format DDG'!2:2,0)),"JA/AttJ Parquet"))+
SUM(SUMIFS(
INDEX( 'ETPT Format DDG'!$A:$ZZ,,MATCH("13.5. EXPERTISES (SUIVI ET LISTES)",'ETPT Format DDG'!2:2,0)),
INDEX( 'ETPT Format DDG'!$A:$ZZ,,MATCH("Fonction recodée",'ETPT Format DDG'!2:2,0)),"JA/AttJ Parquet"))+
SUM(SUMIFS(
INDEX( 'ETPT Format DDG'!$A:$ZZ,,MATCH("13.2. FORMATIONS SUIVIES",'ETPT Format DDG'!2:2,0)),
INDEX( 'ETPT Format DDG'!$A:$ZZ,,MATCH("Fonction recodée",'ETPT Format DDG'!2:2,0)),"JA/AttJ Parquet"))+
SUM(SUMIFS(
INDEX( 'ETPT Format DDG'!$A:$ZZ,,MATCH("13.6. MÉDIATION / CONCILIATION (SUIVI ET LISTES)",'ETPT Format DDG'!2:2,0)),
INDEX( 'ETPT Format DDG'!$A:$ZZ,,MATCH("Fonction recodée",'ETPT Format DDG'!2:2,0)),"JA/AttJ Parquet"))+
SUM(SUMIFS(
INDEX( 'ETPT Format DDG'!$A:$ZZ,,MATCH("13.14. POLITIQUE ASSOCIATIVE ET AIDE AUX VICTIMES",'ETPT Format DDG'!2:2,0)),
INDEX( 'ETPT Format DDG'!$A:$ZZ,,MATCH("Fonction recodée",'ETPT Format DDG'!2:2,0)),"JA/AttJ Parquet"))+
SUM(SUMIFS(
INDEX( 'ETPT Format DDG'!$A:$ZZ,,MATCH("13.1. SOUTIEN (AUTRES)",'ETPT Format DDG'!2:2,0)),
INDEX( 'ETPT Format DDG'!$A:$ZZ,,MATCH("Fonction recodée",'ETPT Format DDG'!2:2,0)),"JA/AttJ Parquet"))+
SUM(SUMIFS(
INDEX( 'ETPT Format DDG'!$A:$ZZ,,MATCH("13.15. AUTRES ACTIVITÉS NON JURIDICTIONNELLES",'ETPT Format DDG'!2:2,0)),
INDEX( 'ETPT Format DDG'!$A:$ZZ,,MATCH("Fonction recodée",'ETPT Format DDG'!2:2,0)),"JA/AttJ Parquet"))</f>
        <v>#N/A</v>
      </c>
      <c r="I9" s="128" t="e" cm="1">
        <f t="array" ref="I9">SUM(SUMIFS(
INDEX( 'ETPT Format DDG'!$A:$ZZ,,MATCH("13.11. ACTIVITÉS EXTÉRIEURES ET PARTENARIATS",'ETPT Format DDG'!2:2,0)),
INDEX( 'ETPT Format DDG'!$A:$ZZ,,MATCH("Fonction recodée",'ETPT Format DDG'!2:2,0)),{"CONT A VIF Parquet";"CONT A JP Parquet"}))+
SUM(SUMIFS(
INDEX( 'ETPT Format DDG'!$A:$ZZ,,MATCH("13.13. COMMUNICATION",'ETPT Format DDG'!2:2,0)),
INDEX( 'ETPT Format DDG'!$A:$ZZ,,MATCH("Fonction recodée",'ETPT Format DDG'!2:2,0)),{"CONT A VIF Parquet";"CONT A JP Parquet"}))+
SUM(SUMIFS(
INDEX( 'ETPT Format DDG'!$A:$ZZ,,MATCH("13.12. ÉQUIPEMENT",'ETPT Format DDG'!2:2,0)),
INDEX( 'ETPT Format DDG'!$A:$ZZ,,MATCH("Fonction recodée",'ETPT Format DDG'!2:2,0)),{"CONT A VIF Parquet";"CONT A JP Parquet"}))+
SUM(SUMIFS(
INDEX( 'ETPT Format DDG'!$A:$ZZ,,MATCH("13.5. EXPERTISES (SUIVI ET LISTES)",'ETPT Format DDG'!2:2,0)),
INDEX( 'ETPT Format DDG'!$A:$ZZ,,MATCH("Fonction recodée",'ETPT Format DDG'!2:2,0)),{"CONT A VIF Parquet";"CONT A JP Parquet"}))+
SUM(SUMIFS(
INDEX( 'ETPT Format DDG'!$A:$ZZ,,MATCH("13.2. FORMATIONS SUIVIES",'ETPT Format DDG'!2:2,0)),
INDEX( 'ETPT Format DDG'!$A:$ZZ,,MATCH("Fonction recodée",'ETPT Format DDG'!2:2,0)),{"CONT A VIF Parquet";"CONT A JP Parquet"}))+
SUM(SUMIFS(
INDEX( 'ETPT Format DDG'!$A:$ZZ,,MATCH("13.6. MÉDIATION / CONCILIATION (SUIVI ET LISTES)",'ETPT Format DDG'!2:2,0)),
INDEX( 'ETPT Format DDG'!$A:$ZZ,,MATCH("Fonction recodée",'ETPT Format DDG'!2:2,0)),{"CONT A VIF Parquet";"CONT A JP Parquet"}))+
SUM(SUMIFS(
INDEX( 'ETPT Format DDG'!$A:$ZZ,,MATCH("13.14. POLITIQUE ASSOCIATIVE ET AIDE AUX VICTIMES",'ETPT Format DDG'!2:2,0)),
INDEX( 'ETPT Format DDG'!$A:$ZZ,,MATCH("Fonction recodée",'ETPT Format DDG'!2:2,0)),{"CONT A VIF Parquet";"CONT A JP Parquet"}))+
SUM(SUMIFS(
INDEX( 'ETPT Format DDG'!$A:$ZZ,,MATCH("13.1. SOUTIEN (AUTRES)",'ETPT Format DDG'!2:2,0)),
INDEX( 'ETPT Format DDG'!$A:$ZZ,,MATCH("Fonction recodée",'ETPT Format DDG'!2:2,0)),{"CONT A VIF Parquet";"CONT A JP Parquet"}))+
SUM(SUMIFS(
INDEX( 'ETPT Format DDG'!$A:$ZZ,,MATCH("13.15. AUTRES ACTIVITÉS NON JURIDICTIONNELLES",'ETPT Format DDG'!2:2,0)),
INDEX( 'ETPT Format DDG'!$A:$ZZ,,MATCH("Fonction recodée",'ETPT Format DDG'!2:2,0)),{"CONT A VIF Parquet";"CONT A JP Parquet"}))</f>
        <v>#N/A</v>
      </c>
      <c r="J9" s="127"/>
      <c r="K9" s="127"/>
      <c r="L9" s="127"/>
      <c r="M9" s="127"/>
      <c r="N9" s="130" t="e">
        <f>SUMIF($G$3:M$3,M$3,$G9:M9)</f>
        <v>#N/A</v>
      </c>
    </row>
    <row r="10" spans="1:14" x14ac:dyDescent="0.2">
      <c r="A10" s="135" t="s">
        <v>226</v>
      </c>
      <c r="B10" s="134" t="s">
        <v>49</v>
      </c>
      <c r="C10" s="134" t="s">
        <v>48</v>
      </c>
      <c r="D10" s="127" t="e">
        <f>SUM(SUMIFS(
INDEX( 'ETPT Format DDG'!$A:$ZZ,,MATCH("13.3. FORMATIONS DISPENSÉES",'ETPT Format DDG'!2:2,0)),
INDEX( 'ETPT Format DDG'!$A:$ZZ,,MATCH("Fonction recodée",'ETPT Format DDG'!2:2,0)),"JA/AttJ Social"))</f>
        <v>#N/A</v>
      </c>
      <c r="E10" s="128" t="e" cm="1">
        <f t="array" ref="E10">SUM(SUMIFS(
INDEX( 'ETPT Format DDG'!$A:$ZZ,,MATCH("13.3. FORMATIONS DISPENSÉES",'ETPT Format DDG'!2:2,0)),
INDEX( 'ETPT Format DDG'!$A:$ZZ,,MATCH("Fonction recodée",'ETPT Format DDG'!2:2,0)),{"CONT A VIF Siège";"CONT A JP Siège"}))</f>
        <v>#N/A</v>
      </c>
      <c r="F10" s="127" t="e">
        <f>SUM(SUMIFS(
INDEX( 'ETPT Format DDG'!$A:$ZZ,,MATCH("13.3. FORMATIONS DISPENSÉES",'ETPT Format DDG'!2:2,0)),
INDEX( 'ETPT Format DDG'!$A:$ZZ,,MATCH("Fonction recodée",'ETPT Format DDG'!2:2,0)),"JA/AttJ Siège autres"))</f>
        <v>#N/A</v>
      </c>
      <c r="G10" s="132"/>
      <c r="H10" s="127" t="e">
        <f>SUM(SUMIFS(
INDEX( 'ETPT Format DDG'!$A:$ZZ,,MATCH("13.3. FORMATIONS DISPENSÉES",'ETPT Format DDG'!2:2,0)),
INDEX( 'ETPT Format DDG'!$A:$ZZ,,MATCH("Fonction recodée",'ETPT Format DDG'!2:2,0)),"JA/AttJ Parquet"))</f>
        <v>#N/A</v>
      </c>
      <c r="I10" s="128" t="e" cm="1">
        <f t="array" ref="I10">SUM(SUMIFS(
INDEX( 'ETPT Format DDG'!$A:$ZZ,,MATCH("13.3. FORMATIONS DISPENSÉES",'ETPT Format DDG'!2:2,0)),
INDEX( 'ETPT Format DDG'!$A:$ZZ,,MATCH("Fonction recodée",'ETPT Format DDG'!2:2,0)),{"CONT A VIF Parquet";"CONT A JP Parquet"}))</f>
        <v>#N/A</v>
      </c>
      <c r="J10" s="127"/>
      <c r="K10" s="127"/>
      <c r="L10" s="127"/>
      <c r="M10" s="127"/>
      <c r="N10" s="130" t="e">
        <f>SUMIF($G$3:M$3,M$3,$G10:M10)</f>
        <v>#N/A</v>
      </c>
    </row>
    <row r="11" spans="1:14" x14ac:dyDescent="0.2">
      <c r="A11" s="135" t="s">
        <v>227</v>
      </c>
      <c r="B11" s="134" t="s">
        <v>47</v>
      </c>
      <c r="C11" s="134" t="s">
        <v>46</v>
      </c>
      <c r="D11" s="127" t="e">
        <f>SUM(SUMIFS(
INDEX( 'ETPT Format DDG'!$A:$ZZ,,MATCH("13.7. ACCÈS AU DROIT ET À LA JUSTICE",'ETPT Format DDG'!2:2,0)),
INDEX( 'ETPT Format DDG'!$A:$ZZ,,MATCH("Fonction recodée",'ETPT Format DDG'!2:2,0)),"JA/AttJ Social"))</f>
        <v>#N/A</v>
      </c>
      <c r="E11" s="128" t="e" cm="1">
        <f t="array" ref="E11">SUM(SUMIFS(
INDEX( 'ETPT Format DDG'!$A:$ZZ,,MATCH("13.7. ACCÈS AU DROIT ET À LA JUSTICE",'ETPT Format DDG'!2:2,0)),
INDEX( 'ETPT Format DDG'!$A:$ZZ,,MATCH("Fonction recodée",'ETPT Format DDG'!2:2,0)),{"CONT A VIF Siège";"CONT A JP Siège"}))</f>
        <v>#N/A</v>
      </c>
      <c r="F11" s="127" t="e">
        <f>SUM(SUMIFS(
INDEX( 'ETPT Format DDG'!$A:$ZZ,,MATCH("13.7. ACCÈS AU DROIT ET À LA JUSTICE",'ETPT Format DDG'!2:2,0)),
INDEX( 'ETPT Format DDG'!$A:$ZZ,,MATCH("Fonction recodée",'ETPT Format DDG'!2:2,0)),"JA/AttJ Siège autres"))</f>
        <v>#N/A</v>
      </c>
      <c r="G11" s="132"/>
      <c r="H11" s="127" t="e">
        <f>SUM(SUMIFS(
INDEX( 'ETPT Format DDG'!$A:$ZZ,,MATCH("13.7. ACCÈS AU DROIT ET À LA JUSTICE",'ETPT Format DDG'!2:2,0)),
INDEX( 'ETPT Format DDG'!$A:$ZZ,,MATCH("Fonction recodée",'ETPT Format DDG'!2:2,0)),"JA/AttJ Parquet"))</f>
        <v>#N/A</v>
      </c>
      <c r="I11" s="128" t="e" cm="1">
        <f t="array" ref="I11">SUM(SUMIFS(
INDEX( 'ETPT Format DDG'!$A:$ZZ,,MATCH("13.7. ACCÈS AU DROIT ET À LA JUSTICE",'ETPT Format DDG'!2:2,0)),
INDEX( 'ETPT Format DDG'!$A:$ZZ,,MATCH("Fonction recodée",'ETPT Format DDG'!2:2,0)),{"CONT A VIF Parquet";"CONT A JP Parquet"}))</f>
        <v>#N/A</v>
      </c>
      <c r="J11" s="127"/>
      <c r="K11" s="127"/>
      <c r="L11" s="127"/>
      <c r="M11" s="127"/>
      <c r="N11" s="130" t="e">
        <f>SUMIF($G$3:M$3,M$3,$G11:M11)</f>
        <v>#N/A</v>
      </c>
    </row>
    <row r="12" spans="1:14" x14ac:dyDescent="0.2">
      <c r="A12" s="135" t="s">
        <v>228</v>
      </c>
      <c r="B12" s="134" t="s">
        <v>45</v>
      </c>
      <c r="C12" s="134" t="s">
        <v>44</v>
      </c>
      <c r="D12" s="127" t="e">
        <f>SUM(SUMIFS(
INDEX( 'ETPT Format DDG'!$A:$ZZ,,MATCH("14. TOTAL des INDISPONIBILITÉS relevant de l'action 99",'ETPT Format DDG'!2:2,0)),
INDEX( 'ETPT Format DDG'!$A:$ZZ,,MATCH("Fonction recodée",'ETPT Format DDG'!2:2,0)),"JA/AttJ Social"))-
SUM(SUMIFS(
INDEX( 'ETPT Format DDG'!$A:$ZZ,,MATCH("14.9. MISE À DISPOSITION",'ETPT Format DDG'!2:2,0)),
INDEX( 'ETPT Format DDG'!$A:$ZZ,,MATCH("Fonction recodée",'ETPT Format DDG'!2:2,0)),"JA/AttJ Social"))</f>
        <v>#N/A</v>
      </c>
      <c r="E12" s="128" t="e" cm="1">
        <f t="array" ref="E12">SUM(SUMIFS(
INDEX( 'ETPT Format DDG'!$A:$ZZ,,MATCH("14. TOTAL des INDISPONIBILITÉS relevant de l'action 99",'ETPT Format DDG'!2:2,0)),
INDEX( 'ETPT Format DDG'!$A:$ZZ,,MATCH("Fonction recodée",'ETPT Format DDG'!2:2,0)),{"CONT A VIF Siège";"CONT A JP Siège"}))-
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F12" s="127" t="e">
        <f>SUM(SUMIFS(
INDEX( 'ETPT Format DDG'!$A:$ZZ,,MATCH("14. TOTAL des INDISPONIBILITÉS relevant de l'action 99",'ETPT Format DDG'!2:2,0)),
INDEX( 'ETPT Format DDG'!$A:$ZZ,,MATCH("Fonction recodée",'ETPT Format DDG'!2:2,0)),"JA/AttJ Siège autres"))-
SUM(SUMIFS(
INDEX( 'ETPT Format DDG'!$A:$ZZ,,MATCH("14.9. MISE À DISPOSITION",'ETPT Format DDG'!2:2,0)),
INDEX( 'ETPT Format DDG'!$A:$ZZ,,MATCH("Fonction recodée",'ETPT Format DDG'!2:2,0)),"JA/AttJ Siège autres"))</f>
        <v>#N/A</v>
      </c>
      <c r="G12" s="132"/>
      <c r="H12" s="127" t="e">
        <f>SUM(SUMIFS(
INDEX( 'ETPT Format DDG'!$A:$ZZ,,MATCH("14. TOTAL des INDISPONIBILITÉS relevant de l'action 99",'ETPT Format DDG'!2:2,0)),
INDEX( 'ETPT Format DDG'!$A:$ZZ,,MATCH("Fonction recodée",'ETPT Format DDG'!2:2,0)),"JA/AttJ Parquet"))-
SUM(SUMIFS(
INDEX( 'ETPT Format DDG'!$A:$ZZ,,MATCH("14.9. MISE À DISPOSITION",'ETPT Format DDG'!2:2,0)),
INDEX( 'ETPT Format DDG'!$A:$ZZ,,MATCH("Fonction recodée",'ETPT Format DDG'!2:2,0)),"JA/AttJ Parquet"))</f>
        <v>#N/A</v>
      </c>
      <c r="I12" s="128" t="e" cm="1">
        <f t="array" ref="I12">SUM(SUMIFS(
INDEX( 'ETPT Format DDG'!$A:$ZZ,,MATCH("14. TOTAL des INDISPONIBILITÉS relevant de l'action 99",'ETPT Format DDG'!2:2,0)),
INDEX( 'ETPT Format DDG'!$A:$ZZ,,MATCH("Fonction recodée",'ETPT Format DDG'!2:2,0)),{"CONT A VIF Parquet";"CONT A JP Parquet"}))-
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J12" s="127"/>
      <c r="K12" s="127"/>
      <c r="L12" s="127"/>
      <c r="M12" s="127"/>
      <c r="N12" s="130" t="e">
        <f>SUMIF($G$3:M$3,M$3,$G12:M12)</f>
        <v>#N/A</v>
      </c>
    </row>
    <row r="13" spans="1:14" ht="17" customHeight="1" x14ac:dyDescent="0.2">
      <c r="A13" s="135" t="s">
        <v>229</v>
      </c>
      <c r="B13" s="134" t="s">
        <v>43</v>
      </c>
      <c r="C13" s="134" t="s">
        <v>42</v>
      </c>
      <c r="D13" s="127" t="e">
        <f>SUM(SUMIFS(
INDEX( 'ETPT Format DDG'!$A:$ZZ,,MATCH("14.9. MISE À DISPOSITION",'ETPT Format DDG'!2:2,0)),
INDEX( 'ETPT Format DDG'!$A:$ZZ,,MATCH("Fonction recodée",'ETPT Format DDG'!2:2,0)),"JA/AttJ Social"))</f>
        <v>#N/A</v>
      </c>
      <c r="E13" s="128" t="e" cm="1">
        <f t="array" ref="E13">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F13" s="127" t="e">
        <f>SUM(SUMIFS(
INDEX( 'ETPT Format DDG'!$A:$ZZ,,MATCH("14.9. MISE À DISPOSITION",'ETPT Format DDG'!2:2,0)),
INDEX( 'ETPT Format DDG'!$A:$ZZ,,MATCH("Fonction recodée",'ETPT Format DDG'!2:2,0)),"JA/AttJ Siège autres"))</f>
        <v>#N/A</v>
      </c>
      <c r="G13" s="132"/>
      <c r="H13" s="127" t="e">
        <f>SUM(SUMIFS(
INDEX( 'ETPT Format DDG'!$A:$ZZ,,MATCH("14.9. MISE À DISPOSITION",'ETPT Format DDG'!2:2,0)),
INDEX( 'ETPT Format DDG'!$A:$ZZ,,MATCH("Fonction recodée",'ETPT Format DDG'!2:2,0)),"JA/AttJ Parquet"))</f>
        <v>#N/A</v>
      </c>
      <c r="I13" s="128" t="e" cm="1">
        <f t="array" ref="I13">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J13" s="127"/>
      <c r="K13" s="127"/>
      <c r="L13" s="127"/>
      <c r="M13" s="127"/>
      <c r="N13" s="130" t="e">
        <f>SUMIF($G$3:M$3,M$3,$G13:M13)</f>
        <v>#N/A</v>
      </c>
    </row>
    <row r="14" spans="1:14" x14ac:dyDescent="0.2">
      <c r="C14" s="133" t="s">
        <v>37</v>
      </c>
      <c r="D14" s="130" t="e">
        <f>SUMIF($C$6:$C13,$C13,D$6:D13)</f>
        <v>#N/A</v>
      </c>
      <c r="E14" s="130" t="e">
        <f>SUMIF($C$6:$C13,$C13,E$6:E13)</f>
        <v>#N/A</v>
      </c>
      <c r="F14" s="130" t="e">
        <f>SUMIF($C$6:$C13,$C13,F$6:F13)</f>
        <v>#N/A</v>
      </c>
      <c r="G14" s="130">
        <f>SUMIF($C$6:$C13,$C13,G$6:G13)</f>
        <v>0</v>
      </c>
      <c r="H14" s="130" t="e">
        <f>SUMIF($C$6:$C13,$C13,H$6:H13)</f>
        <v>#N/A</v>
      </c>
      <c r="I14" s="130" t="e">
        <f>SUMIF($C$6:$C13,$C13,I$6:I13)</f>
        <v>#N/A</v>
      </c>
      <c r="J14" s="130">
        <f>SUMIF($C$6:$C13,$C13,J$6:J13)</f>
        <v>0</v>
      </c>
      <c r="K14" s="130">
        <f>SUMIF($C$6:$C13,$C13,K$6:K13)</f>
        <v>0</v>
      </c>
      <c r="L14" s="130">
        <f>SUMIF($C$6:$C13,$C13,L$6:L13)</f>
        <v>0</v>
      </c>
      <c r="M14" s="130">
        <f>SUMIF($C$6:$C13,$C13,M$6:M13)</f>
        <v>0</v>
      </c>
      <c r="N14" s="130" t="e">
        <f>SUMIF($C$6:$C13,$C13,N$6:N13)</f>
        <v>#N/A</v>
      </c>
    </row>
  </sheetData>
  <mergeCells count="1">
    <mergeCell ref="N3:N5"/>
  </mergeCells>
  <phoneticPr fontId="50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FE4-5D9A-904C-8E7D-D70A5B5F8254}">
  <sheetPr>
    <tabColor rgb="FF002060"/>
  </sheetPr>
  <dimension ref="A1:N14"/>
  <sheetViews>
    <sheetView zoomScaleNormal="100" workbookViewId="0">
      <selection activeCell="C14" sqref="C14"/>
    </sheetView>
  </sheetViews>
  <sheetFormatPr baseColWidth="10" defaultRowHeight="15" x14ac:dyDescent="0.2"/>
  <cols>
    <col min="1" max="1" width="14.1640625" customWidth="1"/>
    <col min="3" max="3" width="59.83203125" customWidth="1"/>
    <col min="4" max="13" width="20.1640625" customWidth="1"/>
  </cols>
  <sheetData>
    <row r="1" spans="1:14" ht="87" customHeight="1" x14ac:dyDescent="0.25">
      <c r="A1" s="3" t="s">
        <v>304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2">
      <c r="A3" s="163"/>
      <c r="B3" s="163"/>
      <c r="C3" s="163"/>
      <c r="D3" s="120" t="s">
        <v>36</v>
      </c>
      <c r="E3" s="120" t="s">
        <v>36</v>
      </c>
      <c r="F3" s="120" t="s">
        <v>36</v>
      </c>
      <c r="G3" s="120" t="s">
        <v>36</v>
      </c>
      <c r="H3" s="120" t="s">
        <v>36</v>
      </c>
      <c r="I3" s="120" t="s">
        <v>36</v>
      </c>
      <c r="J3" s="120" t="s">
        <v>36</v>
      </c>
      <c r="K3" s="120" t="s">
        <v>36</v>
      </c>
      <c r="L3" s="120" t="s">
        <v>36</v>
      </c>
      <c r="M3" s="120" t="s">
        <v>36</v>
      </c>
      <c r="N3" s="195" t="s">
        <v>165</v>
      </c>
    </row>
    <row r="4" spans="1:14" ht="24" customHeight="1" x14ac:dyDescent="0.2">
      <c r="A4" s="163"/>
      <c r="B4" s="163"/>
      <c r="C4" s="163"/>
      <c r="D4" s="120" t="s">
        <v>131</v>
      </c>
      <c r="E4" s="120" t="s">
        <v>166</v>
      </c>
      <c r="F4" s="120" t="s">
        <v>83</v>
      </c>
      <c r="G4" s="120" t="s">
        <v>167</v>
      </c>
      <c r="H4" s="120" t="s">
        <v>84</v>
      </c>
      <c r="I4" s="120" t="s">
        <v>168</v>
      </c>
      <c r="J4" s="120" t="s">
        <v>169</v>
      </c>
      <c r="K4" s="120" t="s">
        <v>170</v>
      </c>
      <c r="L4" s="120" t="s">
        <v>171</v>
      </c>
      <c r="M4" s="120" t="s">
        <v>172</v>
      </c>
      <c r="N4" s="196"/>
    </row>
    <row r="5" spans="1:14" ht="24" x14ac:dyDescent="0.2">
      <c r="A5" s="164" t="s">
        <v>32</v>
      </c>
      <c r="B5" s="164" t="s">
        <v>173</v>
      </c>
      <c r="C5" s="164" t="s">
        <v>72</v>
      </c>
      <c r="D5" s="120" t="s">
        <v>292</v>
      </c>
      <c r="E5" s="120" t="s">
        <v>293</v>
      </c>
      <c r="F5" s="120" t="s">
        <v>294</v>
      </c>
      <c r="G5" s="120" t="s">
        <v>295</v>
      </c>
      <c r="H5" s="120" t="s">
        <v>296</v>
      </c>
      <c r="I5" s="120" t="s">
        <v>297</v>
      </c>
      <c r="J5" s="120" t="s">
        <v>298</v>
      </c>
      <c r="K5" s="120" t="s">
        <v>299</v>
      </c>
      <c r="L5" s="120" t="s">
        <v>300</v>
      </c>
      <c r="M5" s="120" t="s">
        <v>301</v>
      </c>
      <c r="N5" s="197"/>
    </row>
    <row r="6" spans="1:14" x14ac:dyDescent="0.2">
      <c r="A6" s="160" t="s">
        <v>156</v>
      </c>
      <c r="B6" s="134" t="s">
        <v>59</v>
      </c>
      <c r="C6" s="134" t="s">
        <v>58</v>
      </c>
      <c r="D6" s="153" t="str">
        <f>IF(ISERROR(ETPT_ATTACHES_JUSTICE!D6),"",IF(ETPT_ATTACHES_JUSTICE!D6=0,"",ETPT_ATTACHES_JUSTICE!D6))</f>
        <v/>
      </c>
      <c r="E6" s="153" t="str">
        <f>IF(ISERROR(ETPT_ATTACHES_JUSTICE!E6),"",IF(ETPT_ATTACHES_JUSTICE!E6=0,"",ETPT_ATTACHES_JUSTICE!E6))</f>
        <v/>
      </c>
      <c r="F6" s="153" t="str">
        <f>IF(ISERROR(ETPT_ATTACHES_JUSTICE!F6),"",IF(ETPT_ATTACHES_JUSTICE!F6=0,"",ETPT_ATTACHES_JUSTICE!F6))</f>
        <v/>
      </c>
      <c r="G6" s="153" t="str">
        <f>IF(ISERROR(ETPT_ATTACHES_JUSTICE!G6),"",IF(ETPT_ATTACHES_JUSTICE!G6=0,"",ETPT_ATTACHES_JUSTICE!G6))</f>
        <v/>
      </c>
      <c r="H6" s="153" t="str">
        <f>IF(ISERROR(ETPT_ATTACHES_JUSTICE!H6),"",IF(ETPT_ATTACHES_JUSTICE!H6=0,"",ETPT_ATTACHES_JUSTICE!H6))</f>
        <v/>
      </c>
      <c r="I6" s="153" t="str">
        <f>IF(ISERROR(ETPT_ATTACHES_JUSTICE!I6),"",IF(ETPT_ATTACHES_JUSTICE!I6=0,"",ETPT_ATTACHES_JUSTICE!I6))</f>
        <v/>
      </c>
      <c r="J6" s="153" t="str">
        <f>IF(ISERROR(ETPT_ATTACHES_JUSTICE!J6),"",IF(ETPT_ATTACHES_JUSTICE!J6=0,"",ETPT_ATTACHES_JUSTICE!J6))</f>
        <v/>
      </c>
      <c r="K6" s="153" t="str">
        <f>IF(ISERROR(ETPT_ATTACHES_JUSTICE!K6),"",IF(ETPT_ATTACHES_JUSTICE!K6=0,"",ETPT_ATTACHES_JUSTICE!K6))</f>
        <v/>
      </c>
      <c r="L6" s="153" t="str">
        <f>IF(ISERROR(ETPT_ATTACHES_JUSTICE!L6),"",IF(ETPT_ATTACHES_JUSTICE!L6=0,"",ETPT_ATTACHES_JUSTICE!L6))</f>
        <v/>
      </c>
      <c r="M6" s="153" t="str">
        <f>IF(ISERROR(ETPT_ATTACHES_JUSTICE!M6),"",IF(ETPT_ATTACHES_JUSTICE!M6=0,"",ETPT_ATTACHES_JUSTICE!M6))</f>
        <v/>
      </c>
      <c r="N6" s="156">
        <f>SUMIF($G$3:M$3,M$3,$G6:M6)</f>
        <v>0</v>
      </c>
    </row>
    <row r="7" spans="1:14" x14ac:dyDescent="0.2">
      <c r="A7" s="160" t="s">
        <v>223</v>
      </c>
      <c r="B7" s="134" t="s">
        <v>57</v>
      </c>
      <c r="C7" s="134" t="s">
        <v>56</v>
      </c>
      <c r="D7" s="153" t="str">
        <f>IF(ISERROR(ETPT_ATTACHES_JUSTICE!D7),"",IF(ETPT_ATTACHES_JUSTICE!D7=0,"",ETPT_ATTACHES_JUSTICE!D7))</f>
        <v/>
      </c>
      <c r="E7" s="153" t="str">
        <f>IF(ISERROR(ETPT_ATTACHES_JUSTICE!E7),"",IF(ETPT_ATTACHES_JUSTICE!E7=0,"",ETPT_ATTACHES_JUSTICE!E7))</f>
        <v/>
      </c>
      <c r="F7" s="153" t="str">
        <f>IF(ISERROR(ETPT_ATTACHES_JUSTICE!F7),"",IF(ETPT_ATTACHES_JUSTICE!F7=0,"",ETPT_ATTACHES_JUSTICE!F7))</f>
        <v/>
      </c>
      <c r="G7" s="153" t="str">
        <f>IF(ISERROR(ETPT_ATTACHES_JUSTICE!G7),"",IF(ETPT_ATTACHES_JUSTICE!G7=0,"",ETPT_ATTACHES_JUSTICE!G7))</f>
        <v/>
      </c>
      <c r="H7" s="153" t="str">
        <f>IF(ISERROR(ETPT_ATTACHES_JUSTICE!H7),"",IF(ETPT_ATTACHES_JUSTICE!H7=0,"",ETPT_ATTACHES_JUSTICE!H7))</f>
        <v/>
      </c>
      <c r="I7" s="153" t="str">
        <f>IF(ISERROR(ETPT_ATTACHES_JUSTICE!I7),"",IF(ETPT_ATTACHES_JUSTICE!I7=0,"",ETPT_ATTACHES_JUSTICE!I7))</f>
        <v/>
      </c>
      <c r="J7" s="153" t="str">
        <f>IF(ISERROR(ETPT_ATTACHES_JUSTICE!J7),"",IF(ETPT_ATTACHES_JUSTICE!J7=0,"",ETPT_ATTACHES_JUSTICE!J7))</f>
        <v/>
      </c>
      <c r="K7" s="153" t="str">
        <f>IF(ISERROR(ETPT_ATTACHES_JUSTICE!K7),"",IF(ETPT_ATTACHES_JUSTICE!K7=0,"",ETPT_ATTACHES_JUSTICE!K7))</f>
        <v/>
      </c>
      <c r="L7" s="153" t="str">
        <f>IF(ISERROR(ETPT_ATTACHES_JUSTICE!L7),"",IF(ETPT_ATTACHES_JUSTICE!L7=0,"",ETPT_ATTACHES_JUSTICE!L7))</f>
        <v/>
      </c>
      <c r="M7" s="153" t="str">
        <f>IF(ISERROR(ETPT_ATTACHES_JUSTICE!M7),"",IF(ETPT_ATTACHES_JUSTICE!M7=0,"",ETPT_ATTACHES_JUSTICE!M7))</f>
        <v/>
      </c>
      <c r="N7" s="156">
        <f>SUMIF($G$3:M$3,M$3,$G7:M7)</f>
        <v>0</v>
      </c>
    </row>
    <row r="8" spans="1:14" x14ac:dyDescent="0.2">
      <c r="A8" s="160" t="s">
        <v>224</v>
      </c>
      <c r="B8" s="134" t="s">
        <v>53</v>
      </c>
      <c r="C8" s="134" t="s">
        <v>52</v>
      </c>
      <c r="D8" s="153" t="str">
        <f>IF(ISERROR(ETPT_ATTACHES_JUSTICE!D8),"",IF(ETPT_ATTACHES_JUSTICE!D8=0,"",ETPT_ATTACHES_JUSTICE!D8))</f>
        <v/>
      </c>
      <c r="E8" s="153" t="str">
        <f>IF(ISERROR(ETPT_ATTACHES_JUSTICE!E8),"",IF(ETPT_ATTACHES_JUSTICE!E8=0,"",ETPT_ATTACHES_JUSTICE!E8))</f>
        <v/>
      </c>
      <c r="F8" s="153" t="str">
        <f>IF(ISERROR(ETPT_ATTACHES_JUSTICE!F8),"",IF(ETPT_ATTACHES_JUSTICE!F8=0,"",ETPT_ATTACHES_JUSTICE!F8))</f>
        <v/>
      </c>
      <c r="G8" s="153" t="str">
        <f>IF(ISERROR(ETPT_ATTACHES_JUSTICE!G8),"",IF(ETPT_ATTACHES_JUSTICE!G8=0,"",ETPT_ATTACHES_JUSTICE!G8))</f>
        <v/>
      </c>
      <c r="H8" s="153" t="str">
        <f>IF(ISERROR(ETPT_ATTACHES_JUSTICE!H8),"",IF(ETPT_ATTACHES_JUSTICE!H8=0,"",ETPT_ATTACHES_JUSTICE!H8))</f>
        <v/>
      </c>
      <c r="I8" s="153" t="str">
        <f>IF(ISERROR(ETPT_ATTACHES_JUSTICE!I8),"",IF(ETPT_ATTACHES_JUSTICE!I8=0,"",ETPT_ATTACHES_JUSTICE!I8))</f>
        <v/>
      </c>
      <c r="J8" s="153" t="str">
        <f>IF(ISERROR(ETPT_ATTACHES_JUSTICE!J8),"",IF(ETPT_ATTACHES_JUSTICE!J8=0,"",ETPT_ATTACHES_JUSTICE!J8))</f>
        <v/>
      </c>
      <c r="K8" s="153" t="str">
        <f>IF(ISERROR(ETPT_ATTACHES_JUSTICE!K8),"",IF(ETPT_ATTACHES_JUSTICE!K8=0,"",ETPT_ATTACHES_JUSTICE!K8))</f>
        <v/>
      </c>
      <c r="L8" s="153" t="str">
        <f>IF(ISERROR(ETPT_ATTACHES_JUSTICE!L8),"",IF(ETPT_ATTACHES_JUSTICE!L8=0,"",ETPT_ATTACHES_JUSTICE!L8))</f>
        <v/>
      </c>
      <c r="M8" s="153" t="str">
        <f>IF(ISERROR(ETPT_ATTACHES_JUSTICE!M8),"",IF(ETPT_ATTACHES_JUSTICE!M8=0,"",ETPT_ATTACHES_JUSTICE!M8))</f>
        <v/>
      </c>
      <c r="N8" s="156">
        <f>SUMIF($G$3:M$3,M$3,$G8:M8)</f>
        <v>0</v>
      </c>
    </row>
    <row r="9" spans="1:14" x14ac:dyDescent="0.2">
      <c r="A9" s="160" t="s">
        <v>225</v>
      </c>
      <c r="B9" s="134" t="s">
        <v>51</v>
      </c>
      <c r="C9" s="134" t="s">
        <v>50</v>
      </c>
      <c r="D9" s="153" t="str">
        <f>IF(ISERROR(ETPT_ATTACHES_JUSTICE!D9),"",IF(ETPT_ATTACHES_JUSTICE!D9=0,"",ETPT_ATTACHES_JUSTICE!D9))</f>
        <v/>
      </c>
      <c r="E9" s="153" t="str">
        <f>IF(ISERROR(ETPT_ATTACHES_JUSTICE!E9),"",IF(ETPT_ATTACHES_JUSTICE!E9=0,"",ETPT_ATTACHES_JUSTICE!E9))</f>
        <v/>
      </c>
      <c r="F9" s="153" t="str">
        <f>IF(ISERROR(ETPT_ATTACHES_JUSTICE!F9),"",IF(ETPT_ATTACHES_JUSTICE!F9=0,"",ETPT_ATTACHES_JUSTICE!F9))</f>
        <v/>
      </c>
      <c r="G9" s="153" t="str">
        <f>IF(ISERROR(ETPT_ATTACHES_JUSTICE!G9),"",IF(ETPT_ATTACHES_JUSTICE!G9=0,"",ETPT_ATTACHES_JUSTICE!G9))</f>
        <v/>
      </c>
      <c r="H9" s="153" t="str">
        <f>IF(ISERROR(ETPT_ATTACHES_JUSTICE!H9),"",IF(ETPT_ATTACHES_JUSTICE!H9=0,"",ETPT_ATTACHES_JUSTICE!H9))</f>
        <v/>
      </c>
      <c r="I9" s="153" t="str">
        <f>IF(ISERROR(ETPT_ATTACHES_JUSTICE!I9),"",IF(ETPT_ATTACHES_JUSTICE!I9=0,"",ETPT_ATTACHES_JUSTICE!I9))</f>
        <v/>
      </c>
      <c r="J9" s="153" t="str">
        <f>IF(ISERROR(ETPT_ATTACHES_JUSTICE!J9),"",IF(ETPT_ATTACHES_JUSTICE!J9=0,"",ETPT_ATTACHES_JUSTICE!J9))</f>
        <v/>
      </c>
      <c r="K9" s="153" t="str">
        <f>IF(ISERROR(ETPT_ATTACHES_JUSTICE!K9),"",IF(ETPT_ATTACHES_JUSTICE!K9=0,"",ETPT_ATTACHES_JUSTICE!K9))</f>
        <v/>
      </c>
      <c r="L9" s="153" t="str">
        <f>IF(ISERROR(ETPT_ATTACHES_JUSTICE!L9),"",IF(ETPT_ATTACHES_JUSTICE!L9=0,"",ETPT_ATTACHES_JUSTICE!L9))</f>
        <v/>
      </c>
      <c r="M9" s="153" t="str">
        <f>IF(ISERROR(ETPT_ATTACHES_JUSTICE!M9),"",IF(ETPT_ATTACHES_JUSTICE!M9=0,"",ETPT_ATTACHES_JUSTICE!M9))</f>
        <v/>
      </c>
      <c r="N9" s="156">
        <f>SUMIF($G$3:M$3,M$3,$G9:M9)</f>
        <v>0</v>
      </c>
    </row>
    <row r="10" spans="1:14" x14ac:dyDescent="0.2">
      <c r="A10" s="160" t="s">
        <v>226</v>
      </c>
      <c r="B10" s="134" t="s">
        <v>49</v>
      </c>
      <c r="C10" s="134" t="s">
        <v>48</v>
      </c>
      <c r="D10" s="153" t="str">
        <f>IF(ISERROR(ETPT_ATTACHES_JUSTICE!D10),"",IF(ETPT_ATTACHES_JUSTICE!D10=0,"",ETPT_ATTACHES_JUSTICE!D10))</f>
        <v/>
      </c>
      <c r="E10" s="153" t="str">
        <f>IF(ISERROR(ETPT_ATTACHES_JUSTICE!E10),"",IF(ETPT_ATTACHES_JUSTICE!E10=0,"",ETPT_ATTACHES_JUSTICE!E10))</f>
        <v/>
      </c>
      <c r="F10" s="153" t="str">
        <f>IF(ISERROR(ETPT_ATTACHES_JUSTICE!F10),"",IF(ETPT_ATTACHES_JUSTICE!F10=0,"",ETPT_ATTACHES_JUSTICE!F10))</f>
        <v/>
      </c>
      <c r="G10" s="153" t="str">
        <f>IF(ISERROR(ETPT_ATTACHES_JUSTICE!G10),"",IF(ETPT_ATTACHES_JUSTICE!G10=0,"",ETPT_ATTACHES_JUSTICE!G10))</f>
        <v/>
      </c>
      <c r="H10" s="153" t="str">
        <f>IF(ISERROR(ETPT_ATTACHES_JUSTICE!H10),"",IF(ETPT_ATTACHES_JUSTICE!H10=0,"",ETPT_ATTACHES_JUSTICE!H10))</f>
        <v/>
      </c>
      <c r="I10" s="153" t="str">
        <f>IF(ISERROR(ETPT_ATTACHES_JUSTICE!I10),"",IF(ETPT_ATTACHES_JUSTICE!I10=0,"",ETPT_ATTACHES_JUSTICE!I10))</f>
        <v/>
      </c>
      <c r="J10" s="153" t="str">
        <f>IF(ISERROR(ETPT_ATTACHES_JUSTICE!J10),"",IF(ETPT_ATTACHES_JUSTICE!J10=0,"",ETPT_ATTACHES_JUSTICE!J10))</f>
        <v/>
      </c>
      <c r="K10" s="153" t="str">
        <f>IF(ISERROR(ETPT_ATTACHES_JUSTICE!K10),"",IF(ETPT_ATTACHES_JUSTICE!K10=0,"",ETPT_ATTACHES_JUSTICE!K10))</f>
        <v/>
      </c>
      <c r="L10" s="153" t="str">
        <f>IF(ISERROR(ETPT_ATTACHES_JUSTICE!L10),"",IF(ETPT_ATTACHES_JUSTICE!L10=0,"",ETPT_ATTACHES_JUSTICE!L10))</f>
        <v/>
      </c>
      <c r="M10" s="153" t="str">
        <f>IF(ISERROR(ETPT_ATTACHES_JUSTICE!M10),"",IF(ETPT_ATTACHES_JUSTICE!M10=0,"",ETPT_ATTACHES_JUSTICE!M10))</f>
        <v/>
      </c>
      <c r="N10" s="156">
        <f>SUMIF($G$3:M$3,M$3,$G10:M10)</f>
        <v>0</v>
      </c>
    </row>
    <row r="11" spans="1:14" x14ac:dyDescent="0.2">
      <c r="A11" s="160" t="s">
        <v>227</v>
      </c>
      <c r="B11" s="134" t="s">
        <v>47</v>
      </c>
      <c r="C11" s="134" t="s">
        <v>46</v>
      </c>
      <c r="D11" s="153" t="str">
        <f>IF(ISERROR(ETPT_ATTACHES_JUSTICE!D11),"",IF(ETPT_ATTACHES_JUSTICE!D11=0,"",ETPT_ATTACHES_JUSTICE!D11))</f>
        <v/>
      </c>
      <c r="E11" s="153" t="str">
        <f>IF(ISERROR(ETPT_ATTACHES_JUSTICE!E11),"",IF(ETPT_ATTACHES_JUSTICE!E11=0,"",ETPT_ATTACHES_JUSTICE!E11))</f>
        <v/>
      </c>
      <c r="F11" s="153" t="str">
        <f>IF(ISERROR(ETPT_ATTACHES_JUSTICE!F11),"",IF(ETPT_ATTACHES_JUSTICE!F11=0,"",ETPT_ATTACHES_JUSTICE!F11))</f>
        <v/>
      </c>
      <c r="G11" s="153" t="str">
        <f>IF(ISERROR(ETPT_ATTACHES_JUSTICE!G11),"",IF(ETPT_ATTACHES_JUSTICE!G11=0,"",ETPT_ATTACHES_JUSTICE!G11))</f>
        <v/>
      </c>
      <c r="H11" s="153" t="str">
        <f>IF(ISERROR(ETPT_ATTACHES_JUSTICE!H11),"",IF(ETPT_ATTACHES_JUSTICE!H11=0,"",ETPT_ATTACHES_JUSTICE!H11))</f>
        <v/>
      </c>
      <c r="I11" s="153" t="str">
        <f>IF(ISERROR(ETPT_ATTACHES_JUSTICE!I11),"",IF(ETPT_ATTACHES_JUSTICE!I11=0,"",ETPT_ATTACHES_JUSTICE!I11))</f>
        <v/>
      </c>
      <c r="J11" s="153" t="str">
        <f>IF(ISERROR(ETPT_ATTACHES_JUSTICE!J11),"",IF(ETPT_ATTACHES_JUSTICE!J11=0,"",ETPT_ATTACHES_JUSTICE!J11))</f>
        <v/>
      </c>
      <c r="K11" s="153" t="str">
        <f>IF(ISERROR(ETPT_ATTACHES_JUSTICE!K11),"",IF(ETPT_ATTACHES_JUSTICE!K11=0,"",ETPT_ATTACHES_JUSTICE!K11))</f>
        <v/>
      </c>
      <c r="L11" s="153" t="str">
        <f>IF(ISERROR(ETPT_ATTACHES_JUSTICE!L11),"",IF(ETPT_ATTACHES_JUSTICE!L11=0,"",ETPT_ATTACHES_JUSTICE!L11))</f>
        <v/>
      </c>
      <c r="M11" s="153" t="str">
        <f>IF(ISERROR(ETPT_ATTACHES_JUSTICE!M11),"",IF(ETPT_ATTACHES_JUSTICE!M11=0,"",ETPT_ATTACHES_JUSTICE!M11))</f>
        <v/>
      </c>
      <c r="N11" s="156">
        <f>SUMIF($G$3:M$3,M$3,$G11:M11)</f>
        <v>0</v>
      </c>
    </row>
    <row r="12" spans="1:14" x14ac:dyDescent="0.2">
      <c r="A12" s="160" t="s">
        <v>228</v>
      </c>
      <c r="B12" s="134" t="s">
        <v>45</v>
      </c>
      <c r="C12" s="134" t="s">
        <v>44</v>
      </c>
      <c r="D12" s="153" t="str">
        <f>IF(ISERROR(ETPT_ATTACHES_JUSTICE!D12),"",IF(ETPT_ATTACHES_JUSTICE!D12=0,"",ETPT_ATTACHES_JUSTICE!D12))</f>
        <v/>
      </c>
      <c r="E12" s="153" t="str">
        <f>IF(ISERROR(ETPT_ATTACHES_JUSTICE!E12),"",IF(ETPT_ATTACHES_JUSTICE!E12=0,"",ETPT_ATTACHES_JUSTICE!E12))</f>
        <v/>
      </c>
      <c r="F12" s="153" t="str">
        <f>IF(ISERROR(ETPT_ATTACHES_JUSTICE!F12),"",IF(ETPT_ATTACHES_JUSTICE!F12=0,"",ETPT_ATTACHES_JUSTICE!F12))</f>
        <v/>
      </c>
      <c r="G12" s="153" t="str">
        <f>IF(ISERROR(ETPT_ATTACHES_JUSTICE!G12),"",IF(ETPT_ATTACHES_JUSTICE!G12=0,"",ETPT_ATTACHES_JUSTICE!G12))</f>
        <v/>
      </c>
      <c r="H12" s="153" t="str">
        <f>IF(ISERROR(ETPT_ATTACHES_JUSTICE!H12),"",IF(ETPT_ATTACHES_JUSTICE!H12=0,"",ETPT_ATTACHES_JUSTICE!H12))</f>
        <v/>
      </c>
      <c r="I12" s="153" t="str">
        <f>IF(ISERROR(ETPT_ATTACHES_JUSTICE!I12),"",IF(ETPT_ATTACHES_JUSTICE!I12=0,"",ETPT_ATTACHES_JUSTICE!I12))</f>
        <v/>
      </c>
      <c r="J12" s="153" t="str">
        <f>IF(ISERROR(ETPT_ATTACHES_JUSTICE!J12),"",IF(ETPT_ATTACHES_JUSTICE!J12=0,"",ETPT_ATTACHES_JUSTICE!J12))</f>
        <v/>
      </c>
      <c r="K12" s="153" t="str">
        <f>IF(ISERROR(ETPT_ATTACHES_JUSTICE!K12),"",IF(ETPT_ATTACHES_JUSTICE!K12=0,"",ETPT_ATTACHES_JUSTICE!K12))</f>
        <v/>
      </c>
      <c r="L12" s="153" t="str">
        <f>IF(ISERROR(ETPT_ATTACHES_JUSTICE!L12),"",IF(ETPT_ATTACHES_JUSTICE!L12=0,"",ETPT_ATTACHES_JUSTICE!L12))</f>
        <v/>
      </c>
      <c r="M12" s="153" t="str">
        <f>IF(ISERROR(ETPT_ATTACHES_JUSTICE!M12),"",IF(ETPT_ATTACHES_JUSTICE!M12=0,"",ETPT_ATTACHES_JUSTICE!M12))</f>
        <v/>
      </c>
      <c r="N12" s="156">
        <f>SUMIF($G$3:M$3,M$3,$G12:M12)</f>
        <v>0</v>
      </c>
    </row>
    <row r="13" spans="1:14" ht="22" customHeight="1" x14ac:dyDescent="0.2">
      <c r="A13" s="160" t="s">
        <v>229</v>
      </c>
      <c r="B13" s="134" t="s">
        <v>43</v>
      </c>
      <c r="C13" s="134" t="s">
        <v>42</v>
      </c>
      <c r="D13" s="153" t="str">
        <f>IF(ISERROR(ETPT_ATTACHES_JUSTICE!D13),"",IF(ETPT_ATTACHES_JUSTICE!D13=0,"",ETPT_ATTACHES_JUSTICE!D13))</f>
        <v/>
      </c>
      <c r="E13" s="153" t="str">
        <f>IF(ISERROR(ETPT_ATTACHES_JUSTICE!E13),"",IF(ETPT_ATTACHES_JUSTICE!E13=0,"",ETPT_ATTACHES_JUSTICE!E13))</f>
        <v/>
      </c>
      <c r="F13" s="153" t="str">
        <f>IF(ISERROR(ETPT_ATTACHES_JUSTICE!F13),"",IF(ETPT_ATTACHES_JUSTICE!F13=0,"",ETPT_ATTACHES_JUSTICE!F13))</f>
        <v/>
      </c>
      <c r="G13" s="153" t="str">
        <f>IF(ISERROR(ETPT_ATTACHES_JUSTICE!G13),"",IF(ETPT_ATTACHES_JUSTICE!G13=0,"",ETPT_ATTACHES_JUSTICE!G13))</f>
        <v/>
      </c>
      <c r="H13" s="153" t="str">
        <f>IF(ISERROR(ETPT_ATTACHES_JUSTICE!H13),"",IF(ETPT_ATTACHES_JUSTICE!H13=0,"",ETPT_ATTACHES_JUSTICE!H13))</f>
        <v/>
      </c>
      <c r="I13" s="153" t="str">
        <f>IF(ISERROR(ETPT_ATTACHES_JUSTICE!I13),"",IF(ETPT_ATTACHES_JUSTICE!I13=0,"",ETPT_ATTACHES_JUSTICE!I13))</f>
        <v/>
      </c>
      <c r="J13" s="153" t="str">
        <f>IF(ISERROR(ETPT_ATTACHES_JUSTICE!J13),"",IF(ETPT_ATTACHES_JUSTICE!J13=0,"",ETPT_ATTACHES_JUSTICE!J13))</f>
        <v/>
      </c>
      <c r="K13" s="153" t="str">
        <f>IF(ISERROR(ETPT_ATTACHES_JUSTICE!K13),"",IF(ETPT_ATTACHES_JUSTICE!K13=0,"",ETPT_ATTACHES_JUSTICE!K13))</f>
        <v/>
      </c>
      <c r="L13" s="153" t="str">
        <f>IF(ISERROR(ETPT_ATTACHES_JUSTICE!L13),"",IF(ETPT_ATTACHES_JUSTICE!L13=0,"",ETPT_ATTACHES_JUSTICE!L13))</f>
        <v/>
      </c>
      <c r="M13" s="153" t="str">
        <f>IF(ISERROR(ETPT_ATTACHES_JUSTICE!M13),"",IF(ETPT_ATTACHES_JUSTICE!M13=0,"",ETPT_ATTACHES_JUSTICE!M13))</f>
        <v/>
      </c>
      <c r="N13" s="156">
        <f>SUMIF($G$3:M$3,M$3,$G13:M13)</f>
        <v>0</v>
      </c>
    </row>
    <row r="14" spans="1:14" x14ac:dyDescent="0.2">
      <c r="A14" s="161"/>
      <c r="B14" s="161"/>
      <c r="C14" s="162" t="s">
        <v>37</v>
      </c>
      <c r="D14" s="156">
        <f>SUMIF($C$6:$C13,$C13,D$6:D13)</f>
        <v>0</v>
      </c>
      <c r="E14" s="156">
        <f>SUMIF($C$6:$C13,$C13,E$6:E13)</f>
        <v>0</v>
      </c>
      <c r="F14" s="156">
        <f>SUMIF($C$6:$C13,$C13,F$6:F13)</f>
        <v>0</v>
      </c>
      <c r="G14" s="156">
        <f>SUMIF($C$6:$C13,$C13,G$6:G13)</f>
        <v>0</v>
      </c>
      <c r="H14" s="156">
        <f>SUMIF($C$6:$C13,$C13,H$6:H13)</f>
        <v>0</v>
      </c>
      <c r="I14" s="156">
        <f>SUMIF($C$6:$C13,$C13,I$6:I13)</f>
        <v>0</v>
      </c>
      <c r="J14" s="156">
        <f>SUMIF($C$6:$C13,$C13,J$6:J13)</f>
        <v>0</v>
      </c>
      <c r="K14" s="156">
        <f>SUMIF($C$6:$C13,$C13,K$6:K13)</f>
        <v>0</v>
      </c>
      <c r="L14" s="156">
        <f>SUMIF($C$6:$C13,$C13,L$6:L13)</f>
        <v>0</v>
      </c>
      <c r="M14" s="156">
        <f>SUMIF($C$6:$C13,$C13,M$6:M13)</f>
        <v>0</v>
      </c>
      <c r="N14" s="156">
        <f>SUMIF($C$6:$C13,$C13,N$6:N13)</f>
        <v>0</v>
      </c>
    </row>
  </sheetData>
  <mergeCells count="1">
    <mergeCell ref="N3:N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U17"/>
  <sheetViews>
    <sheetView zoomScale="42" workbookViewId="0">
      <selection activeCell="G13" sqref="G13"/>
    </sheetView>
  </sheetViews>
  <sheetFormatPr baseColWidth="10" defaultRowHeight="15" x14ac:dyDescent="0.2"/>
  <cols>
    <col min="1" max="1" width="14" bestFit="1" customWidth="1"/>
    <col min="6" max="24" width="48.6640625" customWidth="1"/>
  </cols>
  <sheetData>
    <row r="1" spans="1:21" x14ac:dyDescent="0.2">
      <c r="A1" s="198" t="s">
        <v>128</v>
      </c>
      <c r="B1" s="198"/>
      <c r="C1" s="198"/>
      <c r="D1" s="198"/>
      <c r="E1" s="198"/>
      <c r="F1" s="93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x14ac:dyDescent="0.2">
      <c r="A2" s="94"/>
      <c r="B2" s="94"/>
      <c r="C2" s="94"/>
      <c r="D2" s="94"/>
      <c r="E2" s="94"/>
      <c r="F2" s="94"/>
      <c r="G2" s="79" t="s">
        <v>97</v>
      </c>
      <c r="H2" s="199" t="s">
        <v>96</v>
      </c>
      <c r="I2" s="79" t="s">
        <v>95</v>
      </c>
      <c r="J2" s="79" t="s">
        <v>95</v>
      </c>
      <c r="K2" s="79" t="s">
        <v>95</v>
      </c>
      <c r="L2" s="79" t="s">
        <v>95</v>
      </c>
      <c r="M2" s="79" t="s">
        <v>95</v>
      </c>
      <c r="N2" s="79" t="s">
        <v>95</v>
      </c>
      <c r="O2" s="199" t="s">
        <v>94</v>
      </c>
      <c r="P2" s="79" t="s">
        <v>93</v>
      </c>
      <c r="Q2" s="79" t="s">
        <v>93</v>
      </c>
      <c r="R2" s="79" t="s">
        <v>93</v>
      </c>
      <c r="S2" s="79" t="s">
        <v>93</v>
      </c>
      <c r="T2" s="79" t="s">
        <v>93</v>
      </c>
      <c r="U2" s="199" t="s">
        <v>92</v>
      </c>
    </row>
    <row r="3" spans="1:21" ht="56" customHeight="1" x14ac:dyDescent="0.2">
      <c r="A3" s="94"/>
      <c r="B3" s="94"/>
      <c r="C3" s="94"/>
      <c r="D3" s="94"/>
      <c r="E3" s="94"/>
      <c r="F3" s="94"/>
      <c r="G3" s="79" t="s">
        <v>89</v>
      </c>
      <c r="H3" s="199"/>
      <c r="I3" s="79" t="s">
        <v>88</v>
      </c>
      <c r="J3" s="79" t="s">
        <v>87</v>
      </c>
      <c r="K3" s="79" t="s">
        <v>86</v>
      </c>
      <c r="L3" s="79" t="s">
        <v>129</v>
      </c>
      <c r="M3" s="79" t="s">
        <v>130</v>
      </c>
      <c r="N3" s="79" t="s">
        <v>85</v>
      </c>
      <c r="O3" s="199"/>
      <c r="P3" s="79" t="s">
        <v>82</v>
      </c>
      <c r="Q3" s="79" t="s">
        <v>81</v>
      </c>
      <c r="R3" s="79" t="s">
        <v>132</v>
      </c>
      <c r="S3" s="79" t="s">
        <v>133</v>
      </c>
      <c r="T3" s="79" t="s">
        <v>80</v>
      </c>
      <c r="U3" s="199"/>
    </row>
    <row r="4" spans="1:21" ht="84" customHeight="1" x14ac:dyDescent="0.2">
      <c r="A4" s="95"/>
      <c r="B4" s="96" t="s">
        <v>75</v>
      </c>
      <c r="C4" s="96" t="s">
        <v>74</v>
      </c>
      <c r="D4" s="96" t="s">
        <v>32</v>
      </c>
      <c r="E4" s="96" t="s">
        <v>73</v>
      </c>
      <c r="F4" s="96" t="s">
        <v>72</v>
      </c>
      <c r="G4" s="79" t="s">
        <v>71</v>
      </c>
      <c r="H4" s="199"/>
      <c r="I4" s="79" t="s">
        <v>70</v>
      </c>
      <c r="J4" s="79" t="s">
        <v>69</v>
      </c>
      <c r="K4" s="79" t="s">
        <v>68</v>
      </c>
      <c r="L4" s="79" t="s">
        <v>134</v>
      </c>
      <c r="M4" s="79" t="s">
        <v>135</v>
      </c>
      <c r="N4" s="79" t="s">
        <v>67</v>
      </c>
      <c r="O4" s="199"/>
      <c r="P4" s="79" t="s">
        <v>66</v>
      </c>
      <c r="Q4" s="79" t="s">
        <v>65</v>
      </c>
      <c r="R4" s="79" t="s">
        <v>136</v>
      </c>
      <c r="S4" s="79" t="s">
        <v>137</v>
      </c>
      <c r="T4" s="79" t="s">
        <v>64</v>
      </c>
      <c r="U4" s="199"/>
    </row>
    <row r="5" spans="1:21" ht="409.5" customHeight="1" x14ac:dyDescent="0.2">
      <c r="A5" s="97" t="s">
        <v>138</v>
      </c>
      <c r="B5" s="98"/>
      <c r="C5" s="98"/>
      <c r="D5" s="98"/>
      <c r="E5" s="98" t="s">
        <v>59</v>
      </c>
      <c r="F5" s="99" t="s">
        <v>58</v>
      </c>
      <c r="G5" s="80" t="s">
        <v>230</v>
      </c>
      <c r="H5" s="136"/>
      <c r="I5" s="80" t="s">
        <v>231</v>
      </c>
      <c r="J5" s="82"/>
      <c r="K5" s="82"/>
      <c r="L5" s="82"/>
      <c r="M5" s="80" t="s">
        <v>232</v>
      </c>
      <c r="N5" s="80" t="s">
        <v>233</v>
      </c>
      <c r="O5" s="78">
        <f>SUMIF($G$1:N$1,N$1,$G5:N5)</f>
        <v>0</v>
      </c>
      <c r="P5" s="82"/>
      <c r="Q5" s="82"/>
      <c r="R5" s="82"/>
      <c r="S5" s="80" t="s">
        <v>234</v>
      </c>
      <c r="T5" s="80" t="s">
        <v>235</v>
      </c>
      <c r="U5" s="78">
        <f>SUMIF($G$1:T$1,T$1,$G5:T5)</f>
        <v>0</v>
      </c>
    </row>
    <row r="6" spans="1:21" ht="409.5" customHeight="1" x14ac:dyDescent="0.2">
      <c r="A6" s="97" t="s">
        <v>138</v>
      </c>
      <c r="B6" s="98"/>
      <c r="C6" s="98"/>
      <c r="D6" s="98"/>
      <c r="E6" s="98" t="s">
        <v>57</v>
      </c>
      <c r="F6" s="99" t="s">
        <v>56</v>
      </c>
      <c r="G6" s="80" t="s">
        <v>236</v>
      </c>
      <c r="H6" s="78"/>
      <c r="I6" s="81"/>
      <c r="J6" s="80" t="s">
        <v>237</v>
      </c>
      <c r="K6" s="80" t="s">
        <v>238</v>
      </c>
      <c r="L6" s="80" t="s">
        <v>239</v>
      </c>
      <c r="M6" s="82"/>
      <c r="N6" s="80" t="s">
        <v>240</v>
      </c>
      <c r="O6" s="78">
        <f>SUMIF($G$1:N$1,N$1,$G6:N6)</f>
        <v>0</v>
      </c>
      <c r="P6" s="80" t="s">
        <v>241</v>
      </c>
      <c r="Q6" s="80" t="s">
        <v>242</v>
      </c>
      <c r="R6" s="80" t="s">
        <v>243</v>
      </c>
      <c r="S6" s="82"/>
      <c r="T6" s="80" t="s">
        <v>244</v>
      </c>
      <c r="U6" s="78">
        <f>SUMIF($G$1:T$1,T$1,$G6:T6)</f>
        <v>0</v>
      </c>
    </row>
    <row r="7" spans="1:21" ht="98" customHeight="1" x14ac:dyDescent="0.2">
      <c r="A7" s="97" t="s">
        <v>138</v>
      </c>
      <c r="B7" s="98"/>
      <c r="C7" s="98"/>
      <c r="D7" s="98"/>
      <c r="E7" s="98" t="s">
        <v>55</v>
      </c>
      <c r="F7" s="99" t="s">
        <v>54</v>
      </c>
      <c r="G7" s="83"/>
      <c r="H7" s="78"/>
      <c r="I7" s="137"/>
      <c r="J7" s="137"/>
      <c r="K7" s="137"/>
      <c r="L7" s="137"/>
      <c r="M7" s="137"/>
      <c r="N7" s="138"/>
      <c r="O7" s="78">
        <f>SUMIF($G$1:N$1,N$1,$G7:N7)</f>
        <v>0</v>
      </c>
      <c r="P7" s="137"/>
      <c r="Q7" s="137"/>
      <c r="R7" s="137"/>
      <c r="S7" s="137"/>
      <c r="T7" s="80" t="s">
        <v>245</v>
      </c>
      <c r="U7" s="78">
        <f>SUMIF($G$1:T$1,T$1,$G7:T7)</f>
        <v>0</v>
      </c>
    </row>
    <row r="8" spans="1:21" ht="168" customHeight="1" x14ac:dyDescent="0.2">
      <c r="A8" s="97" t="s">
        <v>138</v>
      </c>
      <c r="B8" s="98"/>
      <c r="C8" s="98"/>
      <c r="D8" s="98"/>
      <c r="E8" s="98" t="s">
        <v>53</v>
      </c>
      <c r="F8" s="99" t="s">
        <v>52</v>
      </c>
      <c r="G8" s="80" t="s">
        <v>246</v>
      </c>
      <c r="H8" s="78"/>
      <c r="I8" s="137"/>
      <c r="J8" s="137"/>
      <c r="K8" s="137"/>
      <c r="L8" s="137"/>
      <c r="M8" s="137"/>
      <c r="N8" s="80" t="s">
        <v>247</v>
      </c>
      <c r="O8" s="78">
        <f>SUMIF($G$1:N$1,N$1,$G8:N8)</f>
        <v>0</v>
      </c>
      <c r="P8" s="137"/>
      <c r="Q8" s="137"/>
      <c r="R8" s="137"/>
      <c r="S8" s="137"/>
      <c r="T8" s="80" t="s">
        <v>248</v>
      </c>
      <c r="U8" s="78">
        <f>SUMIF($G$1:T$1,T$1,$G8:T8)</f>
        <v>0</v>
      </c>
    </row>
    <row r="9" spans="1:21" ht="409.5" customHeight="1" x14ac:dyDescent="0.2">
      <c r="A9" s="97" t="s">
        <v>138</v>
      </c>
      <c r="B9" s="98"/>
      <c r="C9" s="98"/>
      <c r="D9" s="98"/>
      <c r="E9" s="98" t="s">
        <v>51</v>
      </c>
      <c r="F9" s="99" t="s">
        <v>50</v>
      </c>
      <c r="G9" s="80" t="s">
        <v>249</v>
      </c>
      <c r="H9" s="78"/>
      <c r="I9" s="137"/>
      <c r="J9" s="137"/>
      <c r="K9" s="137"/>
      <c r="L9" s="137"/>
      <c r="M9" s="137"/>
      <c r="N9" s="80" t="s">
        <v>250</v>
      </c>
      <c r="O9" s="78">
        <f>SUMIF($G$1:N$1,N$1,$G9:N9)</f>
        <v>0</v>
      </c>
      <c r="P9" s="137"/>
      <c r="Q9" s="137"/>
      <c r="R9" s="137"/>
      <c r="S9" s="137"/>
      <c r="T9" s="80" t="s">
        <v>251</v>
      </c>
      <c r="U9" s="78">
        <f>SUMIF($G$1:T$1,T$1,$G9:T9)</f>
        <v>0</v>
      </c>
    </row>
    <row r="10" spans="1:21" ht="168" customHeight="1" x14ac:dyDescent="0.2">
      <c r="A10" s="97" t="s">
        <v>138</v>
      </c>
      <c r="B10" s="98"/>
      <c r="C10" s="98"/>
      <c r="D10" s="98"/>
      <c r="E10" s="98" t="s">
        <v>49</v>
      </c>
      <c r="F10" s="99" t="s">
        <v>48</v>
      </c>
      <c r="G10" s="80" t="s">
        <v>252</v>
      </c>
      <c r="H10" s="78"/>
      <c r="I10" s="137"/>
      <c r="J10" s="137"/>
      <c r="K10" s="137"/>
      <c r="L10" s="137"/>
      <c r="M10" s="137"/>
      <c r="N10" s="80" t="s">
        <v>253</v>
      </c>
      <c r="O10" s="78">
        <f>SUMIF($G$1:N$1,N$1,$G10:N10)</f>
        <v>0</v>
      </c>
      <c r="P10" s="137"/>
      <c r="Q10" s="137"/>
      <c r="R10" s="137"/>
      <c r="S10" s="137"/>
      <c r="T10" s="80" t="s">
        <v>254</v>
      </c>
      <c r="U10" s="78">
        <f>SUMIF($G$1:T$1,T$1,$G10:T10)</f>
        <v>0</v>
      </c>
    </row>
    <row r="11" spans="1:21" ht="154" customHeight="1" x14ac:dyDescent="0.2">
      <c r="A11" s="97" t="s">
        <v>138</v>
      </c>
      <c r="B11" s="98"/>
      <c r="C11" s="98"/>
      <c r="D11" s="98"/>
      <c r="E11" s="98" t="s">
        <v>47</v>
      </c>
      <c r="F11" s="99" t="s">
        <v>46</v>
      </c>
      <c r="G11" s="80" t="s">
        <v>255</v>
      </c>
      <c r="H11" s="78"/>
      <c r="I11" s="137"/>
      <c r="J11" s="137"/>
      <c r="K11" s="137"/>
      <c r="L11" s="137"/>
      <c r="M11" s="137"/>
      <c r="N11" s="80" t="s">
        <v>256</v>
      </c>
      <c r="O11" s="78">
        <f>SUMIF($G$1:N$1,N$1,$G11:N11)</f>
        <v>0</v>
      </c>
      <c r="P11" s="137"/>
      <c r="Q11" s="137"/>
      <c r="R11" s="137"/>
      <c r="S11" s="137"/>
      <c r="T11" s="80" t="s">
        <v>257</v>
      </c>
      <c r="U11" s="78">
        <f>SUMIF($G$1:T$1,T$1,$G11:T11)</f>
        <v>0</v>
      </c>
    </row>
    <row r="12" spans="1:21" ht="238" customHeight="1" x14ac:dyDescent="0.2">
      <c r="A12" s="97" t="s">
        <v>138</v>
      </c>
      <c r="B12" s="98"/>
      <c r="C12" s="98"/>
      <c r="D12" s="98"/>
      <c r="E12" s="98" t="s">
        <v>45</v>
      </c>
      <c r="F12" s="99" t="s">
        <v>44</v>
      </c>
      <c r="G12" s="80" t="s">
        <v>258</v>
      </c>
      <c r="H12" s="78"/>
      <c r="I12" s="137"/>
      <c r="J12" s="137"/>
      <c r="K12" s="137"/>
      <c r="L12" s="137"/>
      <c r="M12" s="137"/>
      <c r="N12" s="80" t="s">
        <v>259</v>
      </c>
      <c r="O12" s="78">
        <f>SUMIF($G$1:N$1,N$1,$G12:N12)</f>
        <v>0</v>
      </c>
      <c r="P12" s="137"/>
      <c r="Q12" s="137"/>
      <c r="R12" s="137"/>
      <c r="S12" s="137"/>
      <c r="T12" s="80" t="s">
        <v>260</v>
      </c>
      <c r="U12" s="78">
        <f>SUMIF($G$1:T$1,T$1,$G12:T12)</f>
        <v>0</v>
      </c>
    </row>
    <row r="13" spans="1:21" ht="154" customHeight="1" x14ac:dyDescent="0.2">
      <c r="A13" s="97" t="s">
        <v>138</v>
      </c>
      <c r="B13" s="98"/>
      <c r="C13" s="98"/>
      <c r="D13" s="98"/>
      <c r="E13" s="98" t="s">
        <v>43</v>
      </c>
      <c r="F13" s="99" t="s">
        <v>42</v>
      </c>
      <c r="G13" s="80" t="s">
        <v>261</v>
      </c>
      <c r="H13" s="78"/>
      <c r="I13" s="137"/>
      <c r="J13" s="137"/>
      <c r="K13" s="137"/>
      <c r="L13" s="137"/>
      <c r="M13" s="137"/>
      <c r="N13" s="80" t="s">
        <v>262</v>
      </c>
      <c r="O13" s="78">
        <f>SUMIF($G$1:N$1,N$1,$G13:N13)</f>
        <v>0</v>
      </c>
      <c r="P13" s="137"/>
      <c r="Q13" s="137"/>
      <c r="R13" s="137"/>
      <c r="S13" s="137"/>
      <c r="T13" s="80" t="s">
        <v>263</v>
      </c>
      <c r="U13" s="78">
        <f>SUMIF($G$1:T$1,T$1,$G13:T13)</f>
        <v>0</v>
      </c>
    </row>
    <row r="14" spans="1:21" ht="409.5" customHeight="1" x14ac:dyDescent="0.2">
      <c r="A14" s="97" t="s">
        <v>138</v>
      </c>
      <c r="B14" s="98"/>
      <c r="C14" s="98"/>
      <c r="D14" s="98"/>
      <c r="E14" s="98" t="s">
        <v>41</v>
      </c>
      <c r="F14" s="99" t="s">
        <v>40</v>
      </c>
      <c r="G14" s="80" t="s">
        <v>264</v>
      </c>
      <c r="H14" s="78"/>
      <c r="I14" s="80" t="s">
        <v>265</v>
      </c>
      <c r="J14" s="80" t="s">
        <v>266</v>
      </c>
      <c r="K14" s="80" t="s">
        <v>267</v>
      </c>
      <c r="L14" s="80" t="s">
        <v>268</v>
      </c>
      <c r="M14" s="80" t="s">
        <v>269</v>
      </c>
      <c r="N14" s="80" t="s">
        <v>270</v>
      </c>
      <c r="O14" s="78">
        <f>SUMIF($G$1:N$1,N$1,$G14:N14)</f>
        <v>0</v>
      </c>
      <c r="P14" s="80" t="s">
        <v>271</v>
      </c>
      <c r="Q14" s="80" t="s">
        <v>272</v>
      </c>
      <c r="R14" s="80" t="s">
        <v>273</v>
      </c>
      <c r="S14" s="80" t="s">
        <v>274</v>
      </c>
      <c r="T14" s="80" t="s">
        <v>275</v>
      </c>
      <c r="U14" s="78">
        <f>SUMIF($G$1:T$1,T$1,$G14:T14)</f>
        <v>0</v>
      </c>
    </row>
    <row r="15" spans="1:21" ht="238" customHeight="1" x14ac:dyDescent="0.2">
      <c r="A15" s="97" t="s">
        <v>138</v>
      </c>
      <c r="B15" s="98"/>
      <c r="C15" s="98"/>
      <c r="D15" s="98"/>
      <c r="E15" s="98" t="s">
        <v>139</v>
      </c>
      <c r="F15" s="101" t="s">
        <v>140</v>
      </c>
      <c r="G15" s="102" t="s">
        <v>276</v>
      </c>
      <c r="H15" s="78"/>
      <c r="I15" s="139"/>
      <c r="J15" s="140"/>
      <c r="K15" s="140"/>
      <c r="L15" s="140"/>
      <c r="M15" s="140"/>
      <c r="N15" s="102" t="s">
        <v>276</v>
      </c>
      <c r="O15" s="78">
        <f>SUMIF($G$1:N$1,N$1,$G15:N15)</f>
        <v>0</v>
      </c>
      <c r="P15" s="140"/>
      <c r="Q15" s="140"/>
      <c r="R15" s="140"/>
      <c r="S15" s="140"/>
      <c r="T15" s="80" t="s">
        <v>277</v>
      </c>
      <c r="U15" s="78">
        <f>SUMIF($G$1:T$1,T$1,$G15:T15)</f>
        <v>0</v>
      </c>
    </row>
    <row r="16" spans="1:21" ht="409.5" customHeight="1" x14ac:dyDescent="0.2">
      <c r="A16" s="97" t="s">
        <v>138</v>
      </c>
      <c r="B16" s="98"/>
      <c r="C16" s="98"/>
      <c r="D16" s="98"/>
      <c r="E16" s="98" t="s">
        <v>39</v>
      </c>
      <c r="F16" s="99" t="s">
        <v>38</v>
      </c>
      <c r="G16" s="80" t="s">
        <v>278</v>
      </c>
      <c r="H16" s="78"/>
      <c r="I16" s="80" t="s">
        <v>279</v>
      </c>
      <c r="J16" s="80" t="s">
        <v>280</v>
      </c>
      <c r="K16" s="80" t="s">
        <v>281</v>
      </c>
      <c r="L16" s="80" t="s">
        <v>282</v>
      </c>
      <c r="M16" s="80" t="s">
        <v>283</v>
      </c>
      <c r="N16" s="80" t="s">
        <v>284</v>
      </c>
      <c r="O16" s="78">
        <f>SUMIF($G$1:N$1,N$1,$G16:N16)</f>
        <v>0</v>
      </c>
      <c r="P16" s="80" t="s">
        <v>285</v>
      </c>
      <c r="Q16" s="80" t="s">
        <v>286</v>
      </c>
      <c r="R16" s="80" t="s">
        <v>287</v>
      </c>
      <c r="S16" s="80" t="s">
        <v>288</v>
      </c>
      <c r="T16" s="80" t="s">
        <v>289</v>
      </c>
      <c r="U16" s="78">
        <f>SUMIF($G$1:T$1,T$1,$G16:T16)</f>
        <v>0</v>
      </c>
    </row>
    <row r="17" spans="1:21" x14ac:dyDescent="0.2">
      <c r="A17" s="103"/>
      <c r="B17" s="104"/>
      <c r="C17" s="105"/>
      <c r="D17" s="104"/>
      <c r="E17" s="104"/>
      <c r="F17" s="106" t="s">
        <v>37</v>
      </c>
      <c r="G17" s="78">
        <f>SUMIF($C$4:$C16,$C16,G$4:G16)</f>
        <v>0</v>
      </c>
      <c r="H17" s="78"/>
      <c r="I17" s="78">
        <f>SUMIF($C$4:$C16,$C16,I$4:I16)</f>
        <v>0</v>
      </c>
      <c r="J17" s="78">
        <f>SUMIF($C$4:$C16,$C16,J$4:J16)</f>
        <v>0</v>
      </c>
      <c r="K17" s="78">
        <f>SUMIF($C$4:$C16,$C16,K$4:K16)</f>
        <v>0</v>
      </c>
      <c r="L17" s="78">
        <f>SUMIF($C$4:$C16,$C16,L$4:L16)</f>
        <v>0</v>
      </c>
      <c r="M17" s="78">
        <f>SUMIF($C$4:$C16,$C16,M$4:M16)</f>
        <v>0</v>
      </c>
      <c r="N17" s="78">
        <f>SUMIF($C$4:$C16,$C16,N$4:N16)</f>
        <v>0</v>
      </c>
      <c r="O17" s="78">
        <f>SUMIF($G$1:N$1,N$1,$G17:N17)</f>
        <v>0</v>
      </c>
      <c r="P17" s="78">
        <f>SUMIF($C$4:$C16,$C16,P$4:P16)</f>
        <v>0</v>
      </c>
      <c r="Q17" s="78">
        <f>SUMIF($C$4:$C16,$C16,Q$4:Q16)</f>
        <v>0</v>
      </c>
      <c r="R17" s="78">
        <f>SUMIF($C$4:$C16,$C16,R$4:R16)</f>
        <v>0</v>
      </c>
      <c r="S17" s="78">
        <f>SUMIF($C$4:$C16,$C16,S$4:S16)</f>
        <v>0</v>
      </c>
      <c r="T17" s="78">
        <f>SUMIF($C$4:$C16,$C16,T$4:T16)</f>
        <v>0</v>
      </c>
      <c r="U17" s="78">
        <f>SUMIF($C$4:$C16,$C16,U$4:U16)</f>
        <v>0</v>
      </c>
    </row>
  </sheetData>
  <mergeCells count="4">
    <mergeCell ref="A1:E1"/>
    <mergeCell ref="H2:H4"/>
    <mergeCell ref="O2:O4"/>
    <mergeCell ref="U2:U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841C-99B1-2944-9963-E2DDCA0EE564}">
  <dimension ref="A1:Q13"/>
  <sheetViews>
    <sheetView topLeftCell="A8" zoomScale="50" workbookViewId="0">
      <selection activeCell="B5" sqref="B5"/>
    </sheetView>
  </sheetViews>
  <sheetFormatPr baseColWidth="10" defaultRowHeight="15" x14ac:dyDescent="0.2"/>
  <cols>
    <col min="6" max="16" width="31.6640625" customWidth="1"/>
    <col min="17" max="17" width="22" customWidth="1"/>
  </cols>
  <sheetData>
    <row r="1" spans="1:17" x14ac:dyDescent="0.2">
      <c r="A1" s="141"/>
      <c r="B1" s="200" t="s">
        <v>290</v>
      </c>
      <c r="C1" s="200"/>
      <c r="D1" s="200"/>
      <c r="E1" s="200"/>
      <c r="F1" s="142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</row>
    <row r="2" spans="1:17" x14ac:dyDescent="0.2">
      <c r="A2" s="143"/>
      <c r="B2" s="144"/>
      <c r="C2" s="144"/>
      <c r="D2" s="144"/>
      <c r="E2" s="145"/>
      <c r="F2" s="146"/>
      <c r="G2" s="120" t="s">
        <v>36</v>
      </c>
      <c r="H2" s="120" t="s">
        <v>36</v>
      </c>
      <c r="I2" s="120" t="s">
        <v>36</v>
      </c>
      <c r="J2" s="120" t="s">
        <v>36</v>
      </c>
      <c r="K2" s="120" t="s">
        <v>36</v>
      </c>
      <c r="L2" s="120" t="s">
        <v>36</v>
      </c>
      <c r="M2" s="120" t="s">
        <v>36</v>
      </c>
      <c r="N2" s="120" t="s">
        <v>36</v>
      </c>
      <c r="O2" s="120" t="s">
        <v>36</v>
      </c>
      <c r="P2" s="120" t="s">
        <v>36</v>
      </c>
      <c r="Q2" s="194" t="s">
        <v>165</v>
      </c>
    </row>
    <row r="3" spans="1:17" x14ac:dyDescent="0.2">
      <c r="A3" s="143"/>
      <c r="B3" s="144"/>
      <c r="C3" s="144"/>
      <c r="D3" s="144"/>
      <c r="E3" s="145"/>
      <c r="F3" s="146"/>
      <c r="G3" s="120" t="s">
        <v>131</v>
      </c>
      <c r="H3" s="120" t="s">
        <v>166</v>
      </c>
      <c r="I3" s="120" t="s">
        <v>83</v>
      </c>
      <c r="J3" s="120" t="s">
        <v>167</v>
      </c>
      <c r="K3" s="120" t="s">
        <v>84</v>
      </c>
      <c r="L3" s="120" t="s">
        <v>168</v>
      </c>
      <c r="M3" s="120" t="s">
        <v>169</v>
      </c>
      <c r="N3" s="120" t="s">
        <v>170</v>
      </c>
      <c r="O3" s="120" t="s">
        <v>171</v>
      </c>
      <c r="P3" s="120" t="s">
        <v>172</v>
      </c>
      <c r="Q3" s="194"/>
    </row>
    <row r="4" spans="1:17" ht="28" x14ac:dyDescent="0.2">
      <c r="A4" s="147"/>
      <c r="B4" s="121" t="s">
        <v>75</v>
      </c>
      <c r="C4" s="121" t="s">
        <v>74</v>
      </c>
      <c r="D4" s="121" t="s">
        <v>32</v>
      </c>
      <c r="E4" s="122" t="s">
        <v>173</v>
      </c>
      <c r="F4" s="121" t="s">
        <v>72</v>
      </c>
      <c r="G4" s="123" t="s">
        <v>174</v>
      </c>
      <c r="H4" s="123" t="s">
        <v>175</v>
      </c>
      <c r="I4" s="123" t="s">
        <v>176</v>
      </c>
      <c r="J4" s="123" t="s">
        <v>177</v>
      </c>
      <c r="K4" s="123" t="s">
        <v>178</v>
      </c>
      <c r="L4" s="123" t="s">
        <v>179</v>
      </c>
      <c r="M4" s="123" t="s">
        <v>180</v>
      </c>
      <c r="N4" s="123" t="s">
        <v>181</v>
      </c>
      <c r="O4" s="123" t="s">
        <v>182</v>
      </c>
      <c r="P4" s="123" t="s">
        <v>183</v>
      </c>
      <c r="Q4" s="194"/>
    </row>
    <row r="5" spans="1:17" ht="266" x14ac:dyDescent="0.2">
      <c r="A5" s="148" t="s">
        <v>291</v>
      </c>
      <c r="B5" s="124"/>
      <c r="C5" s="124"/>
      <c r="D5" s="124"/>
      <c r="E5" s="125" t="s">
        <v>59</v>
      </c>
      <c r="F5" s="126" t="s">
        <v>58</v>
      </c>
      <c r="G5" s="127" t="s">
        <v>184</v>
      </c>
      <c r="H5" s="128" t="s">
        <v>185</v>
      </c>
      <c r="I5" s="127" t="s">
        <v>186</v>
      </c>
      <c r="J5" s="129"/>
      <c r="K5" s="127" t="s">
        <v>187</v>
      </c>
      <c r="L5" s="128" t="s">
        <v>188</v>
      </c>
      <c r="M5" s="127"/>
      <c r="N5" s="127"/>
      <c r="O5" s="127"/>
      <c r="P5" s="127"/>
      <c r="Q5" s="130">
        <f>SUMIF($G$2:P$2,P$2,$G5:P5)</f>
        <v>0</v>
      </c>
    </row>
    <row r="6" spans="1:17" ht="210" x14ac:dyDescent="0.2">
      <c r="A6" s="148" t="s">
        <v>291</v>
      </c>
      <c r="B6" s="124"/>
      <c r="C6" s="124"/>
      <c r="D6" s="124"/>
      <c r="E6" s="125" t="s">
        <v>57</v>
      </c>
      <c r="F6" s="126" t="s">
        <v>56</v>
      </c>
      <c r="G6" s="131"/>
      <c r="H6" s="128" t="s">
        <v>189</v>
      </c>
      <c r="I6" s="127" t="s">
        <v>190</v>
      </c>
      <c r="J6" s="132"/>
      <c r="K6" s="127" t="s">
        <v>191</v>
      </c>
      <c r="L6" s="128" t="s">
        <v>192</v>
      </c>
      <c r="M6" s="127"/>
      <c r="N6" s="127"/>
      <c r="O6" s="127"/>
      <c r="P6" s="127"/>
      <c r="Q6" s="130">
        <f>SUMIF($G$2:P$2,P$2,$G6:P6)</f>
        <v>0</v>
      </c>
    </row>
    <row r="7" spans="1:17" ht="56" x14ac:dyDescent="0.2">
      <c r="A7" s="148" t="s">
        <v>291</v>
      </c>
      <c r="B7" s="124"/>
      <c r="C7" s="124"/>
      <c r="D7" s="124"/>
      <c r="E7" s="125" t="s">
        <v>53</v>
      </c>
      <c r="F7" s="126" t="s">
        <v>52</v>
      </c>
      <c r="G7" s="127" t="s">
        <v>193</v>
      </c>
      <c r="H7" s="128" t="s">
        <v>194</v>
      </c>
      <c r="I7" s="127" t="s">
        <v>195</v>
      </c>
      <c r="J7" s="132"/>
      <c r="K7" s="127" t="s">
        <v>196</v>
      </c>
      <c r="L7" s="128" t="s">
        <v>197</v>
      </c>
      <c r="M7" s="127"/>
      <c r="N7" s="127"/>
      <c r="O7" s="127"/>
      <c r="P7" s="127"/>
      <c r="Q7" s="130">
        <f>SUMIF($G$2:P$2,P$2,$G7:P7)</f>
        <v>0</v>
      </c>
    </row>
    <row r="8" spans="1:17" ht="224" x14ac:dyDescent="0.2">
      <c r="A8" s="148" t="s">
        <v>291</v>
      </c>
      <c r="B8" s="124"/>
      <c r="C8" s="124"/>
      <c r="D8" s="124"/>
      <c r="E8" s="125" t="s">
        <v>51</v>
      </c>
      <c r="F8" s="126" t="s">
        <v>50</v>
      </c>
      <c r="G8" s="127" t="s">
        <v>198</v>
      </c>
      <c r="H8" s="128" t="s">
        <v>199</v>
      </c>
      <c r="I8" s="127" t="s">
        <v>200</v>
      </c>
      <c r="J8" s="132"/>
      <c r="K8" s="127" t="s">
        <v>201</v>
      </c>
      <c r="L8" s="128" t="s">
        <v>202</v>
      </c>
      <c r="M8" s="127"/>
      <c r="N8" s="127"/>
      <c r="O8" s="127"/>
      <c r="P8" s="127"/>
      <c r="Q8" s="130">
        <f>SUMIF($G$2:P$2,P$2,$G8:P8)</f>
        <v>0</v>
      </c>
    </row>
    <row r="9" spans="1:17" ht="56" x14ac:dyDescent="0.2">
      <c r="A9" s="148" t="s">
        <v>291</v>
      </c>
      <c r="B9" s="124"/>
      <c r="C9" s="124"/>
      <c r="D9" s="124"/>
      <c r="E9" s="125" t="s">
        <v>49</v>
      </c>
      <c r="F9" s="126" t="s">
        <v>48</v>
      </c>
      <c r="G9" s="127" t="s">
        <v>203</v>
      </c>
      <c r="H9" s="128" t="s">
        <v>204</v>
      </c>
      <c r="I9" s="127" t="s">
        <v>205</v>
      </c>
      <c r="J9" s="132"/>
      <c r="K9" s="127" t="s">
        <v>206</v>
      </c>
      <c r="L9" s="128" t="s">
        <v>207</v>
      </c>
      <c r="M9" s="127"/>
      <c r="N9" s="127"/>
      <c r="O9" s="127"/>
      <c r="P9" s="127"/>
      <c r="Q9" s="130">
        <f>SUMIF($G$2:P$2,P$2,$G9:P9)</f>
        <v>0</v>
      </c>
    </row>
    <row r="10" spans="1:17" ht="70" x14ac:dyDescent="0.2">
      <c r="A10" s="148" t="s">
        <v>291</v>
      </c>
      <c r="B10" s="124"/>
      <c r="C10" s="124"/>
      <c r="D10" s="124"/>
      <c r="E10" s="125" t="s">
        <v>47</v>
      </c>
      <c r="F10" s="126" t="s">
        <v>46</v>
      </c>
      <c r="G10" s="127" t="s">
        <v>208</v>
      </c>
      <c r="H10" s="128" t="s">
        <v>209</v>
      </c>
      <c r="I10" s="127" t="s">
        <v>210</v>
      </c>
      <c r="J10" s="132"/>
      <c r="K10" s="127" t="s">
        <v>211</v>
      </c>
      <c r="L10" s="128" t="s">
        <v>212</v>
      </c>
      <c r="M10" s="127"/>
      <c r="N10" s="127"/>
      <c r="O10" s="127"/>
      <c r="P10" s="127"/>
      <c r="Q10" s="130">
        <f>SUMIF($G$2:P$2,P$2,$G10:P10)</f>
        <v>0</v>
      </c>
    </row>
    <row r="11" spans="1:17" ht="84" x14ac:dyDescent="0.2">
      <c r="A11" s="148" t="s">
        <v>291</v>
      </c>
      <c r="B11" s="124"/>
      <c r="C11" s="124"/>
      <c r="D11" s="124"/>
      <c r="E11" s="125" t="s">
        <v>45</v>
      </c>
      <c r="F11" s="126" t="s">
        <v>44</v>
      </c>
      <c r="G11" s="127" t="s">
        <v>213</v>
      </c>
      <c r="H11" s="128" t="s">
        <v>214</v>
      </c>
      <c r="I11" s="127" t="s">
        <v>215</v>
      </c>
      <c r="J11" s="132"/>
      <c r="K11" s="127" t="s">
        <v>216</v>
      </c>
      <c r="L11" s="128" t="s">
        <v>217</v>
      </c>
      <c r="M11" s="127"/>
      <c r="N11" s="127"/>
      <c r="O11" s="127"/>
      <c r="P11" s="127"/>
      <c r="Q11" s="130">
        <f>SUMIF($G$2:P$2,P$2,$G11:P11)</f>
        <v>0</v>
      </c>
    </row>
    <row r="12" spans="1:17" ht="56" x14ac:dyDescent="0.2">
      <c r="A12" s="148" t="s">
        <v>291</v>
      </c>
      <c r="B12" s="124"/>
      <c r="C12" s="124"/>
      <c r="D12" s="124"/>
      <c r="E12" s="125" t="s">
        <v>43</v>
      </c>
      <c r="F12" s="126" t="s">
        <v>42</v>
      </c>
      <c r="G12" s="127" t="s">
        <v>218</v>
      </c>
      <c r="H12" s="128" t="s">
        <v>219</v>
      </c>
      <c r="I12" s="127" t="s">
        <v>220</v>
      </c>
      <c r="J12" s="132"/>
      <c r="K12" s="127" t="s">
        <v>221</v>
      </c>
      <c r="L12" s="128" t="s">
        <v>222</v>
      </c>
      <c r="M12" s="127"/>
      <c r="N12" s="127"/>
      <c r="O12" s="127"/>
      <c r="P12" s="127"/>
      <c r="Q12" s="130">
        <f>SUMIF($G$2:P$2,P$2,$G12:P12)</f>
        <v>0</v>
      </c>
    </row>
    <row r="13" spans="1:17" x14ac:dyDescent="0.2">
      <c r="A13" s="149"/>
      <c r="B13" s="150"/>
      <c r="C13" s="150"/>
      <c r="D13" s="151"/>
      <c r="E13" s="152"/>
      <c r="F13" s="133" t="s">
        <v>37</v>
      </c>
      <c r="G13" s="130">
        <f>SUMIF($C$5:$C12,$C12,G$5:G12)</f>
        <v>0</v>
      </c>
      <c r="H13" s="130">
        <f>SUMIF($C$5:$C12,$C12,H$5:H12)</f>
        <v>0</v>
      </c>
      <c r="I13" s="130">
        <f>SUMIF($C$5:$C12,$C12,I$5:I12)</f>
        <v>0</v>
      </c>
      <c r="J13" s="130">
        <f>SUMIF($C$5:$C12,$C12,J$5:J12)</f>
        <v>0</v>
      </c>
      <c r="K13" s="130">
        <f>SUMIF($C$5:$C12,$C12,K$5:K12)</f>
        <v>0</v>
      </c>
      <c r="L13" s="130">
        <f>SUMIF($C$5:$C12,$C12,L$5:L12)</f>
        <v>0</v>
      </c>
      <c r="M13" s="130">
        <f>SUMIF($C$5:$C12,$C12,M$5:M12)</f>
        <v>0</v>
      </c>
      <c r="N13" s="130">
        <f>SUMIF($C$5:$C12,$C12,N$5:N12)</f>
        <v>0</v>
      </c>
      <c r="O13" s="130">
        <f>SUMIF($C$5:$C12,$C12,O$5:O12)</f>
        <v>0</v>
      </c>
      <c r="P13" s="130">
        <f>SUMIF($C$5:$C12,$C12,P$5:P12)</f>
        <v>0</v>
      </c>
      <c r="Q13" s="130">
        <f>SUMIF($C$5:$C12,$C12,Q$5:Q12)</f>
        <v>0</v>
      </c>
    </row>
  </sheetData>
  <mergeCells count="2">
    <mergeCell ref="B1:E1"/>
    <mergeCell ref="Q2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ETPT_ATTACHES_JUSTICE</vt:lpstr>
      <vt:lpstr>ETPT_ATTACHES_JUSTICE_DDG</vt:lpstr>
      <vt:lpstr>ETPT_CA_JUR Corresp</vt:lpstr>
      <vt:lpstr>ETPT_ATTACHES_JUSTICE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2025-02-26T16:37:36Z</dcterms:modified>
  <cp:category/>
</cp:coreProperties>
</file>